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ayne Gobrogge\Desktop\"/>
    </mc:Choice>
  </mc:AlternateContent>
  <xr:revisionPtr revIDLastSave="0" documentId="8_{DDD93C05-46A2-4841-B677-157679649379}" xr6:coauthVersionLast="47" xr6:coauthVersionMax="47" xr10:uidLastSave="{00000000-0000-0000-0000-000000000000}"/>
  <bookViews>
    <workbookView xWindow="-120" yWindow="-120" windowWidth="20640" windowHeight="11160" tabRatio="714" xr2:uid="{00000000-000D-0000-FFFF-FFFF00000000}"/>
  </bookViews>
  <sheets>
    <sheet name="July 16, 2021" sheetId="55" r:id="rId1"/>
    <sheet name="Historical Recap" sheetId="56" r:id="rId2"/>
    <sheet name="Obsolete" sheetId="59" r:id="rId3"/>
  </sheets>
  <definedNames>
    <definedName name="_xlnm._FilterDatabase" localSheetId="1" hidden="1">'Historical Recap'!$A$53:$CU$389</definedName>
    <definedName name="_xlnm._FilterDatabase" localSheetId="0" hidden="1">'July 16, 2021'!$A$23:$CV$52</definedName>
    <definedName name="_xlnm._FilterDatabase" localSheetId="2" hidden="1">Obsolete!$A$7:$CM$954</definedName>
    <definedName name="_xlnm.Print_Area" localSheetId="1">'Historical Recap'!$C$276:$Q$294</definedName>
    <definedName name="_xlnm.Print_Area" localSheetId="0">'July 16, 2021'!$B$3:$F$5</definedName>
    <definedName name="_xlnm.Print_Area" localSheetId="2">Obsolete!$B$3:$F$3</definedName>
    <definedName name="_xlnm.Print_Titles" localSheetId="1">'Historical Recap'!$1:$273</definedName>
    <definedName name="_xlnm.Print_Titles" localSheetId="0">'July 16, 2021'!$1:$5</definedName>
    <definedName name="_xlnm.Print_Titles" localSheetId="2">Obsolete!$1:$3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J41" i="56" l="1"/>
  <c r="CK41" i="56" s="1"/>
  <c r="CE41" i="56"/>
  <c r="CK39" i="56" l="1"/>
  <c r="CK40" i="56" l="1"/>
  <c r="CK38" i="56"/>
  <c r="CK44" i="56" l="1"/>
  <c r="CK43" i="56"/>
  <c r="CK42" i="56"/>
  <c r="CK47" i="56" l="1"/>
  <c r="CK46" i="56"/>
  <c r="CK45" i="56" l="1"/>
  <c r="CE45" i="56"/>
  <c r="CK48" i="56" l="1"/>
  <c r="CE48" i="56"/>
  <c r="CK51" i="56" l="1"/>
  <c r="CE51" i="56"/>
  <c r="CK50" i="56"/>
  <c r="CE50" i="56"/>
  <c r="CK49" i="56"/>
  <c r="CK54" i="56" l="1"/>
  <c r="CK53" i="56"/>
  <c r="CK52" i="56" l="1"/>
  <c r="CK56" i="56" l="1"/>
  <c r="CK55" i="56"/>
  <c r="CE55" i="56"/>
  <c r="CK58" i="56" l="1"/>
  <c r="CK57" i="56"/>
  <c r="CE57" i="56"/>
  <c r="CK59" i="56" l="1"/>
  <c r="CJ66" i="56" l="1"/>
  <c r="CE66" i="56"/>
  <c r="CE65" i="56"/>
  <c r="CK65" i="56" s="1"/>
  <c r="CK66" i="56" l="1"/>
  <c r="CK68" i="56"/>
  <c r="CE68" i="56"/>
  <c r="CB68" i="56"/>
  <c r="CE70" i="56" l="1"/>
  <c r="CE69" i="56"/>
  <c r="CJ76" i="56" l="1"/>
  <c r="CE76" i="56"/>
  <c r="CJ75" i="56"/>
  <c r="CE75" i="56"/>
  <c r="CJ74" i="56"/>
  <c r="CE74" i="56"/>
  <c r="CJ73" i="56"/>
  <c r="CE73" i="56"/>
  <c r="CJ72" i="56"/>
  <c r="CE72" i="56"/>
  <c r="CJ71" i="56"/>
  <c r="CE71" i="56"/>
  <c r="CK71" i="56" l="1"/>
  <c r="CK72" i="56"/>
  <c r="CK76" i="56"/>
  <c r="CK75" i="56"/>
  <c r="CK74" i="56"/>
  <c r="CK73" i="56"/>
  <c r="CJ77" i="56"/>
  <c r="CE77" i="56"/>
  <c r="CK77" i="56" s="1"/>
  <c r="BW77" i="56"/>
  <c r="CJ80" i="56" l="1"/>
  <c r="CE80" i="56"/>
  <c r="CK80" i="56" s="1"/>
  <c r="CB80" i="56"/>
  <c r="CJ79" i="56"/>
  <c r="CE79" i="56"/>
  <c r="CK79" i="56" s="1"/>
  <c r="CB79" i="56"/>
  <c r="CJ78" i="56"/>
  <c r="CE78" i="56"/>
  <c r="CK78" i="56" s="1"/>
  <c r="CB78" i="56"/>
  <c r="CJ85" i="56" l="1"/>
  <c r="CE85" i="56"/>
  <c r="CK85" i="56" s="1"/>
  <c r="CB85" i="56"/>
  <c r="CJ84" i="56"/>
  <c r="CE84" i="56"/>
  <c r="CK84" i="56" s="1"/>
  <c r="CB84" i="56"/>
  <c r="CJ83" i="56"/>
  <c r="CE83" i="56"/>
  <c r="CK83" i="56" s="1"/>
  <c r="CB83" i="56"/>
  <c r="CJ82" i="56"/>
  <c r="CE82" i="56"/>
  <c r="CK82" i="56" s="1"/>
  <c r="CB82" i="56"/>
  <c r="CJ81" i="56"/>
  <c r="CE81" i="56"/>
  <c r="CK81" i="56" s="1"/>
  <c r="CA81" i="56"/>
  <c r="BZ81" i="56"/>
  <c r="BY81" i="56"/>
  <c r="CB81" i="56" l="1"/>
  <c r="CK88" i="56"/>
  <c r="CJ88" i="56"/>
  <c r="CE88" i="56"/>
  <c r="CD88" i="56"/>
  <c r="CB88" i="56"/>
  <c r="CK87" i="56"/>
  <c r="CJ87" i="56"/>
  <c r="CE87" i="56"/>
  <c r="CD87" i="56"/>
  <c r="CB87" i="56"/>
  <c r="CJ86" i="56"/>
  <c r="CD86" i="56"/>
  <c r="CC86" i="56"/>
  <c r="CK86" i="56" s="1"/>
  <c r="CB86" i="56"/>
  <c r="CE86" i="56" l="1"/>
  <c r="CK115" i="56" l="1"/>
  <c r="CJ115" i="56"/>
  <c r="CB115" i="56"/>
  <c r="BU115" i="56"/>
  <c r="BT115" i="56"/>
  <c r="CK114" i="56"/>
  <c r="CJ114" i="56"/>
  <c r="BZ114" i="56"/>
  <c r="BY114" i="56"/>
  <c r="BV114" i="56"/>
  <c r="BU114" i="56"/>
  <c r="BT114" i="56"/>
  <c r="CK113" i="56"/>
  <c r="CJ113" i="56"/>
  <c r="CA113" i="56"/>
  <c r="BZ113" i="56"/>
  <c r="BY113" i="56"/>
  <c r="BV113" i="56"/>
  <c r="BU113" i="56"/>
  <c r="BT113" i="56"/>
  <c r="CK112" i="56"/>
  <c r="CJ112" i="56"/>
  <c r="CA112" i="56"/>
  <c r="BZ112" i="56"/>
  <c r="BY112" i="56"/>
  <c r="BV112" i="56"/>
  <c r="BU112" i="56"/>
  <c r="BT112" i="56"/>
  <c r="CK111" i="56"/>
  <c r="CJ111" i="56"/>
  <c r="CB111" i="56"/>
  <c r="BV111" i="56"/>
  <c r="BU111" i="56"/>
  <c r="BT111" i="56"/>
  <c r="CK110" i="56"/>
  <c r="CJ110" i="56"/>
  <c r="CA110" i="56"/>
  <c r="CB110" i="56" s="1"/>
  <c r="BV110" i="56"/>
  <c r="BU110" i="56"/>
  <c r="BT110" i="56"/>
  <c r="CK109" i="56"/>
  <c r="CJ109" i="56"/>
  <c r="CA109" i="56"/>
  <c r="CB109" i="56" s="1"/>
  <c r="BV109" i="56"/>
  <c r="BU109" i="56"/>
  <c r="BT109" i="56"/>
  <c r="CK108" i="56"/>
  <c r="CJ108" i="56"/>
  <c r="BZ108" i="56"/>
  <c r="CB108" i="56" s="1"/>
  <c r="BV108" i="56"/>
  <c r="BU108" i="56"/>
  <c r="BT108" i="56"/>
  <c r="CK107" i="56"/>
  <c r="CJ107" i="56"/>
  <c r="BZ107" i="56"/>
  <c r="CB107" i="56" s="1"/>
  <c r="BV107" i="56"/>
  <c r="BU107" i="56"/>
  <c r="BT107" i="56"/>
  <c r="CK106" i="56"/>
  <c r="CJ106" i="56"/>
  <c r="BZ106" i="56"/>
  <c r="BY106" i="56"/>
  <c r="BV106" i="56"/>
  <c r="BU106" i="56"/>
  <c r="BT106" i="56"/>
  <c r="CK105" i="56"/>
  <c r="CJ105" i="56"/>
  <c r="BY105" i="56"/>
  <c r="CB105" i="56" s="1"/>
  <c r="BV105" i="56"/>
  <c r="BU105" i="56"/>
  <c r="BT105" i="56"/>
  <c r="CK104" i="56"/>
  <c r="CJ104" i="56"/>
  <c r="BY104" i="56"/>
  <c r="CB104" i="56" s="1"/>
  <c r="BV104" i="56"/>
  <c r="BU104" i="56"/>
  <c r="BT104" i="56"/>
  <c r="CK103" i="56"/>
  <c r="CJ103" i="56"/>
  <c r="CB103" i="56"/>
  <c r="BV103" i="56"/>
  <c r="BU103" i="56"/>
  <c r="BT103" i="56"/>
  <c r="CK102" i="56"/>
  <c r="CJ102" i="56"/>
  <c r="CA102" i="56"/>
  <c r="BZ102" i="56"/>
  <c r="BY102" i="56"/>
  <c r="BV102" i="56"/>
  <c r="BU102" i="56"/>
  <c r="BT102" i="56"/>
  <c r="CK101" i="56"/>
  <c r="CJ101" i="56"/>
  <c r="BY101" i="56"/>
  <c r="CB101" i="56" s="1"/>
  <c r="BV101" i="56"/>
  <c r="BU101" i="56"/>
  <c r="BT101" i="56"/>
  <c r="CK100" i="56"/>
  <c r="CJ100" i="56"/>
  <c r="CA100" i="56"/>
  <c r="BZ100" i="56"/>
  <c r="BY100" i="56"/>
  <c r="BV100" i="56"/>
  <c r="BU100" i="56"/>
  <c r="BT100" i="56"/>
  <c r="CK99" i="56"/>
  <c r="CJ99" i="56"/>
  <c r="CA99" i="56"/>
  <c r="CB99" i="56" s="1"/>
  <c r="BV99" i="56"/>
  <c r="BU99" i="56"/>
  <c r="BT99" i="56"/>
  <c r="CK98" i="56"/>
  <c r="CJ98" i="56"/>
  <c r="CB98" i="56"/>
  <c r="BV98" i="56"/>
  <c r="BU98" i="56"/>
  <c r="BT98" i="56"/>
  <c r="BW115" i="56" l="1"/>
  <c r="CB113" i="56"/>
  <c r="BW108" i="56"/>
  <c r="BW110" i="56"/>
  <c r="BW112" i="56"/>
  <c r="BW113" i="56"/>
  <c r="BW103" i="56"/>
  <c r="BW105" i="56"/>
  <c r="BW107" i="56"/>
  <c r="BW114" i="56"/>
  <c r="BW109" i="56"/>
  <c r="BW111" i="56"/>
  <c r="CB100" i="56"/>
  <c r="BW106" i="56"/>
  <c r="CB112" i="56"/>
  <c r="BW98" i="56"/>
  <c r="BW100" i="56"/>
  <c r="CB102" i="56"/>
  <c r="CB106" i="56"/>
  <c r="CB114" i="56"/>
  <c r="BW99" i="56"/>
  <c r="BW102" i="56"/>
  <c r="BW104" i="56"/>
  <c r="BW101" i="56"/>
  <c r="CK127" i="56"/>
  <c r="CJ127" i="56"/>
  <c r="CA127" i="56"/>
  <c r="BY127" i="56"/>
  <c r="BV127" i="56"/>
  <c r="BU127" i="56"/>
  <c r="BT127" i="56"/>
  <c r="CK126" i="56"/>
  <c r="CJ126" i="56"/>
  <c r="CB126" i="56"/>
  <c r="BV126" i="56"/>
  <c r="BU126" i="56"/>
  <c r="BT126" i="56"/>
  <c r="CK125" i="56"/>
  <c r="CJ125" i="56"/>
  <c r="CA125" i="56"/>
  <c r="BZ125" i="56"/>
  <c r="BV125" i="56"/>
  <c r="BU125" i="56"/>
  <c r="BT125" i="56"/>
  <c r="CK124" i="56"/>
  <c r="CJ124" i="56"/>
  <c r="BY124" i="56"/>
  <c r="CB124" i="56" s="1"/>
  <c r="BV124" i="56"/>
  <c r="BU124" i="56"/>
  <c r="BT124" i="56"/>
  <c r="CB123" i="56"/>
  <c r="BW123" i="56"/>
  <c r="CB122" i="56"/>
  <c r="BW122" i="56"/>
  <c r="CB121" i="56"/>
  <c r="CK120" i="56"/>
  <c r="CJ120" i="56"/>
  <c r="CB120" i="56"/>
  <c r="BV120" i="56"/>
  <c r="BU120" i="56"/>
  <c r="BT120" i="56"/>
  <c r="CK119" i="56"/>
  <c r="CJ119" i="56"/>
  <c r="CB119" i="56"/>
  <c r="BV119" i="56"/>
  <c r="BW119" i="56" s="1"/>
  <c r="CK118" i="56"/>
  <c r="CJ118" i="56"/>
  <c r="BY118" i="56"/>
  <c r="CB118" i="56" s="1"/>
  <c r="BV118" i="56"/>
  <c r="BU118" i="56"/>
  <c r="BT118" i="56"/>
  <c r="CK117" i="56"/>
  <c r="CJ117" i="56"/>
  <c r="CB117" i="56"/>
  <c r="BV117" i="56"/>
  <c r="BW117" i="56" s="1"/>
  <c r="CJ116" i="56"/>
  <c r="CK116" i="56" s="1"/>
  <c r="CB116" i="56"/>
  <c r="BW118" i="56" l="1"/>
  <c r="CB125" i="56"/>
  <c r="BW120" i="56"/>
  <c r="CB127" i="56"/>
  <c r="BW125" i="56"/>
  <c r="BW124" i="56"/>
  <c r="BW126" i="56"/>
  <c r="BW127" i="56"/>
  <c r="CJ365" i="56" l="1"/>
  <c r="CK365" i="56" s="1"/>
  <c r="CB365" i="56"/>
  <c r="BW365" i="56"/>
  <c r="CJ364" i="56"/>
  <c r="CK364" i="56" s="1"/>
  <c r="CB364" i="56"/>
  <c r="BW364" i="56"/>
  <c r="CJ363" i="56"/>
  <c r="CK363" i="56" s="1"/>
  <c r="CB363" i="56"/>
  <c r="BW363" i="56"/>
  <c r="CJ362" i="56"/>
  <c r="CK362" i="56" s="1"/>
  <c r="CB362" i="56"/>
  <c r="BW362" i="56"/>
  <c r="CJ361" i="56"/>
  <c r="CK361" i="56" s="1"/>
  <c r="CB361" i="56"/>
  <c r="BW361" i="56"/>
  <c r="CJ360" i="56"/>
  <c r="CK360" i="56" s="1"/>
  <c r="CB360" i="56"/>
  <c r="BW360" i="56"/>
  <c r="CJ359" i="56"/>
  <c r="CK359" i="56" s="1"/>
  <c r="CB359" i="56"/>
  <c r="BW359" i="56"/>
  <c r="CJ358" i="56"/>
  <c r="CK358" i="56" s="1"/>
  <c r="CB358" i="56"/>
  <c r="BW358" i="56"/>
  <c r="CJ357" i="56"/>
  <c r="CK357" i="56" s="1"/>
  <c r="CB357" i="56"/>
  <c r="BW357" i="56"/>
  <c r="CJ356" i="56"/>
  <c r="CK356" i="56" s="1"/>
  <c r="CB356" i="56"/>
  <c r="BW356" i="56"/>
  <c r="CJ355" i="56"/>
  <c r="CK355" i="56" s="1"/>
  <c r="CB355" i="56"/>
  <c r="BW355" i="56"/>
  <c r="CJ354" i="56"/>
  <c r="CK354" i="56" s="1"/>
  <c r="CB354" i="56"/>
  <c r="BW354" i="56"/>
  <c r="CJ353" i="56"/>
  <c r="CK353" i="56" s="1"/>
  <c r="CB353" i="56"/>
  <c r="BW353" i="56"/>
  <c r="CJ352" i="56"/>
  <c r="CK352" i="56" s="1"/>
  <c r="CB352" i="56"/>
  <c r="BW352" i="56"/>
  <c r="CJ351" i="56"/>
  <c r="CK351" i="56" s="1"/>
  <c r="CB351" i="56"/>
  <c r="BW351" i="56"/>
  <c r="CJ348" i="56"/>
  <c r="CK348" i="56" s="1"/>
  <c r="CB348" i="56"/>
  <c r="BW348" i="56"/>
  <c r="CJ347" i="56"/>
  <c r="CK347" i="56" s="1"/>
  <c r="CB347" i="56"/>
  <c r="BW347" i="56"/>
  <c r="CJ346" i="56"/>
  <c r="CC346" i="56"/>
  <c r="CB346" i="56"/>
  <c r="CJ345" i="56"/>
  <c r="CC345" i="56"/>
  <c r="CB345" i="56"/>
  <c r="CJ344" i="56"/>
  <c r="CC344" i="56"/>
  <c r="CK344" i="56" s="1"/>
  <c r="CB344" i="56"/>
  <c r="CK343" i="56"/>
  <c r="CJ343" i="56"/>
  <c r="CB343" i="56"/>
  <c r="CJ342" i="56"/>
  <c r="CC342" i="56"/>
  <c r="CK342" i="56" s="1"/>
  <c r="CB342" i="56"/>
  <c r="CJ341" i="56"/>
  <c r="CC341" i="56"/>
  <c r="CK341" i="56" s="1"/>
  <c r="CB341" i="56"/>
  <c r="CK340" i="56"/>
  <c r="CJ340" i="56"/>
  <c r="CB340" i="56"/>
  <c r="CJ339" i="56"/>
  <c r="CC339" i="56"/>
  <c r="CK339" i="56" s="1"/>
  <c r="CB339" i="56"/>
  <c r="BW339" i="56"/>
  <c r="CJ338" i="56"/>
  <c r="CC338" i="56"/>
  <c r="CK338" i="56" s="1"/>
  <c r="CB338" i="56"/>
  <c r="BW338" i="56"/>
  <c r="CJ337" i="56"/>
  <c r="CB337" i="56"/>
  <c r="BX337" i="56"/>
  <c r="CC337" i="56" s="1"/>
  <c r="CK337" i="56" s="1"/>
  <c r="BW337" i="56"/>
  <c r="CJ336" i="56"/>
  <c r="CB336" i="56"/>
  <c r="BX336" i="56"/>
  <c r="CC336" i="56" s="1"/>
  <c r="CK336" i="56" s="1"/>
  <c r="BW336" i="56"/>
  <c r="CJ335" i="56"/>
  <c r="CB335" i="56"/>
  <c r="BX335" i="56"/>
  <c r="CC335" i="56" s="1"/>
  <c r="CK335" i="56" s="1"/>
  <c r="BW335" i="56"/>
  <c r="CJ334" i="56"/>
  <c r="CC334" i="56"/>
  <c r="CK334" i="56" s="1"/>
  <c r="CB334" i="56"/>
  <c r="CK333" i="56"/>
  <c r="CJ333" i="56"/>
  <c r="CB333" i="56"/>
  <c r="CJ332" i="56"/>
  <c r="CC332" i="56"/>
  <c r="CK332" i="56" s="1"/>
  <c r="CB332" i="56"/>
  <c r="CJ331" i="56"/>
  <c r="CC331" i="56"/>
  <c r="CK331" i="56" s="1"/>
  <c r="CB331" i="56"/>
  <c r="CK330" i="56"/>
  <c r="CJ330" i="56"/>
  <c r="CB330" i="56"/>
  <c r="CJ329" i="56"/>
  <c r="CC329" i="56"/>
  <c r="CK329" i="56" s="1"/>
  <c r="CB329" i="56"/>
  <c r="BW329" i="56"/>
  <c r="CJ328" i="56"/>
  <c r="CC328" i="56"/>
  <c r="CK328" i="56" s="1"/>
  <c r="CB328" i="56"/>
  <c r="BW328" i="56"/>
  <c r="CJ327" i="56"/>
  <c r="CC327" i="56"/>
  <c r="CK327" i="56" s="1"/>
  <c r="CB327" i="56"/>
  <c r="BW327" i="56"/>
  <c r="CJ326" i="56"/>
  <c r="CC326" i="56"/>
  <c r="CK326" i="56" s="1"/>
  <c r="CB326" i="56"/>
  <c r="BW326" i="56"/>
  <c r="CJ325" i="56"/>
  <c r="CC325" i="56"/>
  <c r="CK325" i="56" s="1"/>
  <c r="CB325" i="56"/>
  <c r="BW325" i="56"/>
  <c r="CJ324" i="56"/>
  <c r="CC324" i="56"/>
  <c r="CK324" i="56" s="1"/>
  <c r="CB324" i="56"/>
  <c r="BW324" i="56"/>
  <c r="CJ323" i="56"/>
  <c r="CC323" i="56"/>
  <c r="CK323" i="56" s="1"/>
  <c r="CB323" i="56"/>
  <c r="BW323" i="56"/>
  <c r="CJ322" i="56"/>
  <c r="CC322" i="56"/>
  <c r="CK322" i="56" s="1"/>
  <c r="CB322" i="56"/>
  <c r="BW322" i="56"/>
  <c r="CK321" i="56"/>
  <c r="CJ321" i="56"/>
  <c r="CB321" i="56"/>
  <c r="CJ320" i="56"/>
  <c r="CC320" i="56"/>
  <c r="CK320" i="56" s="1"/>
  <c r="CB320" i="56"/>
  <c r="BW320" i="56"/>
  <c r="CJ319" i="56"/>
  <c r="CC319" i="56"/>
  <c r="CK319" i="56" s="1"/>
  <c r="CB319" i="56"/>
  <c r="BW319" i="56"/>
  <c r="CJ318" i="56"/>
  <c r="CC318" i="56"/>
  <c r="CK318" i="56" s="1"/>
  <c r="CB318" i="56"/>
  <c r="BW318" i="56"/>
  <c r="CJ317" i="56"/>
  <c r="CC317" i="56"/>
  <c r="CK317" i="56" s="1"/>
  <c r="CB317" i="56"/>
  <c r="CJ316" i="56"/>
  <c r="CC316" i="56"/>
  <c r="CK316" i="56" s="1"/>
  <c r="CB316" i="56"/>
  <c r="BW316" i="56"/>
  <c r="CK315" i="56"/>
  <c r="CJ315" i="56"/>
  <c r="CB315" i="56"/>
  <c r="BW315" i="56"/>
  <c r="CJ314" i="56"/>
  <c r="CC314" i="56"/>
  <c r="CK314" i="56" s="1"/>
  <c r="CB314" i="56"/>
  <c r="CK313" i="56"/>
  <c r="CJ313" i="56"/>
  <c r="CB313" i="56"/>
  <c r="CJ312" i="56"/>
  <c r="CC312" i="56"/>
  <c r="CK312" i="56" s="1"/>
  <c r="CB312" i="56"/>
  <c r="BW312" i="56"/>
  <c r="CJ311" i="56"/>
  <c r="CC311" i="56"/>
  <c r="CK311" i="56" s="1"/>
  <c r="CB311" i="56"/>
  <c r="BW311" i="56"/>
  <c r="CJ310" i="56"/>
  <c r="CC310" i="56"/>
  <c r="CK310" i="56" s="1"/>
  <c r="CB310" i="56"/>
  <c r="BW310" i="56"/>
  <c r="CJ309" i="56"/>
  <c r="CC309" i="56"/>
  <c r="CK309" i="56" s="1"/>
  <c r="CB309" i="56"/>
  <c r="BW309" i="56"/>
  <c r="CK308" i="56"/>
  <c r="CJ308" i="56"/>
  <c r="CB308" i="56"/>
  <c r="CK307" i="56"/>
  <c r="CJ307" i="56"/>
  <c r="CB307" i="56"/>
  <c r="CK306" i="56"/>
  <c r="CJ306" i="56"/>
  <c r="CB306" i="56"/>
  <c r="CK305" i="56"/>
  <c r="CJ305" i="56"/>
  <c r="CB305" i="56"/>
  <c r="CK304" i="56"/>
  <c r="CJ304" i="56"/>
  <c r="CB304" i="56"/>
  <c r="CJ303" i="56"/>
  <c r="CC303" i="56"/>
  <c r="CK303" i="56" s="1"/>
  <c r="CB303" i="56"/>
  <c r="BW303" i="56"/>
  <c r="CJ302" i="56"/>
  <c r="CB302" i="56"/>
  <c r="BX302" i="56"/>
  <c r="CC302" i="56" s="1"/>
  <c r="CK302" i="56" s="1"/>
  <c r="BW302" i="56"/>
  <c r="CJ301" i="56"/>
  <c r="CC301" i="56"/>
  <c r="CK301" i="56" s="1"/>
  <c r="CB301" i="56"/>
  <c r="BW301" i="56"/>
  <c r="CK300" i="56"/>
  <c r="CJ300" i="56"/>
  <c r="CB300" i="56"/>
  <c r="CJ299" i="56"/>
  <c r="CC299" i="56"/>
  <c r="CK299" i="56" s="1"/>
  <c r="CB299" i="56"/>
  <c r="BW299" i="56"/>
  <c r="CJ298" i="56"/>
  <c r="CC298" i="56"/>
  <c r="CK298" i="56" s="1"/>
  <c r="CB298" i="56"/>
  <c r="BW298" i="56"/>
  <c r="CJ297" i="56"/>
  <c r="CC297" i="56"/>
  <c r="CK297" i="56" s="1"/>
  <c r="CB297" i="56"/>
  <c r="BW297" i="56"/>
  <c r="CJ296" i="56"/>
  <c r="CB296" i="56"/>
  <c r="BX296" i="56"/>
  <c r="CC296" i="56" s="1"/>
  <c r="CK296" i="56" s="1"/>
  <c r="BW296" i="56"/>
  <c r="CJ295" i="56"/>
  <c r="CC295" i="56"/>
  <c r="CK295" i="56" s="1"/>
  <c r="CB295" i="56"/>
  <c r="CJ294" i="56"/>
  <c r="CC294" i="56"/>
  <c r="CK294" i="56" s="1"/>
  <c r="CB294" i="56"/>
  <c r="BW294" i="56"/>
  <c r="CK293" i="56"/>
  <c r="CJ293" i="56"/>
  <c r="CB293" i="56"/>
  <c r="CJ292" i="56"/>
  <c r="CC292" i="56"/>
  <c r="CK292" i="56" s="1"/>
  <c r="CB292" i="56"/>
  <c r="CJ291" i="56"/>
  <c r="CC291" i="56"/>
  <c r="CK291" i="56" s="1"/>
  <c r="CB291" i="56"/>
  <c r="CJ290" i="56"/>
  <c r="CC290" i="56"/>
  <c r="CK290" i="56" s="1"/>
  <c r="CB290" i="56"/>
  <c r="CJ289" i="56"/>
  <c r="CC289" i="56"/>
  <c r="CK289" i="56" s="1"/>
  <c r="CB289" i="56"/>
  <c r="CJ288" i="56"/>
  <c r="CC288" i="56"/>
  <c r="CK288" i="56" s="1"/>
  <c r="CB288" i="56"/>
  <c r="BW288" i="56"/>
  <c r="CJ287" i="56"/>
  <c r="CC287" i="56"/>
  <c r="CK287" i="56" s="1"/>
  <c r="CB287" i="56"/>
  <c r="BW287" i="56"/>
  <c r="CK286" i="56"/>
  <c r="CJ286" i="56"/>
  <c r="CB286" i="56"/>
  <c r="CJ285" i="56"/>
  <c r="CC285" i="56"/>
  <c r="CK285" i="56" s="1"/>
  <c r="CB285" i="56"/>
  <c r="BW285" i="56"/>
  <c r="CJ284" i="56"/>
  <c r="CC284" i="56"/>
  <c r="CK284" i="56" s="1"/>
  <c r="CB284" i="56"/>
  <c r="BW284" i="56"/>
  <c r="CJ283" i="56"/>
  <c r="CC283" i="56"/>
  <c r="CK283" i="56" s="1"/>
  <c r="CB283" i="56"/>
  <c r="BW283" i="56"/>
  <c r="CJ282" i="56"/>
  <c r="CC282" i="56"/>
  <c r="CK282" i="56" s="1"/>
  <c r="CB282" i="56"/>
  <c r="CJ281" i="56"/>
  <c r="CC281" i="56"/>
  <c r="CK281" i="56" s="1"/>
  <c r="CB281" i="56"/>
  <c r="BW281" i="56"/>
  <c r="CJ280" i="56"/>
  <c r="CC280" i="56"/>
  <c r="CK280" i="56" s="1"/>
  <c r="CB280" i="56"/>
  <c r="CJ279" i="56"/>
  <c r="CC279" i="56"/>
  <c r="CK279" i="56" s="1"/>
  <c r="CB279" i="56"/>
  <c r="BW279" i="56"/>
  <c r="CK278" i="56"/>
  <c r="CJ278" i="56"/>
  <c r="CB278" i="56"/>
  <c r="CK277" i="56"/>
  <c r="CJ277" i="56"/>
  <c r="CB277" i="56"/>
  <c r="CK276" i="56"/>
  <c r="CJ276" i="56"/>
  <c r="CB276" i="56"/>
  <c r="CJ275" i="56"/>
  <c r="CC275" i="56"/>
  <c r="CK275" i="56" s="1"/>
  <c r="CB275" i="56"/>
  <c r="BW275" i="56"/>
  <c r="CK274" i="56"/>
  <c r="CJ274" i="56"/>
  <c r="CB274" i="56"/>
  <c r="CK273" i="56"/>
  <c r="CJ273" i="56"/>
  <c r="CB273" i="56"/>
  <c r="CJ272" i="56"/>
  <c r="CC272" i="56"/>
  <c r="CK272" i="56" s="1"/>
  <c r="CB272" i="56"/>
  <c r="CJ271" i="56"/>
  <c r="CC271" i="56"/>
  <c r="CK271" i="56" s="1"/>
  <c r="CB271" i="56"/>
  <c r="CJ270" i="56"/>
  <c r="CC270" i="56"/>
  <c r="CK270" i="56" s="1"/>
  <c r="CB270" i="56"/>
  <c r="CJ269" i="56"/>
  <c r="CC269" i="56"/>
  <c r="CK269" i="56" s="1"/>
  <c r="CB269" i="56"/>
  <c r="CJ268" i="56"/>
  <c r="CC268" i="56"/>
  <c r="CK268" i="56" s="1"/>
  <c r="CB268" i="56"/>
  <c r="BW268" i="56"/>
  <c r="CJ267" i="56"/>
  <c r="CC267" i="56"/>
  <c r="CK267" i="56" s="1"/>
  <c r="CB267" i="56"/>
  <c r="CJ266" i="56"/>
  <c r="CC266" i="56"/>
  <c r="CK266" i="56" s="1"/>
  <c r="CB266" i="56"/>
  <c r="CJ265" i="56"/>
  <c r="CC265" i="56"/>
  <c r="CK265" i="56" s="1"/>
  <c r="CB265" i="56"/>
  <c r="CJ264" i="56"/>
  <c r="CC264" i="56"/>
  <c r="CK264" i="56" s="1"/>
  <c r="CB264" i="56"/>
  <c r="CK263" i="56"/>
  <c r="CJ263" i="56"/>
  <c r="CB263" i="56"/>
  <c r="CJ262" i="56"/>
  <c r="CC262" i="56"/>
  <c r="CK262" i="56" s="1"/>
  <c r="CB262" i="56"/>
  <c r="CJ261" i="56"/>
  <c r="CC261" i="56"/>
  <c r="CK261" i="56" s="1"/>
  <c r="CB261" i="56"/>
  <c r="CJ260" i="56"/>
  <c r="CC260" i="56"/>
  <c r="CK260" i="56" s="1"/>
  <c r="CB260" i="56"/>
  <c r="CJ259" i="56"/>
  <c r="CC259" i="56"/>
  <c r="CK259" i="56" s="1"/>
  <c r="CB259" i="56"/>
  <c r="CJ258" i="56"/>
  <c r="CC258" i="56"/>
  <c r="CK258" i="56" s="1"/>
  <c r="CB258" i="56"/>
  <c r="CJ257" i="56"/>
  <c r="CC257" i="56"/>
  <c r="CK257" i="56" s="1"/>
  <c r="CB257" i="56"/>
  <c r="BW257" i="56"/>
  <c r="CJ256" i="56"/>
  <c r="CB256" i="56"/>
  <c r="CK256" i="56" s="1"/>
  <c r="CJ255" i="56"/>
  <c r="CC255" i="56"/>
  <c r="CK255" i="56" s="1"/>
  <c r="CB255" i="56"/>
  <c r="BW255" i="56"/>
  <c r="CJ254" i="56"/>
  <c r="CC254" i="56"/>
  <c r="CK254" i="56" s="1"/>
  <c r="CB254" i="56"/>
  <c r="BW254" i="56"/>
  <c r="CJ253" i="56"/>
  <c r="CB253" i="56"/>
  <c r="BX253" i="56"/>
  <c r="CC253" i="56" s="1"/>
  <c r="CK253" i="56" s="1"/>
  <c r="BW253" i="56"/>
  <c r="CJ252" i="56"/>
  <c r="CC252" i="56"/>
  <c r="CK252" i="56" s="1"/>
  <c r="CB252" i="56"/>
  <c r="BW252" i="56"/>
  <c r="CJ251" i="56"/>
  <c r="CC251" i="56"/>
  <c r="CK251" i="56" s="1"/>
  <c r="CB251" i="56"/>
  <c r="BW251" i="56"/>
  <c r="CJ250" i="56"/>
  <c r="CC250" i="56"/>
  <c r="CK250" i="56" s="1"/>
  <c r="CB250" i="56"/>
  <c r="BW250" i="56"/>
  <c r="CJ249" i="56"/>
  <c r="CC249" i="56"/>
  <c r="CK249" i="56" s="1"/>
  <c r="CB249" i="56"/>
  <c r="CJ248" i="56"/>
  <c r="CC248" i="56"/>
  <c r="CK248" i="56" s="1"/>
  <c r="CB248" i="56"/>
  <c r="CK247" i="56"/>
  <c r="CJ247" i="56"/>
  <c r="CB247" i="56"/>
  <c r="CJ246" i="56"/>
  <c r="CC246" i="56"/>
  <c r="CK246" i="56" s="1"/>
  <c r="CB246" i="56"/>
  <c r="CK243" i="56"/>
  <c r="CJ243" i="56"/>
  <c r="CB243" i="56"/>
  <c r="CJ242" i="56"/>
  <c r="CC242" i="56"/>
  <c r="CK242" i="56" s="1"/>
  <c r="CB242" i="56"/>
  <c r="CK241" i="56"/>
  <c r="CJ241" i="56"/>
  <c r="CB241" i="56"/>
  <c r="CK240" i="56"/>
  <c r="CJ240" i="56"/>
  <c r="CB240" i="56"/>
  <c r="CJ239" i="56"/>
  <c r="CC239" i="56"/>
  <c r="CK239" i="56" s="1"/>
  <c r="CB239" i="56"/>
  <c r="CJ238" i="56"/>
  <c r="CC238" i="56"/>
  <c r="CK238" i="56" s="1"/>
  <c r="CB238" i="56"/>
  <c r="CJ237" i="56"/>
  <c r="CA237" i="56"/>
  <c r="BZ237" i="56"/>
  <c r="BY237" i="56"/>
  <c r="BX237" i="56"/>
  <c r="CC237" i="56" s="1"/>
  <c r="CK237" i="56" s="1"/>
  <c r="BV237" i="56"/>
  <c r="BU237" i="56"/>
  <c r="BT237" i="56"/>
  <c r="CJ236" i="56"/>
  <c r="CA236" i="56"/>
  <c r="BZ236" i="56"/>
  <c r="BY236" i="56"/>
  <c r="BX236" i="56"/>
  <c r="CC236" i="56" s="1"/>
  <c r="CK236" i="56" s="1"/>
  <c r="BV236" i="56"/>
  <c r="BU236" i="56"/>
  <c r="BT236" i="56"/>
  <c r="CJ235" i="56"/>
  <c r="CA235" i="56"/>
  <c r="BZ235" i="56"/>
  <c r="BY235" i="56"/>
  <c r="BX235" i="56"/>
  <c r="CC235" i="56" s="1"/>
  <c r="CK235" i="56" s="1"/>
  <c r="BV235" i="56"/>
  <c r="BU235" i="56"/>
  <c r="BT235" i="56"/>
  <c r="CJ234" i="56"/>
  <c r="CA234" i="56"/>
  <c r="BZ234" i="56"/>
  <c r="BY234" i="56"/>
  <c r="BX234" i="56"/>
  <c r="CC234" i="56" s="1"/>
  <c r="CK234" i="56" s="1"/>
  <c r="BV234" i="56"/>
  <c r="BU234" i="56"/>
  <c r="BT234" i="56"/>
  <c r="CJ233" i="56"/>
  <c r="CA233" i="56"/>
  <c r="BZ233" i="56"/>
  <c r="BY233" i="56"/>
  <c r="BX233" i="56"/>
  <c r="CC233" i="56" s="1"/>
  <c r="CK233" i="56" s="1"/>
  <c r="CJ232" i="56"/>
  <c r="CA232" i="56"/>
  <c r="BZ232" i="56"/>
  <c r="BY232" i="56"/>
  <c r="BX232" i="56"/>
  <c r="CC232" i="56" s="1"/>
  <c r="CK232" i="56" s="1"/>
  <c r="BV232" i="56"/>
  <c r="BU232" i="56"/>
  <c r="BT232" i="56"/>
  <c r="CJ231" i="56"/>
  <c r="CC231" i="56"/>
  <c r="CK231" i="56" s="1"/>
  <c r="CA231" i="56"/>
  <c r="BZ231" i="56"/>
  <c r="BY231" i="56"/>
  <c r="CJ230" i="56"/>
  <c r="CC230" i="56"/>
  <c r="CK230" i="56" s="1"/>
  <c r="CA230" i="56"/>
  <c r="BZ230" i="56"/>
  <c r="BY230" i="56"/>
  <c r="CJ229" i="56"/>
  <c r="CC229" i="56"/>
  <c r="CK229" i="56" s="1"/>
  <c r="CA229" i="56"/>
  <c r="BZ229" i="56"/>
  <c r="BY229" i="56"/>
  <c r="CJ228" i="56"/>
  <c r="CC228" i="56"/>
  <c r="CK228" i="56" s="1"/>
  <c r="CA228" i="56"/>
  <c r="BZ228" i="56"/>
  <c r="BY228" i="56"/>
  <c r="CJ227" i="56"/>
  <c r="CC227" i="56"/>
  <c r="CK227" i="56" s="1"/>
  <c r="CA227" i="56"/>
  <c r="BZ227" i="56"/>
  <c r="BY227" i="56"/>
  <c r="CJ226" i="56"/>
  <c r="CC226" i="56"/>
  <c r="CK226" i="56" s="1"/>
  <c r="CA226" i="56"/>
  <c r="BZ226" i="56"/>
  <c r="BY226" i="56"/>
  <c r="CJ225" i="56"/>
  <c r="CC225" i="56"/>
  <c r="CK225" i="56" s="1"/>
  <c r="CA225" i="56"/>
  <c r="BZ225" i="56"/>
  <c r="BY225" i="56"/>
  <c r="CJ224" i="56"/>
  <c r="CA224" i="56"/>
  <c r="BZ224" i="56"/>
  <c r="BY224" i="56"/>
  <c r="BX224" i="56"/>
  <c r="CC224" i="56" s="1"/>
  <c r="CK224" i="56" s="1"/>
  <c r="BV224" i="56"/>
  <c r="BU224" i="56"/>
  <c r="BT224" i="56"/>
  <c r="CJ223" i="56"/>
  <c r="CA223" i="56"/>
  <c r="BZ223" i="56"/>
  <c r="BY223" i="56"/>
  <c r="BX223" i="56"/>
  <c r="CC223" i="56" s="1"/>
  <c r="CK223" i="56" s="1"/>
  <c r="BV223" i="56"/>
  <c r="BU223" i="56"/>
  <c r="BT223" i="56"/>
  <c r="CJ222" i="56"/>
  <c r="CC222" i="56"/>
  <c r="CK222" i="56" s="1"/>
  <c r="CA222" i="56"/>
  <c r="BZ222" i="56"/>
  <c r="BY222" i="56"/>
  <c r="CJ221" i="56"/>
  <c r="CA221" i="56"/>
  <c r="BZ221" i="56"/>
  <c r="BY221" i="56"/>
  <c r="BX221" i="56"/>
  <c r="CC221" i="56" s="1"/>
  <c r="CK221" i="56" s="1"/>
  <c r="BW221" i="56"/>
  <c r="CJ220" i="56"/>
  <c r="CA220" i="56"/>
  <c r="BZ220" i="56"/>
  <c r="BY220" i="56"/>
  <c r="BX220" i="56"/>
  <c r="CC220" i="56" s="1"/>
  <c r="CK220" i="56" s="1"/>
  <c r="BV220" i="56"/>
  <c r="BU220" i="56"/>
  <c r="BT220" i="56"/>
  <c r="CJ219" i="56"/>
  <c r="CA219" i="56"/>
  <c r="BZ219" i="56"/>
  <c r="BY219" i="56"/>
  <c r="BX219" i="56"/>
  <c r="CC219" i="56" s="1"/>
  <c r="CK219" i="56" s="1"/>
  <c r="BV219" i="56"/>
  <c r="BU219" i="56"/>
  <c r="BT219" i="56"/>
  <c r="CJ218" i="56"/>
  <c r="CA218" i="56"/>
  <c r="BZ218" i="56"/>
  <c r="BY218" i="56"/>
  <c r="BX218" i="56"/>
  <c r="CC218" i="56" s="1"/>
  <c r="CK218" i="56" s="1"/>
  <c r="BV218" i="56"/>
  <c r="BU218" i="56"/>
  <c r="BT218" i="56"/>
  <c r="CJ217" i="56"/>
  <c r="CC217" i="56"/>
  <c r="CK217" i="56" s="1"/>
  <c r="CA217" i="56"/>
  <c r="BZ217" i="56"/>
  <c r="BY217" i="56"/>
  <c r="CJ216" i="56"/>
  <c r="CA216" i="56"/>
  <c r="BZ216" i="56"/>
  <c r="BY216" i="56"/>
  <c r="BX216" i="56"/>
  <c r="CC216" i="56" s="1"/>
  <c r="CK216" i="56" s="1"/>
  <c r="BW216" i="56"/>
  <c r="CJ215" i="56"/>
  <c r="CA215" i="56"/>
  <c r="BZ215" i="56"/>
  <c r="BY215" i="56"/>
  <c r="BX215" i="56"/>
  <c r="CC215" i="56" s="1"/>
  <c r="CK215" i="56" s="1"/>
  <c r="BV215" i="56"/>
  <c r="BU215" i="56"/>
  <c r="BT215" i="56"/>
  <c r="CJ214" i="56"/>
  <c r="CA214" i="56"/>
  <c r="BZ214" i="56"/>
  <c r="BY214" i="56"/>
  <c r="BX214" i="56"/>
  <c r="CC214" i="56" s="1"/>
  <c r="CK214" i="56" s="1"/>
  <c r="BV214" i="56"/>
  <c r="BU214" i="56"/>
  <c r="BT214" i="56"/>
  <c r="CJ213" i="56"/>
  <c r="CA213" i="56"/>
  <c r="BZ213" i="56"/>
  <c r="BY213" i="56"/>
  <c r="BX213" i="56"/>
  <c r="CC213" i="56" s="1"/>
  <c r="CK213" i="56" s="1"/>
  <c r="BW213" i="56"/>
  <c r="CJ212" i="56"/>
  <c r="CC212" i="56"/>
  <c r="CK212" i="56" s="1"/>
  <c r="CA212" i="56"/>
  <c r="BZ212" i="56"/>
  <c r="BY212" i="56"/>
  <c r="CJ198" i="56"/>
  <c r="CC198" i="56"/>
  <c r="CK198" i="56" s="1"/>
  <c r="CA198" i="56"/>
  <c r="BZ198" i="56"/>
  <c r="BY198" i="56"/>
  <c r="CJ197" i="56"/>
  <c r="CA197" i="56"/>
  <c r="BZ197" i="56"/>
  <c r="BY197" i="56"/>
  <c r="BX197" i="56"/>
  <c r="CC197" i="56" s="1"/>
  <c r="CK197" i="56" s="1"/>
  <c r="BV197" i="56"/>
  <c r="BU197" i="56"/>
  <c r="BT197" i="56"/>
  <c r="CJ196" i="56"/>
  <c r="CC196" i="56"/>
  <c r="CK196" i="56" s="1"/>
  <c r="CA196" i="56"/>
  <c r="BZ196" i="56"/>
  <c r="BY196" i="56"/>
  <c r="CJ195" i="56"/>
  <c r="CA195" i="56"/>
  <c r="BZ195" i="56"/>
  <c r="BY195" i="56"/>
  <c r="BX195" i="56"/>
  <c r="CC195" i="56" s="1"/>
  <c r="CK195" i="56" s="1"/>
  <c r="BV195" i="56"/>
  <c r="BU195" i="56"/>
  <c r="BT195" i="56"/>
  <c r="CJ194" i="56"/>
  <c r="CA194" i="56"/>
  <c r="BZ194" i="56"/>
  <c r="BY194" i="56"/>
  <c r="BX194" i="56"/>
  <c r="CC194" i="56" s="1"/>
  <c r="CK194" i="56" s="1"/>
  <c r="BV194" i="56"/>
  <c r="BU194" i="56"/>
  <c r="BT194" i="56"/>
  <c r="CJ193" i="56"/>
  <c r="CA193" i="56"/>
  <c r="BZ193" i="56"/>
  <c r="BY193" i="56"/>
  <c r="BX193" i="56"/>
  <c r="CC193" i="56" s="1"/>
  <c r="CK193" i="56" s="1"/>
  <c r="BV193" i="56"/>
  <c r="BU193" i="56"/>
  <c r="BT193" i="56"/>
  <c r="CJ192" i="56"/>
  <c r="CA192" i="56"/>
  <c r="BZ192" i="56"/>
  <c r="BY192" i="56"/>
  <c r="BX192" i="56"/>
  <c r="CC192" i="56" s="1"/>
  <c r="CK192" i="56" s="1"/>
  <c r="BV192" i="56"/>
  <c r="BU192" i="56"/>
  <c r="BT192" i="56"/>
  <c r="CJ191" i="56"/>
  <c r="CA191" i="56"/>
  <c r="BZ191" i="56"/>
  <c r="BY191" i="56"/>
  <c r="BX191" i="56"/>
  <c r="CC191" i="56" s="1"/>
  <c r="CK191" i="56" s="1"/>
  <c r="BV191" i="56"/>
  <c r="BU191" i="56"/>
  <c r="BT191" i="56"/>
  <c r="CJ190" i="56"/>
  <c r="CA190" i="56"/>
  <c r="BZ190" i="56"/>
  <c r="BY190" i="56"/>
  <c r="BX190" i="56"/>
  <c r="CC190" i="56" s="1"/>
  <c r="CK190" i="56" s="1"/>
  <c r="BV190" i="56"/>
  <c r="BU190" i="56"/>
  <c r="BT190" i="56"/>
  <c r="CJ189" i="56"/>
  <c r="CA189" i="56"/>
  <c r="BZ189" i="56"/>
  <c r="BY189" i="56"/>
  <c r="BX189" i="56"/>
  <c r="CC189" i="56" s="1"/>
  <c r="CK189" i="56" s="1"/>
  <c r="BV189" i="56"/>
  <c r="BU189" i="56"/>
  <c r="BT189" i="56"/>
  <c r="CJ188" i="56"/>
  <c r="CA188" i="56"/>
  <c r="BZ188" i="56"/>
  <c r="BY188" i="56"/>
  <c r="BX188" i="56"/>
  <c r="CC188" i="56" s="1"/>
  <c r="CK188" i="56" s="1"/>
  <c r="BV188" i="56"/>
  <c r="BU188" i="56"/>
  <c r="BT188" i="56"/>
  <c r="CJ187" i="56"/>
  <c r="CA187" i="56"/>
  <c r="BZ187" i="56"/>
  <c r="BY187" i="56"/>
  <c r="BX187" i="56"/>
  <c r="CC187" i="56" s="1"/>
  <c r="CK187" i="56" s="1"/>
  <c r="BV187" i="56"/>
  <c r="BU187" i="56"/>
  <c r="BT187" i="56"/>
  <c r="CJ186" i="56"/>
  <c r="CA186" i="56"/>
  <c r="BZ186" i="56"/>
  <c r="BY186" i="56"/>
  <c r="BX186" i="56"/>
  <c r="CC186" i="56" s="1"/>
  <c r="CK186" i="56" s="1"/>
  <c r="BV186" i="56"/>
  <c r="BU186" i="56"/>
  <c r="BT186" i="56"/>
  <c r="CJ185" i="56"/>
  <c r="CA185" i="56"/>
  <c r="BZ185" i="56"/>
  <c r="BY185" i="56"/>
  <c r="BX185" i="56"/>
  <c r="CC185" i="56" s="1"/>
  <c r="BV185" i="56"/>
  <c r="BU185" i="56"/>
  <c r="BT185" i="56"/>
  <c r="CJ184" i="56"/>
  <c r="CA184" i="56"/>
  <c r="BZ184" i="56"/>
  <c r="BY184" i="56"/>
  <c r="BX184" i="56"/>
  <c r="CC184" i="56" s="1"/>
  <c r="CK184" i="56" s="1"/>
  <c r="BV184" i="56"/>
  <c r="BU184" i="56"/>
  <c r="BT184" i="56"/>
  <c r="CJ183" i="56"/>
  <c r="CA183" i="56"/>
  <c r="BZ183" i="56"/>
  <c r="BY183" i="56"/>
  <c r="BX183" i="56"/>
  <c r="CC183" i="56" s="1"/>
  <c r="CK183" i="56" s="1"/>
  <c r="BV183" i="56"/>
  <c r="BU183" i="56"/>
  <c r="BT183" i="56"/>
  <c r="CJ182" i="56"/>
  <c r="CK182" i="56" s="1"/>
  <c r="CC182" i="56"/>
  <c r="CA182" i="56"/>
  <c r="BZ182" i="56"/>
  <c r="BY182" i="56"/>
  <c r="CJ181" i="56"/>
  <c r="CA181" i="56"/>
  <c r="BZ181" i="56"/>
  <c r="BY181" i="56"/>
  <c r="BX181" i="56"/>
  <c r="BV181" i="56"/>
  <c r="BU181" i="56"/>
  <c r="BT181" i="56"/>
  <c r="CJ180" i="56"/>
  <c r="CA180" i="56"/>
  <c r="BZ180" i="56"/>
  <c r="BY180" i="56"/>
  <c r="BX180" i="56"/>
  <c r="CC180" i="56" s="1"/>
  <c r="CK180" i="56" s="1"/>
  <c r="BV180" i="56"/>
  <c r="BU180" i="56"/>
  <c r="BT180" i="56"/>
  <c r="CJ179" i="56"/>
  <c r="CA179" i="56"/>
  <c r="BZ179" i="56"/>
  <c r="BY179" i="56"/>
  <c r="BX179" i="56"/>
  <c r="CC179" i="56" s="1"/>
  <c r="CK179" i="56" s="1"/>
  <c r="BV179" i="56"/>
  <c r="BU179" i="56"/>
  <c r="BT179" i="56"/>
  <c r="CJ178" i="56"/>
  <c r="CA178" i="56"/>
  <c r="BZ178" i="56"/>
  <c r="BY178" i="56"/>
  <c r="BX178" i="56"/>
  <c r="CC178" i="56" s="1"/>
  <c r="CK178" i="56" s="1"/>
  <c r="BV178" i="56"/>
  <c r="BU178" i="56"/>
  <c r="BT178" i="56"/>
  <c r="CJ177" i="56"/>
  <c r="CA177" i="56"/>
  <c r="BZ177" i="56"/>
  <c r="BY177" i="56"/>
  <c r="BX177" i="56"/>
  <c r="CC177" i="56" s="1"/>
  <c r="CK177" i="56" s="1"/>
  <c r="BV177" i="56"/>
  <c r="BU177" i="56"/>
  <c r="BT177" i="56"/>
  <c r="CJ176" i="56"/>
  <c r="CA176" i="56"/>
  <c r="BZ176" i="56"/>
  <c r="BY176" i="56"/>
  <c r="BX176" i="56"/>
  <c r="CC176" i="56" s="1"/>
  <c r="CK176" i="56" s="1"/>
  <c r="BV176" i="56"/>
  <c r="BU176" i="56"/>
  <c r="BT176" i="56"/>
  <c r="CJ175" i="56"/>
  <c r="CA175" i="56"/>
  <c r="BZ175" i="56"/>
  <c r="BY175" i="56"/>
  <c r="BX175" i="56"/>
  <c r="CC175" i="56" s="1"/>
  <c r="CK175" i="56" s="1"/>
  <c r="BV175" i="56"/>
  <c r="BU175" i="56"/>
  <c r="BT175" i="56"/>
  <c r="CJ174" i="56"/>
  <c r="CA174" i="56"/>
  <c r="BZ174" i="56"/>
  <c r="BY174" i="56"/>
  <c r="BX174" i="56"/>
  <c r="CC174" i="56" s="1"/>
  <c r="CK174" i="56" s="1"/>
  <c r="BV174" i="56"/>
  <c r="BU174" i="56"/>
  <c r="BT174" i="56"/>
  <c r="CJ173" i="56"/>
  <c r="BX173" i="56"/>
  <c r="BV173" i="56"/>
  <c r="BU173" i="56"/>
  <c r="BT173" i="56"/>
  <c r="CJ172" i="56"/>
  <c r="CA172" i="56"/>
  <c r="BZ172" i="56"/>
  <c r="BY172" i="56"/>
  <c r="BX172" i="56"/>
  <c r="CC172" i="56" s="1"/>
  <c r="CK172" i="56" s="1"/>
  <c r="BV172" i="56"/>
  <c r="BU172" i="56"/>
  <c r="BT172" i="56"/>
  <c r="CK171" i="56"/>
  <c r="CJ171" i="56"/>
  <c r="BZ171" i="56"/>
  <c r="CB171" i="56" s="1"/>
  <c r="BV171" i="56"/>
  <c r="BU171" i="56"/>
  <c r="BT171" i="56"/>
  <c r="CJ170" i="56"/>
  <c r="CB170" i="56"/>
  <c r="BX170" i="56"/>
  <c r="BV170" i="56"/>
  <c r="BU170" i="56"/>
  <c r="BT170" i="56"/>
  <c r="CJ169" i="56"/>
  <c r="BZ169" i="56"/>
  <c r="BY169" i="56"/>
  <c r="BX169" i="56"/>
  <c r="BV169" i="56"/>
  <c r="BU169" i="56"/>
  <c r="BT169" i="56"/>
  <c r="CJ167" i="56"/>
  <c r="CB167" i="56"/>
  <c r="BX167" i="56"/>
  <c r="BV167" i="56"/>
  <c r="BU167" i="56"/>
  <c r="BT167" i="56"/>
  <c r="CJ166" i="56"/>
  <c r="CB166" i="56"/>
  <c r="BX166" i="56"/>
  <c r="BV166" i="56"/>
  <c r="BU166" i="56"/>
  <c r="BT166" i="56"/>
  <c r="CJ165" i="56"/>
  <c r="BY165" i="56"/>
  <c r="CB165" i="56" s="1"/>
  <c r="BX165" i="56"/>
  <c r="BV165" i="56"/>
  <c r="BU165" i="56"/>
  <c r="BT165" i="56"/>
  <c r="CJ164" i="56"/>
  <c r="CB164" i="56"/>
  <c r="BX164" i="56"/>
  <c r="BV164" i="56"/>
  <c r="BU164" i="56"/>
  <c r="BT164" i="56"/>
  <c r="CJ163" i="56"/>
  <c r="CB163" i="56"/>
  <c r="BX163" i="56"/>
  <c r="BV163" i="56"/>
  <c r="BU163" i="56"/>
  <c r="BT163" i="56"/>
  <c r="CK162" i="56"/>
  <c r="CJ162" i="56"/>
  <c r="CB162" i="56"/>
  <c r="BV162" i="56"/>
  <c r="BU162" i="56"/>
  <c r="BT162" i="56"/>
  <c r="CJ161" i="56"/>
  <c r="CB161" i="56"/>
  <c r="BX161" i="56"/>
  <c r="BV161" i="56"/>
  <c r="BU161" i="56"/>
  <c r="BT161" i="56"/>
  <c r="CJ160" i="56"/>
  <c r="CB160" i="56"/>
  <c r="BX160" i="56"/>
  <c r="BV160" i="56"/>
  <c r="BU160" i="56"/>
  <c r="BT160" i="56"/>
  <c r="CK159" i="56"/>
  <c r="CJ159" i="56"/>
  <c r="BW159" i="56"/>
  <c r="CJ158" i="56"/>
  <c r="CA158" i="56"/>
  <c r="BZ158" i="56"/>
  <c r="BY158" i="56"/>
  <c r="BV158" i="56"/>
  <c r="BU158" i="56"/>
  <c r="BT158" i="56"/>
  <c r="CJ157" i="56"/>
  <c r="CA157" i="56"/>
  <c r="BZ157" i="56"/>
  <c r="BY157" i="56"/>
  <c r="BV157" i="56"/>
  <c r="BU157" i="56"/>
  <c r="BT157" i="56"/>
  <c r="CJ156" i="56"/>
  <c r="CC156" i="56"/>
  <c r="CA156" i="56"/>
  <c r="BZ156" i="56"/>
  <c r="BY156" i="56"/>
  <c r="BX156" i="56"/>
  <c r="BV156" i="56"/>
  <c r="BU156" i="56"/>
  <c r="BT156" i="56"/>
  <c r="BS156" i="56"/>
  <c r="CK156" i="56" s="1"/>
  <c r="CJ155" i="56"/>
  <c r="CA155" i="56"/>
  <c r="BZ155" i="56"/>
  <c r="BY155" i="56"/>
  <c r="BX155" i="56"/>
  <c r="BV155" i="56"/>
  <c r="BU155" i="56"/>
  <c r="BT155" i="56"/>
  <c r="BS155" i="56"/>
  <c r="CK155" i="56" s="1"/>
  <c r="CJ154" i="56"/>
  <c r="CA154" i="56"/>
  <c r="BZ154" i="56"/>
  <c r="BY154" i="56"/>
  <c r="BX154" i="56"/>
  <c r="BV154" i="56"/>
  <c r="BU154" i="56"/>
  <c r="BT154" i="56"/>
  <c r="BS154" i="56"/>
  <c r="CJ153" i="56"/>
  <c r="BZ153" i="56"/>
  <c r="BY153" i="56"/>
  <c r="BX153" i="56"/>
  <c r="BV153" i="56"/>
  <c r="BU153" i="56"/>
  <c r="BT153" i="56"/>
  <c r="BS153" i="56"/>
  <c r="CK152" i="56"/>
  <c r="CJ152" i="56"/>
  <c r="CB152" i="56"/>
  <c r="BV152" i="56"/>
  <c r="BU152" i="56"/>
  <c r="BT152" i="56"/>
  <c r="CJ151" i="56"/>
  <c r="CB151" i="56"/>
  <c r="BV151" i="56"/>
  <c r="BT151" i="56"/>
  <c r="BS151" i="56"/>
  <c r="CK151" i="56" s="1"/>
  <c r="CK150" i="56"/>
  <c r="CJ150" i="56"/>
  <c r="CA150" i="56"/>
  <c r="CB150" i="56" s="1"/>
  <c r="BW150" i="56"/>
  <c r="CK149" i="56"/>
  <c r="CJ149" i="56"/>
  <c r="CB149" i="56"/>
  <c r="BV149" i="56"/>
  <c r="BU149" i="56"/>
  <c r="BT149" i="56"/>
  <c r="CK148" i="56"/>
  <c r="CJ148" i="56"/>
  <c r="CA148" i="56"/>
  <c r="CB148" i="56" s="1"/>
  <c r="BU148" i="56"/>
  <c r="BT148" i="56"/>
  <c r="CK147" i="56"/>
  <c r="CJ147" i="56"/>
  <c r="CB147" i="56"/>
  <c r="BV147" i="56"/>
  <c r="BU147" i="56"/>
  <c r="BT147" i="56"/>
  <c r="CJ146" i="56"/>
  <c r="CB146" i="56"/>
  <c r="BX146" i="56"/>
  <c r="BV146" i="56"/>
  <c r="BU146" i="56"/>
  <c r="BT146" i="56"/>
  <c r="BS146" i="56"/>
  <c r="CK146" i="56" s="1"/>
  <c r="CJ145" i="56"/>
  <c r="CB145" i="56"/>
  <c r="BX145" i="56"/>
  <c r="BV145" i="56"/>
  <c r="BU145" i="56"/>
  <c r="BT145" i="56"/>
  <c r="BS145" i="56"/>
  <c r="CK145" i="56" s="1"/>
  <c r="CK144" i="56"/>
  <c r="CJ144" i="56"/>
  <c r="CB144" i="56"/>
  <c r="BV144" i="56"/>
  <c r="BU144" i="56"/>
  <c r="BT144" i="56"/>
  <c r="CJ143" i="56"/>
  <c r="BY143" i="56"/>
  <c r="CB143" i="56" s="1"/>
  <c r="BX143" i="56"/>
  <c r="CK143" i="56" s="1"/>
  <c r="BV143" i="56"/>
  <c r="BU143" i="56"/>
  <c r="BT143" i="56"/>
  <c r="CK154" i="56" l="1"/>
  <c r="CK160" i="56"/>
  <c r="CB153" i="56"/>
  <c r="BW143" i="56"/>
  <c r="BW155" i="56"/>
  <c r="CB219" i="56"/>
  <c r="BW172" i="56"/>
  <c r="BW148" i="56"/>
  <c r="BW176" i="56"/>
  <c r="BW197" i="56"/>
  <c r="CB214" i="56"/>
  <c r="CB225" i="56"/>
  <c r="CB227" i="56"/>
  <c r="CB228" i="56"/>
  <c r="CB177" i="56"/>
  <c r="BW180" i="56"/>
  <c r="CK163" i="56"/>
  <c r="CB175" i="56"/>
  <c r="CB179" i="56"/>
  <c r="CB212" i="56"/>
  <c r="CB220" i="56"/>
  <c r="BW146" i="56"/>
  <c r="CB169" i="56"/>
  <c r="CB174" i="56"/>
  <c r="BW215" i="56"/>
  <c r="BW219" i="56"/>
  <c r="BW223" i="56"/>
  <c r="CB224" i="56"/>
  <c r="BW235" i="56"/>
  <c r="BW236" i="56"/>
  <c r="CK169" i="56"/>
  <c r="BW232" i="56"/>
  <c r="BW149" i="56"/>
  <c r="CB158" i="56"/>
  <c r="BW164" i="56"/>
  <c r="CK170" i="56"/>
  <c r="CB172" i="56"/>
  <c r="BW173" i="56"/>
  <c r="CB178" i="56"/>
  <c r="CB215" i="56"/>
  <c r="CB217" i="56"/>
  <c r="BW218" i="56"/>
  <c r="CB181" i="56"/>
  <c r="BW151" i="56"/>
  <c r="BW145" i="56"/>
  <c r="CB154" i="56"/>
  <c r="CB156" i="56"/>
  <c r="CB184" i="56"/>
  <c r="CB188" i="56"/>
  <c r="CB236" i="56"/>
  <c r="BW144" i="56"/>
  <c r="BW147" i="56"/>
  <c r="BW152" i="56"/>
  <c r="BW154" i="56"/>
  <c r="BW156" i="56"/>
  <c r="CB157" i="56"/>
  <c r="BW163" i="56"/>
  <c r="CK164" i="56"/>
  <c r="BW165" i="56"/>
  <c r="BW174" i="56"/>
  <c r="BW178" i="56"/>
  <c r="CB182" i="56"/>
  <c r="BW184" i="56"/>
  <c r="CB185" i="56"/>
  <c r="BW188" i="56"/>
  <c r="CB189" i="56"/>
  <c r="BW192" i="56"/>
  <c r="CB193" i="56"/>
  <c r="CB196" i="56"/>
  <c r="BW220" i="56"/>
  <c r="CB222" i="56"/>
  <c r="CB232" i="56"/>
  <c r="CB235" i="56"/>
  <c r="CK346" i="56"/>
  <c r="BW153" i="56"/>
  <c r="BW158" i="56"/>
  <c r="BW183" i="56"/>
  <c r="BW187" i="56"/>
  <c r="BW191" i="56"/>
  <c r="CB192" i="56"/>
  <c r="BW195" i="56"/>
  <c r="CB197" i="56"/>
  <c r="CB213" i="56"/>
  <c r="CB223" i="56"/>
  <c r="CK153" i="56"/>
  <c r="CB155" i="56"/>
  <c r="BW157" i="56"/>
  <c r="BW160" i="56"/>
  <c r="CK167" i="56"/>
  <c r="BW170" i="56"/>
  <c r="BW171" i="56"/>
  <c r="CK173" i="56"/>
  <c r="CB176" i="56"/>
  <c r="CB180" i="56"/>
  <c r="CK181" i="56"/>
  <c r="CB198" i="56"/>
  <c r="BW214" i="56"/>
  <c r="CB218" i="56"/>
  <c r="BW224" i="56"/>
  <c r="CB229" i="56"/>
  <c r="CB231" i="56"/>
  <c r="BW234" i="56"/>
  <c r="BW237" i="56"/>
  <c r="CK345" i="56"/>
  <c r="BW161" i="56"/>
  <c r="BW166" i="56"/>
  <c r="BW169" i="56"/>
  <c r="CB186" i="56"/>
  <c r="CB190" i="56"/>
  <c r="BW193" i="56"/>
  <c r="CK161" i="56"/>
  <c r="CK166" i="56"/>
  <c r="BW175" i="56"/>
  <c r="BW177" i="56"/>
  <c r="BW179" i="56"/>
  <c r="BW181" i="56"/>
  <c r="CB183" i="56"/>
  <c r="CK185" i="56"/>
  <c r="BW186" i="56"/>
  <c r="CB187" i="56"/>
  <c r="BW190" i="56"/>
  <c r="CB191" i="56"/>
  <c r="BW194" i="56"/>
  <c r="CB195" i="56"/>
  <c r="CB216" i="56"/>
  <c r="CB221" i="56"/>
  <c r="CB226" i="56"/>
  <c r="CB230" i="56"/>
  <c r="CB233" i="56"/>
  <c r="CB237" i="56"/>
  <c r="CC181" i="56"/>
  <c r="BW185" i="56"/>
  <c r="BW189" i="56"/>
  <c r="CB194" i="56"/>
  <c r="CB234" i="56"/>
  <c r="BW162" i="56"/>
  <c r="CK165" i="56"/>
  <c r="BW167" i="5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 J. Clay</author>
    <author>Suffel, Chad A.</author>
  </authors>
  <commentList>
    <comment ref="G42" authorId="0" shapeId="0" xr:uid="{96FC8ECA-1AA4-4E60-8F2C-E91689BAA959}">
      <text>
        <r>
          <rPr>
            <b/>
            <sz val="9"/>
            <color indexed="81"/>
            <rFont val="Tahoma"/>
            <family val="2"/>
          </rPr>
          <t xml:space="preserve">Estimated number of vehicles &amp; Off Hwy 
equipment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6" authorId="0" shapeId="0" xr:uid="{A10B7DB0-A5F2-4862-84D7-E8AD6023B49F}">
      <text>
        <r>
          <rPr>
            <b/>
            <sz val="9"/>
            <color indexed="81"/>
            <rFont val="Tahoma"/>
            <family val="2"/>
          </rPr>
          <t>Estimated number of vehicles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T244" authorId="1" shapeId="0" xr:uid="{00000000-0006-0000-0100-000001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U244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1pk.  Carton is used as unit pack</t>
        </r>
      </text>
    </comment>
    <comment ref="BV244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X244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Filter weight + carton weight</t>
        </r>
      </text>
    </comment>
    <comment ref="CK244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Includes weigth of GMA 48x40 pallet (50lbs)</t>
        </r>
      </text>
    </comment>
    <comment ref="BT245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U245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V245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X245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Weight of filter + carton</t>
        </r>
      </text>
    </comment>
    <comment ref="CK245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Includes weigth of GMA 48x40 pallet (50lbs)</t>
        </r>
      </text>
    </comment>
  </commentList>
</comments>
</file>

<file path=xl/sharedStrings.xml><?xml version="1.0" encoding="utf-8"?>
<sst xmlns="http://schemas.openxmlformats.org/spreadsheetml/2006/main" count="10872" uniqueCount="4048">
  <si>
    <t>Part Number</t>
  </si>
  <si>
    <t>Primary Application Information</t>
  </si>
  <si>
    <t>Description (Filter Type)</t>
  </si>
  <si>
    <t>OE Ref Mfg #1</t>
  </si>
  <si>
    <t>OE Ref Mfg #2</t>
  </si>
  <si>
    <t>OE Ref Mfg #3</t>
  </si>
  <si>
    <t>Baldwin</t>
  </si>
  <si>
    <t>Carquest</t>
  </si>
  <si>
    <t>Donaldson</t>
  </si>
  <si>
    <t>Fleetguard</t>
  </si>
  <si>
    <t>Hastings</t>
  </si>
  <si>
    <t>Wix</t>
  </si>
  <si>
    <t>Luberfiner</t>
  </si>
  <si>
    <t>OE Cross Reference Information</t>
  </si>
  <si>
    <t>Competitive Cross Reference Information</t>
  </si>
  <si>
    <t>General Part Information</t>
  </si>
  <si>
    <t>UPC Code</t>
  </si>
  <si>
    <t xml:space="preserve"> Bar Code Information</t>
  </si>
  <si>
    <t>Jobber</t>
  </si>
  <si>
    <t>Unit Box Information</t>
  </si>
  <si>
    <t>Length</t>
  </si>
  <si>
    <t>Width</t>
  </si>
  <si>
    <t>Height</t>
  </si>
  <si>
    <t>Cube</t>
  </si>
  <si>
    <t>Weight</t>
  </si>
  <si>
    <t>Carton Information</t>
  </si>
  <si>
    <t>Carton Qty</t>
  </si>
  <si>
    <t>Cartons/Tier</t>
  </si>
  <si>
    <t>Tiers Per Pallet</t>
  </si>
  <si>
    <t>Pallet Quantity</t>
  </si>
  <si>
    <t>Pallet Weight</t>
  </si>
  <si>
    <t>Other Data</t>
  </si>
  <si>
    <t>Country of Origin</t>
  </si>
  <si>
    <t>Champ</t>
  </si>
  <si>
    <t>Mann / Hummel</t>
  </si>
  <si>
    <t>Purolator</t>
  </si>
  <si>
    <t>Service Champ</t>
  </si>
  <si>
    <t>Warner</t>
  </si>
  <si>
    <t>Freight Class</t>
  </si>
  <si>
    <t>Popularity  Rank</t>
  </si>
  <si>
    <t>VIO Estimate</t>
  </si>
  <si>
    <t>Harmonized Tariff Code</t>
  </si>
  <si>
    <t>Branded Packaging</t>
  </si>
  <si>
    <t>NAPA</t>
  </si>
  <si>
    <t>Bosch</t>
  </si>
  <si>
    <t>Firestone</t>
  </si>
  <si>
    <t>K&amp;N</t>
  </si>
  <si>
    <t>Motorcraft</t>
  </si>
  <si>
    <t>Hengst</t>
  </si>
  <si>
    <t>Fram</t>
  </si>
  <si>
    <t>OE Ref Mfg #4</t>
  </si>
  <si>
    <t>I 2 of 5 Code</t>
  </si>
  <si>
    <t>OE Ref Mfg #5</t>
  </si>
  <si>
    <t>OE Ref Mfg #6</t>
  </si>
  <si>
    <t>HD</t>
  </si>
  <si>
    <t>Price Change Effective Date</t>
  </si>
  <si>
    <t>Status</t>
  </si>
  <si>
    <t>PART NUMBER UPDATES</t>
  </si>
  <si>
    <t>OE Ref Mfg #7</t>
  </si>
  <si>
    <t>Fuel Filter</t>
  </si>
  <si>
    <t>PV or HD</t>
  </si>
  <si>
    <t>Price  Information</t>
  </si>
  <si>
    <t>STP</t>
  </si>
  <si>
    <t>Filter Dimensions</t>
  </si>
  <si>
    <t>OD</t>
  </si>
  <si>
    <t>ID</t>
  </si>
  <si>
    <t>Obsolete</t>
  </si>
  <si>
    <t>Date</t>
  </si>
  <si>
    <t>Brand</t>
  </si>
  <si>
    <t xml:space="preserve">Mobil </t>
  </si>
  <si>
    <t>LAF4712</t>
  </si>
  <si>
    <t>Air Filter</t>
  </si>
  <si>
    <t>Hydraulic Filter</t>
  </si>
  <si>
    <t>LAF6986</t>
  </si>
  <si>
    <t>Valvoline</t>
  </si>
  <si>
    <t>New Price</t>
  </si>
  <si>
    <t>LAF1713</t>
  </si>
  <si>
    <t>LAF1128</t>
  </si>
  <si>
    <t>LAF1737</t>
  </si>
  <si>
    <t>LMB50</t>
  </si>
  <si>
    <t>LFH8297</t>
  </si>
  <si>
    <t>A777</t>
  </si>
  <si>
    <t>LH2544</t>
  </si>
  <si>
    <t>Central America</t>
  </si>
  <si>
    <t>Oil Filter</t>
  </si>
  <si>
    <t>KNECHT/MAHLE</t>
  </si>
  <si>
    <t>LAK812</t>
  </si>
  <si>
    <t>AF9911</t>
  </si>
  <si>
    <t xml:space="preserve">PV </t>
  </si>
  <si>
    <t>Ford CMAX (2013-16), Fusion Hybrid (2013-16)
  Motorcraft FA1911</t>
  </si>
  <si>
    <t>Ford</t>
  </si>
  <si>
    <t>DG9Z-9601-A</t>
  </si>
  <si>
    <t>33-5001</t>
  </si>
  <si>
    <t>FA 1911</t>
  </si>
  <si>
    <t>A36271</t>
  </si>
  <si>
    <t>SA11482</t>
  </si>
  <si>
    <t>AF6271</t>
  </si>
  <si>
    <t>WAF9911</t>
  </si>
  <si>
    <t>WA10038</t>
  </si>
  <si>
    <t>CAF1929P</t>
  </si>
  <si>
    <t>Air Filter, Cabin</t>
  </si>
  <si>
    <t xml:space="preserve">Jaguar XF Series (2009-16) </t>
  </si>
  <si>
    <t>Jaguar</t>
  </si>
  <si>
    <t>C2Z6525</t>
  </si>
  <si>
    <t>CAF1872P</t>
  </si>
  <si>
    <t>PV</t>
  </si>
  <si>
    <t>Buick Lacrosse (2010-16), Cadillac SRX (2010-16),  Chevrolet Cruze (2011-16  Dust and Odor</t>
  </si>
  <si>
    <t>GM</t>
  </si>
  <si>
    <t>AC Delco</t>
  </si>
  <si>
    <t>CF176</t>
  </si>
  <si>
    <t>CA10775</t>
  </si>
  <si>
    <t>C36154C</t>
  </si>
  <si>
    <t>CAF1872C</t>
  </si>
  <si>
    <t>C36154</t>
  </si>
  <si>
    <t>VCA1078C</t>
  </si>
  <si>
    <t>WCAF1872</t>
  </si>
  <si>
    <t>CAF1904C</t>
  </si>
  <si>
    <t>Cadillac XTS (2013)</t>
  </si>
  <si>
    <t>CF185</t>
  </si>
  <si>
    <t>PA10014</t>
  </si>
  <si>
    <t>WCAF1904</t>
  </si>
  <si>
    <t>WP10192</t>
  </si>
  <si>
    <t>CAF1913C</t>
  </si>
  <si>
    <t>BMW 328 Series (2013) Dust and Odor</t>
  </si>
  <si>
    <t>BMW</t>
  </si>
  <si>
    <t>90289C</t>
  </si>
  <si>
    <t>CUK25011</t>
  </si>
  <si>
    <t>P1018</t>
  </si>
  <si>
    <t xml:space="preserve">Mercedes V8 5.5L (2011-16)  </t>
  </si>
  <si>
    <t>Mercedes</t>
  </si>
  <si>
    <t>S11792</t>
  </si>
  <si>
    <t>WP1018</t>
  </si>
  <si>
    <t>038568744333</t>
  </si>
  <si>
    <t>10038568744330</t>
  </si>
  <si>
    <t>Yes</t>
  </si>
  <si>
    <t>Mexico</t>
  </si>
  <si>
    <t>8421.31.0000</t>
  </si>
  <si>
    <t>038568743275</t>
  </si>
  <si>
    <t>10038568743272</t>
  </si>
  <si>
    <t>China</t>
  </si>
  <si>
    <t>8421.39.8015</t>
  </si>
  <si>
    <t>038568744425</t>
  </si>
  <si>
    <t>10038568744422</t>
  </si>
  <si>
    <t>038568743794</t>
  </si>
  <si>
    <t>10038568743791</t>
  </si>
  <si>
    <t>038568743824</t>
  </si>
  <si>
    <t>10038568743821</t>
  </si>
  <si>
    <t>038568742940</t>
  </si>
  <si>
    <t>10038568742947</t>
  </si>
  <si>
    <t>Bulgaria</t>
  </si>
  <si>
    <t>8421.23.0000</t>
  </si>
  <si>
    <t>NEW PRODUCT INTRODUCTIONS</t>
  </si>
  <si>
    <t>Mobil 1</t>
  </si>
  <si>
    <t>LFP7075</t>
  </si>
  <si>
    <t>Case Int. JX1060C, JX1070C; New Holland Tractors  TD60D, TD70D, TD75D Tractors</t>
  </si>
  <si>
    <t>Case Int'l</t>
  </si>
  <si>
    <t>New Holland</t>
  </si>
  <si>
    <t>B7219</t>
  </si>
  <si>
    <t>P502549</t>
  </si>
  <si>
    <t>LF17483</t>
  </si>
  <si>
    <t>PH5964</t>
  </si>
  <si>
    <t>038568737915</t>
  </si>
  <si>
    <t>10038568737912</t>
  </si>
  <si>
    <t>No</t>
  </si>
  <si>
    <t>CHINA</t>
  </si>
  <si>
    <t>8421230000</t>
  </si>
  <si>
    <t>L4367F</t>
  </si>
  <si>
    <t>Nissan;  International Scout w/Diesel eng.</t>
  </si>
  <si>
    <t>Nissan</t>
  </si>
  <si>
    <t>16403-37700</t>
  </si>
  <si>
    <t>PF861</t>
  </si>
  <si>
    <t>P550673</t>
  </si>
  <si>
    <t>038568743848</t>
  </si>
  <si>
    <t>10038568743845</t>
  </si>
  <si>
    <t>L5085F</t>
  </si>
  <si>
    <t xml:space="preserve"> Mitsubishi FE &amp; FG Trucks</t>
  </si>
  <si>
    <t xml:space="preserve">Mitsubishi </t>
  </si>
  <si>
    <t>ME222135</t>
  </si>
  <si>
    <t>PF9803</t>
  </si>
  <si>
    <t>038568743862</t>
  </si>
  <si>
    <t>10038568743869</t>
  </si>
  <si>
    <t>L7583F</t>
  </si>
  <si>
    <t>Furukawa FL200A (w/Mitsubishi 6DB10C eng.)</t>
  </si>
  <si>
    <t>PF7583</t>
  </si>
  <si>
    <t>P550044</t>
  </si>
  <si>
    <t>FF5086</t>
  </si>
  <si>
    <t>038568743855</t>
  </si>
  <si>
    <t>10038568743852</t>
  </si>
  <si>
    <t>L8852F</t>
  </si>
  <si>
    <t xml:space="preserve">Opel Mavano w/2.2L &amp; 2.5L Diesel eng.; Nissan Interstat and  Primastar w/2.5L eng.; Nissan;  Opel Mavano, and Renault Master </t>
  </si>
  <si>
    <t>16405-00QAB</t>
  </si>
  <si>
    <t>Opel</t>
  </si>
  <si>
    <t>Renault Master</t>
  </si>
  <si>
    <t>BF9801</t>
  </si>
  <si>
    <t>038568743886</t>
  </si>
  <si>
    <t>10038568743883</t>
  </si>
  <si>
    <t>L9890F</t>
  </si>
  <si>
    <t>Mitsubishi FK,FM  and FN series trucks with 6M60 engine.</t>
  </si>
  <si>
    <t>ME300361</t>
  </si>
  <si>
    <t>PF9890</t>
  </si>
  <si>
    <t>P502226</t>
  </si>
  <si>
    <t>FF5363</t>
  </si>
  <si>
    <t>038568743879</t>
  </si>
  <si>
    <t>10038568743876</t>
  </si>
  <si>
    <t>LH22142</t>
  </si>
  <si>
    <t>Fairey Arlon; Atlas Weyhausen AR52E (w/Deutz BF4L1011T eng.) J.C.B. with Cummins &amp; Perkins Engines</t>
  </si>
  <si>
    <t>Fairey Arlon</t>
  </si>
  <si>
    <t>TXW3E-CC10</t>
  </si>
  <si>
    <t>PT9479-MPG</t>
  </si>
  <si>
    <t>P171825</t>
  </si>
  <si>
    <t>038568741479</t>
  </si>
  <si>
    <t>10038568741476</t>
  </si>
  <si>
    <t>1 Unit box = 1 Carton</t>
  </si>
  <si>
    <t>CANADA</t>
  </si>
  <si>
    <t>8421290065</t>
  </si>
  <si>
    <t>LH9227V</t>
  </si>
  <si>
    <t xml:space="preserve">MP Filtri </t>
  </si>
  <si>
    <t>MP Filtri</t>
  </si>
  <si>
    <t>MF1801AM60NB</t>
  </si>
  <si>
    <t>PT9227</t>
  </si>
  <si>
    <t>P172541</t>
  </si>
  <si>
    <t>R20C60TB</t>
  </si>
  <si>
    <t>038568741769</t>
  </si>
  <si>
    <t>10038568741766</t>
  </si>
  <si>
    <t>LH9556</t>
  </si>
  <si>
    <t>Caterpillar 314D CR,314D LCR,M325C  Excavators</t>
  </si>
  <si>
    <t>Caterpillar</t>
  </si>
  <si>
    <t>PT9556-MPG</t>
  </si>
  <si>
    <t>P571271</t>
  </si>
  <si>
    <t>HF35440</t>
  </si>
  <si>
    <t>038568741868</t>
  </si>
  <si>
    <t>10038568741865</t>
  </si>
  <si>
    <t>AF5223</t>
  </si>
  <si>
    <t xml:space="preserve">Air Filter </t>
  </si>
  <si>
    <t>Honda Accord V6 (2013-15)</t>
  </si>
  <si>
    <t>Honda</t>
  </si>
  <si>
    <t>17220-5G0-A00</t>
  </si>
  <si>
    <t>CA11477</t>
  </si>
  <si>
    <t>A26283</t>
  </si>
  <si>
    <t>SA11477</t>
  </si>
  <si>
    <t>AF6283</t>
  </si>
  <si>
    <t>WAF5223</t>
  </si>
  <si>
    <t>038568744180</t>
  </si>
  <si>
    <t>10038568744187</t>
  </si>
  <si>
    <t>CAF1899P</t>
  </si>
  <si>
    <t>Ford Fiesta (2011-15)</t>
  </si>
  <si>
    <t>8V51-18D543-AA</t>
  </si>
  <si>
    <t>038568743602</t>
  </si>
  <si>
    <t>10038568743609</t>
  </si>
  <si>
    <t>CAF1908P</t>
  </si>
  <si>
    <t>Ford Fusion (2013-14)</t>
  </si>
  <si>
    <t>FP71</t>
  </si>
  <si>
    <t>PA4475</t>
  </si>
  <si>
    <t>WP10084</t>
  </si>
  <si>
    <t>038568743596</t>
  </si>
  <si>
    <t>10038568743593</t>
  </si>
  <si>
    <t>USA</t>
  </si>
  <si>
    <t>CAF1914P</t>
  </si>
  <si>
    <t xml:space="preserve">Chevrolet Silverado (2014-15) </t>
  </si>
  <si>
    <t>PA4486</t>
  </si>
  <si>
    <t>WP10129</t>
  </si>
  <si>
    <t>038568743244</t>
  </si>
  <si>
    <t>10038568743241</t>
  </si>
  <si>
    <t>CAF1920P</t>
  </si>
  <si>
    <t>Jaguar XF Series (2009-15) (Jaguar )</t>
  </si>
  <si>
    <t>038568743350</t>
  </si>
  <si>
    <t>10038568743357</t>
  </si>
  <si>
    <t>CAF1893P</t>
  </si>
  <si>
    <t xml:space="preserve">Hyundai Elantra Touring Station Wagon (2010-12)  </t>
  </si>
  <si>
    <t>Hyundai</t>
  </si>
  <si>
    <t>08790-2L000-A</t>
  </si>
  <si>
    <t>CF11666</t>
  </si>
  <si>
    <t>CAF1893</t>
  </si>
  <si>
    <t>WCAF1893</t>
  </si>
  <si>
    <t>038568743251</t>
  </si>
  <si>
    <t>10038568743258</t>
  </si>
  <si>
    <t>CAF1930C</t>
  </si>
  <si>
    <t xml:space="preserve">Audi A8, A8L (2004-10), S8 (2007-09)  </t>
  </si>
  <si>
    <t>Volkswagen</t>
  </si>
  <si>
    <t>4E0-819-439A</t>
  </si>
  <si>
    <t>C36076C</t>
  </si>
  <si>
    <t>038568743374</t>
  </si>
  <si>
    <t>10038568743371</t>
  </si>
  <si>
    <t>CAF1880P</t>
  </si>
  <si>
    <t xml:space="preserve">Hyundai Azera (2010-11) </t>
  </si>
  <si>
    <t>08790-2G000A</t>
  </si>
  <si>
    <t>CF10896</t>
  </si>
  <si>
    <t>C36157</t>
  </si>
  <si>
    <t>WCAF1880</t>
  </si>
  <si>
    <t>038568743053</t>
  </si>
  <si>
    <t>10038568743838</t>
  </si>
  <si>
    <t>CAF1937P</t>
  </si>
  <si>
    <t>Mazda Millenia (2001-02)</t>
  </si>
  <si>
    <t>Mazda</t>
  </si>
  <si>
    <t>TA05-61-J6X</t>
  </si>
  <si>
    <t>PA4406 KIT</t>
  </si>
  <si>
    <t>C35550</t>
  </si>
  <si>
    <t>038568743190</t>
  </si>
  <si>
    <t>10038568743197</t>
  </si>
  <si>
    <t>AF3178</t>
  </si>
  <si>
    <t>Air Filter, Flex</t>
  </si>
  <si>
    <t xml:space="preserve">Cadillac ATS (2013-16) </t>
  </si>
  <si>
    <t>A3178C</t>
  </si>
  <si>
    <t>CA11494</t>
  </si>
  <si>
    <t>A58153</t>
  </si>
  <si>
    <t>AF8153</t>
  </si>
  <si>
    <t>WAF3178</t>
  </si>
  <si>
    <t>038568743749</t>
  </si>
  <si>
    <t>10038568743746</t>
  </si>
  <si>
    <t>P984</t>
  </si>
  <si>
    <t>Oil Filter, Cartridge</t>
  </si>
  <si>
    <t xml:space="preserve">Audi Q7 (2009-12), Volkswagen Touareg (2009-12)  </t>
  </si>
  <si>
    <t xml:space="preserve"> 057-115-561M</t>
  </si>
  <si>
    <t>LF17485</t>
  </si>
  <si>
    <t>038568742964</t>
  </si>
  <si>
    <t>10038568742961</t>
  </si>
  <si>
    <t>Austria</t>
  </si>
  <si>
    <t>P1013</t>
  </si>
  <si>
    <t xml:space="preserve">Mercedes GLK250 (2013) </t>
  </si>
  <si>
    <t>038568742933</t>
  </si>
  <si>
    <t>10038568742930</t>
  </si>
  <si>
    <t>Korea</t>
  </si>
  <si>
    <t>P1015</t>
  </si>
  <si>
    <t xml:space="preserve">Chevrolet Cruze Diesel (2014-15)  </t>
  </si>
  <si>
    <t>038568742780</t>
  </si>
  <si>
    <t>10038568742787</t>
  </si>
  <si>
    <t>P1019</t>
  </si>
  <si>
    <t xml:space="preserve">Audi A8 V8 4.0L (2013) </t>
  </si>
  <si>
    <t>079-198-405D</t>
  </si>
  <si>
    <t>038568742889</t>
  </si>
  <si>
    <t>10038568742886</t>
  </si>
  <si>
    <t>P1014</t>
  </si>
  <si>
    <t xml:space="preserve">Jeep Grand Cherokee Diesel (2014)  </t>
  </si>
  <si>
    <t>Chrysler</t>
  </si>
  <si>
    <t>68109834AA</t>
  </si>
  <si>
    <t>P7417</t>
  </si>
  <si>
    <t>CH11794</t>
  </si>
  <si>
    <t>L38157</t>
  </si>
  <si>
    <t>WP1014</t>
  </si>
  <si>
    <t>038568742926</t>
  </si>
  <si>
    <t>10038568742923</t>
  </si>
  <si>
    <t>P1027</t>
  </si>
  <si>
    <t xml:space="preserve">2015 Hyundia Genesis V8 5.0L </t>
  </si>
  <si>
    <t>26320-3F500</t>
  </si>
  <si>
    <t>WP1027</t>
  </si>
  <si>
    <t>WL10067</t>
  </si>
  <si>
    <t>10038568743050</t>
  </si>
  <si>
    <t>LFP9279</t>
  </si>
  <si>
    <t>Oil Filter, Spin-On</t>
  </si>
  <si>
    <t>John Deere 6068 PowerTech  PVX Tier 4 engine</t>
  </si>
  <si>
    <t>John Deere</t>
  </si>
  <si>
    <t>RE539279</t>
  </si>
  <si>
    <t>P551910</t>
  </si>
  <si>
    <t>038568738462</t>
  </si>
  <si>
    <t>10038568738469</t>
  </si>
  <si>
    <t>1 Unit Box = 1 Carton</t>
  </si>
  <si>
    <t>AF5220</t>
  </si>
  <si>
    <t>Air Filter, Rigid</t>
  </si>
  <si>
    <t>2013 Nissan Altima 2.5L</t>
  </si>
  <si>
    <t>16546-3TA0A</t>
  </si>
  <si>
    <t>CA11450</t>
  </si>
  <si>
    <t>AF1559</t>
  </si>
  <si>
    <t>AF46297</t>
  </si>
  <si>
    <t>P992</t>
  </si>
  <si>
    <t>2011-12 MERCEDES CL550 V8 4.7L</t>
  </si>
  <si>
    <t>Mercedes Benz</t>
  </si>
  <si>
    <t>France</t>
  </si>
  <si>
    <t>038568742377</t>
  </si>
  <si>
    <t>10038568742374</t>
  </si>
  <si>
    <t>AF5224</t>
  </si>
  <si>
    <t>2013 Hyundia Santa Fe Sport</t>
  </si>
  <si>
    <t>28113-2W100</t>
  </si>
  <si>
    <t>CA11500</t>
  </si>
  <si>
    <t>038568743572</t>
  </si>
  <si>
    <t>10038568743579</t>
  </si>
  <si>
    <t>CAF1896P</t>
  </si>
  <si>
    <t xml:space="preserve">Fiat 500 (2012-15) </t>
  </si>
  <si>
    <t>Fiat</t>
  </si>
  <si>
    <t>68096453AA</t>
  </si>
  <si>
    <t>C26185</t>
  </si>
  <si>
    <t>WCAF1896</t>
  </si>
  <si>
    <t>038568743565</t>
  </si>
  <si>
    <t>10038568743562</t>
  </si>
  <si>
    <t>CAF1900P</t>
  </si>
  <si>
    <t>2012 Ford Focus</t>
  </si>
  <si>
    <t>1FADP3FE0FL215358</t>
  </si>
  <si>
    <t>CF11920</t>
  </si>
  <si>
    <t>FP-70</t>
  </si>
  <si>
    <t>C36174</t>
  </si>
  <si>
    <t>038568743589</t>
  </si>
  <si>
    <t>10038568743586</t>
  </si>
  <si>
    <t>CAF1901C</t>
  </si>
  <si>
    <t>2011-12 Infiniti M37, 2015 Infiniti Q70</t>
  </si>
  <si>
    <t>Infiniti</t>
  </si>
  <si>
    <t>27277-1ME0B</t>
  </si>
  <si>
    <t>038568743183</t>
  </si>
  <si>
    <t>10038568743180</t>
  </si>
  <si>
    <t>CAF1910P</t>
  </si>
  <si>
    <t>2013 Scion IQ</t>
  </si>
  <si>
    <t>Toyota</t>
  </si>
  <si>
    <t>88568-74010</t>
  </si>
  <si>
    <t>WP10073</t>
  </si>
  <si>
    <t>038568743299</t>
  </si>
  <si>
    <t>10038568743296</t>
  </si>
  <si>
    <t>CAF1912C</t>
  </si>
  <si>
    <t>2011-14 Audi A8; 2012-14 Audi A6, A7 TWO PER APPLICATION</t>
  </si>
  <si>
    <t>VW / Audi</t>
  </si>
  <si>
    <t>4H0-819-439</t>
  </si>
  <si>
    <t>038568743442</t>
  </si>
  <si>
    <t>10038568743449</t>
  </si>
  <si>
    <t>CAF1932P</t>
  </si>
  <si>
    <t>2010-12 Suzuki Kizashi</t>
  </si>
  <si>
    <t>Suzuki</t>
  </si>
  <si>
    <t xml:space="preserve"> 95861-57L00</t>
  </si>
  <si>
    <t>038568743176</t>
  </si>
  <si>
    <t>10038568743173</t>
  </si>
  <si>
    <t>CAF1936P</t>
  </si>
  <si>
    <t>2002-05 Land Rover Freelander</t>
  </si>
  <si>
    <t>Land Rover</t>
  </si>
  <si>
    <t>LR JKR100280</t>
  </si>
  <si>
    <t>038568743336</t>
  </si>
  <si>
    <t>10038568743333</t>
  </si>
  <si>
    <t>P1024</t>
  </si>
  <si>
    <t>2007-12 Mercedes SLK55</t>
  </si>
  <si>
    <t>HU715/6x</t>
  </si>
  <si>
    <t>038568743060</t>
  </si>
  <si>
    <t>10038568743067</t>
  </si>
  <si>
    <t>038568743497</t>
  </si>
  <si>
    <t>10038568743494</t>
  </si>
  <si>
    <t>LFF6013</t>
  </si>
  <si>
    <t>Chevrolet Express Van, GMC Savana Van  V8 6.6L Diesel (2009-13)</t>
  </si>
  <si>
    <t>BF9918 KIT</t>
  </si>
  <si>
    <t>K10489A</t>
  </si>
  <si>
    <t>F75888</t>
  </si>
  <si>
    <t>TP1537</t>
  </si>
  <si>
    <t>038568743619</t>
  </si>
  <si>
    <t>10038568743616</t>
  </si>
  <si>
    <t>AF5193</t>
  </si>
  <si>
    <t>AIR FILTER</t>
  </si>
  <si>
    <t>Infiniti QX56 (2011-13) (Nissan 16546-1LA04)</t>
  </si>
  <si>
    <t xml:space="preserve"> 16546-1LA04</t>
  </si>
  <si>
    <t>CA11002</t>
  </si>
  <si>
    <t>33-2456</t>
  </si>
  <si>
    <t>SA11002</t>
  </si>
  <si>
    <t>WAF5193</t>
  </si>
  <si>
    <t xml:space="preserve">038568742452 </t>
  </si>
  <si>
    <t>LMB1002</t>
  </si>
  <si>
    <t xml:space="preserve">Base for F/W Separator-1/2-NPT </t>
  </si>
  <si>
    <t>Base for F/W Separator-1/2-NPT (Mounting base for LFP944F, LFF8010 and  LFP815FN)</t>
  </si>
  <si>
    <t>FB1301</t>
  </si>
  <si>
    <t>3833199S</t>
  </si>
  <si>
    <t>WL10008</t>
  </si>
  <si>
    <t>038568739810</t>
  </si>
  <si>
    <t>CAF1911P</t>
  </si>
  <si>
    <t>CABIN AIR FILTER</t>
  </si>
  <si>
    <t xml:space="preserve">Jeep Wrangler (2012-15) </t>
  </si>
  <si>
    <t>55111302AA</t>
  </si>
  <si>
    <t>PA4460 KIT</t>
  </si>
  <si>
    <t>038568743237</t>
  </si>
  <si>
    <t>CAF1927C</t>
  </si>
  <si>
    <t>BMW M3 (2008-11)</t>
  </si>
  <si>
    <t>038568743459</t>
  </si>
  <si>
    <t>CAF1860C</t>
  </si>
  <si>
    <t>Mercedes-Benz GL Series, R Series, ML Series  (2006-13)  Dust and Odor</t>
  </si>
  <si>
    <t>Mercedes-Benz</t>
  </si>
  <si>
    <t>038568743541</t>
  </si>
  <si>
    <t>CAF1934P</t>
  </si>
  <si>
    <t>Honda S2000 (2000-09)</t>
  </si>
  <si>
    <t>79831-S2A-003</t>
  </si>
  <si>
    <t xml:space="preserve">038568743206 </t>
  </si>
  <si>
    <t xml:space="preserve">Scion iQ (2012-16)  </t>
  </si>
  <si>
    <t>Scion</t>
  </si>
  <si>
    <t>CAF1898P</t>
  </si>
  <si>
    <t xml:space="preserve">Chrysler 300 (2011-14), Dodge Charger,  Challenger (2011-14) </t>
  </si>
  <si>
    <t xml:space="preserve"> 68071668AA</t>
  </si>
  <si>
    <t>CF11668</t>
  </si>
  <si>
    <t>C26176</t>
  </si>
  <si>
    <t>WCAF1898</t>
  </si>
  <si>
    <t xml:space="preserve">038568743558 </t>
  </si>
  <si>
    <t>CAF7737</t>
  </si>
  <si>
    <t>Saab 95 Series (1999-09)</t>
  </si>
  <si>
    <t>Saab</t>
  </si>
  <si>
    <t>CAF1737</t>
  </si>
  <si>
    <t>C28165</t>
  </si>
  <si>
    <t>038568743411</t>
  </si>
  <si>
    <t>L6267F</t>
  </si>
  <si>
    <t>FUEL FILTER</t>
  </si>
  <si>
    <t>Caterpillar late model backhoes, Caterpillar 3619555;236B3, 242B3, 252B3,  and 257B3 skid steer loader</t>
  </si>
  <si>
    <t xml:space="preserve">Caterpillar </t>
  </si>
  <si>
    <t>BF9847-D</t>
  </si>
  <si>
    <t>P551432</t>
  </si>
  <si>
    <t>FS20050</t>
  </si>
  <si>
    <t>WF10053</t>
  </si>
  <si>
    <t>038568740427</t>
  </si>
  <si>
    <t>LFP7174</t>
  </si>
  <si>
    <t>OIL FILTER</t>
  </si>
  <si>
    <t>Iveco Euro Tech Truck with Cursor engine</t>
  </si>
  <si>
    <t>Iveco</t>
  </si>
  <si>
    <t xml:space="preserve">038568738158 </t>
  </si>
  <si>
    <t>PH2873</t>
  </si>
  <si>
    <t>PH11462</t>
  </si>
  <si>
    <t>OF6291</t>
  </si>
  <si>
    <t>WPH2873</t>
  </si>
  <si>
    <t>P2062</t>
  </si>
  <si>
    <t>2015 Ford F150 with 2.7L Ecoboost engine</t>
  </si>
  <si>
    <t>FT4Z-6731-A</t>
  </si>
  <si>
    <t>CH11955</t>
  </si>
  <si>
    <t>L38154</t>
  </si>
  <si>
    <t>S11955</t>
  </si>
  <si>
    <t>CF8154</t>
  </si>
  <si>
    <t>WP2062</t>
  </si>
  <si>
    <t>038568743015</t>
  </si>
  <si>
    <t>2007-11 Mercedes SLK w/5.5L V8</t>
  </si>
  <si>
    <t>113 184 0225</t>
  </si>
  <si>
    <t>0001802809</t>
  </si>
  <si>
    <t>CH11051</t>
  </si>
  <si>
    <t>L35906</t>
  </si>
  <si>
    <t>LP4083</t>
  </si>
  <si>
    <t xml:space="preserve">International </t>
  </si>
  <si>
    <t>International</t>
  </si>
  <si>
    <t>1842825C91</t>
  </si>
  <si>
    <t>BC7394</t>
  </si>
  <si>
    <t>CS41013</t>
  </si>
  <si>
    <t>P10012</t>
  </si>
  <si>
    <t>038568741578</t>
  </si>
  <si>
    <t>AF3926</t>
  </si>
  <si>
    <t xml:space="preserve"> BMW M3 V8 4.0L (2010-13) </t>
  </si>
  <si>
    <t>CA11004</t>
  </si>
  <si>
    <t>A55893</t>
  </si>
  <si>
    <t xml:space="preserve">038568742445 </t>
  </si>
  <si>
    <t>Germany</t>
  </si>
  <si>
    <t>P1008</t>
  </si>
  <si>
    <t>Volkswagen Tourage Diesel (2013-14)</t>
  </si>
  <si>
    <t>059-115-561D</t>
  </si>
  <si>
    <t xml:space="preserve">038568743008 </t>
  </si>
  <si>
    <t>P1034</t>
  </si>
  <si>
    <t xml:space="preserve">Mercedes CLK63 AMG, CLS63 AMG, SL63 (2007-13) </t>
  </si>
  <si>
    <t xml:space="preserve"> 038568743022 </t>
  </si>
  <si>
    <t>AF5212</t>
  </si>
  <si>
    <t xml:space="preserve">2008-14 Lexus GS Series </t>
  </si>
  <si>
    <t>Lexus</t>
  </si>
  <si>
    <t>17801-31170</t>
  </si>
  <si>
    <t>CA10996</t>
  </si>
  <si>
    <t>AF1567</t>
  </si>
  <si>
    <t>33-2452</t>
  </si>
  <si>
    <t>A36103</t>
  </si>
  <si>
    <t>038568742469</t>
  </si>
  <si>
    <t>AF3615</t>
  </si>
  <si>
    <t xml:space="preserve">Land Rover Evoque (2012-15) </t>
  </si>
  <si>
    <t>LR029078</t>
  </si>
  <si>
    <t>CA11485</t>
  </si>
  <si>
    <t>C29006</t>
  </si>
  <si>
    <t>SA11485</t>
  </si>
  <si>
    <t>WA10007</t>
  </si>
  <si>
    <t>038568742520</t>
  </si>
  <si>
    <t xml:space="preserve">Nissan Altima 2.5L (2013-14) </t>
  </si>
  <si>
    <t>4627127AB</t>
  </si>
  <si>
    <t>CA11451</t>
  </si>
  <si>
    <t>AF1560</t>
  </si>
  <si>
    <t>33-2479</t>
  </si>
  <si>
    <t>A46298</t>
  </si>
  <si>
    <t>SA11451</t>
  </si>
  <si>
    <t>WAF5220</t>
  </si>
  <si>
    <t xml:space="preserve">038568742377 </t>
  </si>
  <si>
    <t>AF3609</t>
  </si>
  <si>
    <t xml:space="preserve">Land Rover LR4, Range Rover  (2010-2012) </t>
  </si>
  <si>
    <t>LR011593</t>
  </si>
  <si>
    <t>CA11062</t>
  </si>
  <si>
    <t>AF1570</t>
  </si>
  <si>
    <t>C35126</t>
  </si>
  <si>
    <t xml:space="preserve"> 038568742421</t>
  </si>
  <si>
    <t>AF7904</t>
  </si>
  <si>
    <t>Mercedes C63,CLK63 AMG, CLS63 AMG (2007-12)</t>
  </si>
  <si>
    <t>CA11063</t>
  </si>
  <si>
    <t>AF1467</t>
  </si>
  <si>
    <t>33-2405</t>
  </si>
  <si>
    <t>C3361-2</t>
  </si>
  <si>
    <t>A25806</t>
  </si>
  <si>
    <t>038568742506</t>
  </si>
  <si>
    <t>AF3184</t>
  </si>
  <si>
    <t xml:space="preserve">PV  </t>
  </si>
  <si>
    <t>AIR</t>
  </si>
  <si>
    <t>2013-14 Buick Encore</t>
  </si>
  <si>
    <t>CA11501</t>
  </si>
  <si>
    <t>038568742407</t>
  </si>
  <si>
    <t>AF5213</t>
  </si>
  <si>
    <t xml:space="preserve">2013-14 Hyundai Genesis Coupe </t>
  </si>
  <si>
    <t>28113-2M200</t>
  </si>
  <si>
    <t>CA11420</t>
  </si>
  <si>
    <t>038568742339</t>
  </si>
  <si>
    <t>LK372V</t>
  </si>
  <si>
    <t>MAINT. KIT</t>
  </si>
  <si>
    <t xml:space="preserve">Maintenance Kit  for Detroit Diesel DD11, DD13 &amp; DD16 engines. Kit to include: qty.(2) LFP3191 + (1) LFP8642 + (1) LFF8059 + (1) LFF3358. </t>
  </si>
  <si>
    <t>038568742902</t>
  </si>
  <si>
    <t>USA and China</t>
  </si>
  <si>
    <t>AF9912</t>
  </si>
  <si>
    <t xml:space="preserve">2013-14 Ford Fusion </t>
  </si>
  <si>
    <t>DS7Z-9601-A</t>
  </si>
  <si>
    <t>FA1912</t>
  </si>
  <si>
    <t>CA11480</t>
  </si>
  <si>
    <t>AF1557</t>
  </si>
  <si>
    <t>A36272</t>
  </si>
  <si>
    <t>WA10048</t>
  </si>
  <si>
    <t>038568316035</t>
  </si>
  <si>
    <t>LFF6753</t>
  </si>
  <si>
    <t>FUEL</t>
  </si>
  <si>
    <t>John Deere Applications; Volvo EC290B, EC160B Excavators</t>
  </si>
  <si>
    <t>RE522684</t>
  </si>
  <si>
    <t>RE522688</t>
  </si>
  <si>
    <t>BF7853</t>
  </si>
  <si>
    <t>P550659</t>
  </si>
  <si>
    <t>FS19700</t>
  </si>
  <si>
    <t>PS10967</t>
  </si>
  <si>
    <t xml:space="preserve">038568738264 </t>
  </si>
  <si>
    <t>AF3105</t>
  </si>
  <si>
    <t>Cadillac CTS (2009-12)</t>
  </si>
  <si>
    <t>CA11054</t>
  </si>
  <si>
    <t>038568742391</t>
  </si>
  <si>
    <t>AF3221</t>
  </si>
  <si>
    <t>BMW X5 Diesel (2009-13)</t>
  </si>
  <si>
    <t>CA11013</t>
  </si>
  <si>
    <t>AF1552</t>
  </si>
  <si>
    <t>A25899</t>
  </si>
  <si>
    <t>49342</t>
  </si>
  <si>
    <t xml:space="preserve"> 038568742414</t>
  </si>
  <si>
    <t>AF5215</t>
  </si>
  <si>
    <t>Kia Sportage 2.0L turbo (2011-14)</t>
  </si>
  <si>
    <t>Kia</t>
  </si>
  <si>
    <t>281133W500</t>
  </si>
  <si>
    <t>CA11421</t>
  </si>
  <si>
    <t>A28152</t>
  </si>
  <si>
    <t>49047</t>
  </si>
  <si>
    <t>038568316059</t>
  </si>
  <si>
    <t>AF5698</t>
  </si>
  <si>
    <t>Mercedes C250 (2012-14)</t>
  </si>
  <si>
    <t>CA11453</t>
  </si>
  <si>
    <t>038568742483</t>
  </si>
  <si>
    <t>AF7922</t>
  </si>
  <si>
    <t xml:space="preserve">BMW 135i, 335i, 335i XDrive, X5 (2011-15) </t>
  </si>
  <si>
    <t>038568742513</t>
  </si>
  <si>
    <t>LH11014V</t>
  </si>
  <si>
    <t>HYDRAULIC</t>
  </si>
  <si>
    <t xml:space="preserve">Parker </t>
  </si>
  <si>
    <t>Parker</t>
  </si>
  <si>
    <t>938323Q</t>
  </si>
  <si>
    <t>P171702</t>
  </si>
  <si>
    <t>D75A10GAV</t>
  </si>
  <si>
    <t>038568741783 </t>
  </si>
  <si>
    <t>10038568741780</t>
  </si>
  <si>
    <t>Canada</t>
  </si>
  <si>
    <t>LH9240V</t>
  </si>
  <si>
    <t>MF0301P10NB</t>
  </si>
  <si>
    <t>PT9240</t>
  </si>
  <si>
    <t>R16C10CB</t>
  </si>
  <si>
    <t>038568741813</t>
  </si>
  <si>
    <t>10038568741810</t>
  </si>
  <si>
    <t>LH11008V</t>
  </si>
  <si>
    <t>J.C.B 801.4, 801.5, 801.6  MP Filtri   Excavators</t>
  </si>
  <si>
    <t>MF1002A10NB</t>
  </si>
  <si>
    <t>JCB</t>
  </si>
  <si>
    <t>PT8989-MPG</t>
  </si>
  <si>
    <t>P171531</t>
  </si>
  <si>
    <t>HF35203</t>
  </si>
  <si>
    <t>R18C10GB</t>
  </si>
  <si>
    <t>038568741875</t>
  </si>
  <si>
    <t>10038568741872</t>
  </si>
  <si>
    <t>LH11041V</t>
  </si>
  <si>
    <t>Internormen</t>
  </si>
  <si>
    <t xml:space="preserve"> 01NL25010VG30EV</t>
  </si>
  <si>
    <t>D59E10GAV</t>
  </si>
  <si>
    <t>LP5730</t>
  </si>
  <si>
    <t xml:space="preserve">OIL </t>
  </si>
  <si>
    <t>Mitsubishi QC000001; 2012-on Mitsubishi Fuso  Canter 3.0L 4P10 eng.</t>
  </si>
  <si>
    <t>Mitsubishi</t>
  </si>
  <si>
    <t>QC000001</t>
  </si>
  <si>
    <t>038568741554</t>
  </si>
  <si>
    <t>PH820M</t>
  </si>
  <si>
    <t xml:space="preserve">Ford Products (1991-15), Mazda (2000-09),  Chrysler, Dodge V6 &amp; V8 (2008-14)  </t>
  </si>
  <si>
    <t>4884899AB</t>
  </si>
  <si>
    <t>F1AZ-6731-BD</t>
  </si>
  <si>
    <t>B329</t>
  </si>
  <si>
    <t>P550965</t>
  </si>
  <si>
    <t>LF3681</t>
  </si>
  <si>
    <t>PH2</t>
  </si>
  <si>
    <t>038568742179</t>
  </si>
  <si>
    <t>PH400M</t>
  </si>
  <si>
    <t xml:space="preserve">Chrysler Products (2002-09), Ford Products  (1971-09), Jaguar X Type (2000-08), Mazda 6  (2009-13), CX9 (2007-14)  </t>
  </si>
  <si>
    <t>E1EE-6714-AA</t>
  </si>
  <si>
    <t>FL-400A</t>
  </si>
  <si>
    <t>B243</t>
  </si>
  <si>
    <t>P550724</t>
  </si>
  <si>
    <t>LF3555</t>
  </si>
  <si>
    <t>PH3600</t>
  </si>
  <si>
    <t>038568742230</t>
  </si>
  <si>
    <t>Models with metal end caps</t>
  </si>
  <si>
    <t>LAF1482</t>
  </si>
  <si>
    <t>Generac Generator Sets w/GT990 eng</t>
  </si>
  <si>
    <t>Generac</t>
  </si>
  <si>
    <t>OC8127</t>
  </si>
  <si>
    <t>AF27969</t>
  </si>
  <si>
    <t>038568740403</t>
  </si>
  <si>
    <t>India</t>
  </si>
  <si>
    <t>CAF24024</t>
  </si>
  <si>
    <t>CABIN AIR</t>
  </si>
  <si>
    <t>Paccar Applications: 2010- Peterbilt 386 388 365 TRUCKS</t>
  </si>
  <si>
    <t>Paccar</t>
  </si>
  <si>
    <t>5S013817</t>
  </si>
  <si>
    <t>PA5765</t>
  </si>
  <si>
    <t>038568741547</t>
  </si>
  <si>
    <t>AF5209</t>
  </si>
  <si>
    <t xml:space="preserve">Chevrolet Sonic (2012-2014) </t>
  </si>
  <si>
    <t>CA11222</t>
  </si>
  <si>
    <t>33-2476</t>
  </si>
  <si>
    <t>A26273</t>
  </si>
  <si>
    <t>SA11222</t>
  </si>
  <si>
    <t>AF6273</t>
  </si>
  <si>
    <t>WAF5209</t>
  </si>
  <si>
    <t>038568742346</t>
  </si>
  <si>
    <t>LH2512</t>
  </si>
  <si>
    <t xml:space="preserve">HYDRAULIC </t>
  </si>
  <si>
    <t>Volvo Applications: Fits Volvo I Shift trans used on Volvo and Mack trucks</t>
  </si>
  <si>
    <t>Volvo</t>
  </si>
  <si>
    <t>AT2512C</t>
  </si>
  <si>
    <t>PT9417</t>
  </si>
  <si>
    <t>P550633</t>
  </si>
  <si>
    <t>HF35361</t>
  </si>
  <si>
    <t>E28HD174</t>
  </si>
  <si>
    <t>038568737991</t>
  </si>
  <si>
    <t>LAF5327</t>
  </si>
  <si>
    <t>Komatsu WA400-5, WA400-5L,  WA400-5WH Loaders</t>
  </si>
  <si>
    <t>Komatsu</t>
  </si>
  <si>
    <t>20Y9796261</t>
  </si>
  <si>
    <t>PA5327</t>
  </si>
  <si>
    <t>AF55733</t>
  </si>
  <si>
    <t>PA11392</t>
  </si>
  <si>
    <t>WP10087</t>
  </si>
  <si>
    <t>038568740410</t>
  </si>
  <si>
    <t>LK365D</t>
  </si>
  <si>
    <t>Detroit Diesel Kit; Contains: 1-LP5090, 1-L5091F,  1- LW4076XL</t>
  </si>
  <si>
    <t>Detroit Diesel</t>
  </si>
  <si>
    <t>038568739964</t>
  </si>
  <si>
    <t>Germany &amp; Japan</t>
  </si>
  <si>
    <t>AF5219</t>
  </si>
  <si>
    <t>2013-14 Dodge Dart</t>
  </si>
  <si>
    <t>PA4473</t>
  </si>
  <si>
    <t>CA11431</t>
  </si>
  <si>
    <t>AF1566</t>
  </si>
  <si>
    <t>A26281</t>
  </si>
  <si>
    <t>WA10008</t>
  </si>
  <si>
    <t>038568742353</t>
  </si>
  <si>
    <t>AF6910</t>
  </si>
  <si>
    <t xml:space="preserve">2013-2014 Ford Escape 2.5 L </t>
  </si>
  <si>
    <t>CJ5Z-9601-A</t>
  </si>
  <si>
    <t>FA-1910</t>
  </si>
  <si>
    <t>PA4470</t>
  </si>
  <si>
    <t>CA11456</t>
  </si>
  <si>
    <t>AF1556</t>
  </si>
  <si>
    <t>A26199</t>
  </si>
  <si>
    <t>038568742360</t>
  </si>
  <si>
    <t>LFF6961</t>
  </si>
  <si>
    <t>John Deere Applications: John Deere 8000 series tractors and 9760,9660 combines"</t>
  </si>
  <si>
    <t>RE522372</t>
  </si>
  <si>
    <t>RE509596</t>
  </si>
  <si>
    <t>BF1353-SPS</t>
  </si>
  <si>
    <t>FS19688</t>
  </si>
  <si>
    <t>33692</t>
  </si>
  <si>
    <t>038568740298</t>
  </si>
  <si>
    <t>LAF5453</t>
  </si>
  <si>
    <t>John Deere Application: John Deere 6120, 6215, 6415 Tractors.</t>
  </si>
  <si>
    <t>AL119839</t>
  </si>
  <si>
    <t>CA4702</t>
  </si>
  <si>
    <t>P606119</t>
  </si>
  <si>
    <t>AF26157</t>
  </si>
  <si>
    <t>CA11029</t>
  </si>
  <si>
    <t>46937</t>
  </si>
  <si>
    <t>038568736529</t>
  </si>
  <si>
    <t>LAF3233FR</t>
  </si>
  <si>
    <t>2012- Freightliner 114SD  truck  FLAME RETARDANT VERSION OF LAF3233</t>
  </si>
  <si>
    <t>Freightliner M2 Series</t>
  </si>
  <si>
    <t>CA5420</t>
  </si>
  <si>
    <t>P607960</t>
  </si>
  <si>
    <t>038568738448</t>
  </si>
  <si>
    <t>LAF5298</t>
  </si>
  <si>
    <t xml:space="preserve">JOHN DEERE Applications: John Deere 7220 7320 7420 7530 tractors.  </t>
  </si>
  <si>
    <t>AL172781</t>
  </si>
  <si>
    <t>CA4703</t>
  </si>
  <si>
    <t>P606120</t>
  </si>
  <si>
    <t>AF26156</t>
  </si>
  <si>
    <t>42794</t>
  </si>
  <si>
    <t>038568738417</t>
  </si>
  <si>
    <t>LAF5416</t>
  </si>
  <si>
    <t xml:space="preserve">John Deere Applications: John Deere 318D 319D 320D and 5045/5055 tractors. </t>
  </si>
  <si>
    <t>RE282286</t>
  </si>
  <si>
    <t>PA5634</t>
  </si>
  <si>
    <t>P609221</t>
  </si>
  <si>
    <t>49221</t>
  </si>
  <si>
    <t>038568738554</t>
  </si>
  <si>
    <t>LAF2753</t>
  </si>
  <si>
    <t>Ford F650 &amp; 750 Trucks  2004 -</t>
  </si>
  <si>
    <t>4C4Z-9601-AA</t>
  </si>
  <si>
    <t>FA1753</t>
  </si>
  <si>
    <t>CA5366</t>
  </si>
  <si>
    <t>P609086</t>
  </si>
  <si>
    <t>AF26493</t>
  </si>
  <si>
    <t>CA10868</t>
  </si>
  <si>
    <t>42813</t>
  </si>
  <si>
    <t xml:space="preserve">038568738561 </t>
  </si>
  <si>
    <t>9,75</t>
  </si>
  <si>
    <t>LAF9334</t>
  </si>
  <si>
    <t>John Deere Applications: John Deere 7720,7820,7920,7630,7730,7830,7930 tractors"</t>
  </si>
  <si>
    <t>RE196945</t>
  </si>
  <si>
    <t>CA5417</t>
  </si>
  <si>
    <t>P619334</t>
  </si>
  <si>
    <t>49945</t>
  </si>
  <si>
    <t>038568739797</t>
  </si>
  <si>
    <t>LAF8791</t>
  </si>
  <si>
    <t>Hitachi &amp; Komatsu Equipment</t>
  </si>
  <si>
    <t>Hitachi</t>
  </si>
  <si>
    <t>4234793</t>
  </si>
  <si>
    <t>17M9113530</t>
  </si>
  <si>
    <t>PA5328</t>
  </si>
  <si>
    <t>AF25573</t>
  </si>
  <si>
    <t>PA11380</t>
  </si>
  <si>
    <t>038568742131</t>
  </si>
  <si>
    <t>LFP3830</t>
  </si>
  <si>
    <t xml:space="preserve">Mercruiser 4 and 6 cyl outboard marine engines; 2006 and newer Verado 135-200 4 stroke engine. </t>
  </si>
  <si>
    <t>Mercruiser</t>
  </si>
  <si>
    <t>35-877767K01</t>
  </si>
  <si>
    <t>35-877767Q01</t>
  </si>
  <si>
    <t xml:space="preserve">038568738226 </t>
  </si>
  <si>
    <t>Filter is individually poly bagged</t>
  </si>
  <si>
    <t>LFH8484</t>
  </si>
  <si>
    <t>Hydraulic Filter Element</t>
  </si>
  <si>
    <t>Kalmar; Terex, New Holland LM5040,  LM5060, LM5080 Telehandlers</t>
  </si>
  <si>
    <t>Dana</t>
  </si>
  <si>
    <t>4209440</t>
  </si>
  <si>
    <t>Kalmar</t>
  </si>
  <si>
    <t>Terex</t>
  </si>
  <si>
    <t>PPMTFC45H</t>
  </si>
  <si>
    <t>BT9400-MPG</t>
  </si>
  <si>
    <t>P765075</t>
  </si>
  <si>
    <t>HF35464</t>
  </si>
  <si>
    <t>57227</t>
  </si>
  <si>
    <t>038568737984</t>
  </si>
  <si>
    <t>LFF9897</t>
  </si>
  <si>
    <t xml:space="preserve"> Liebherr excavators and John Deere 950J and 1050J dozers</t>
  </si>
  <si>
    <t>Liebherr</t>
  </si>
  <si>
    <t>10044303</t>
  </si>
  <si>
    <t>Racor</t>
  </si>
  <si>
    <t>R90DSRAC01</t>
  </si>
  <si>
    <t>Yanmar</t>
  </si>
  <si>
    <t>FS19897</t>
  </si>
  <si>
    <t>P11057</t>
  </si>
  <si>
    <t>WK1150</t>
  </si>
  <si>
    <t>038568738509</t>
  </si>
  <si>
    <t>LAF5756</t>
  </si>
  <si>
    <t>Komatsu Equipment</t>
  </si>
  <si>
    <t>77Z9700010</t>
  </si>
  <si>
    <t>PA4987</t>
  </si>
  <si>
    <t>P500204</t>
  </si>
  <si>
    <t>WP10057</t>
  </si>
  <si>
    <t>038568737618</t>
  </si>
  <si>
    <t>LAF3699</t>
  </si>
  <si>
    <t>Volvo L60E, L70E, L90E, L110E,  L120E Wheel Loaders (Cab air)</t>
  </si>
  <si>
    <t>11703980</t>
  </si>
  <si>
    <t>PA4991</t>
  </si>
  <si>
    <t>P500195</t>
  </si>
  <si>
    <t>AF26384</t>
  </si>
  <si>
    <t>038568737854</t>
  </si>
  <si>
    <t>LFF9954</t>
  </si>
  <si>
    <t>Thermo-King, Tier 4 SB130 &amp; SB230 Refrigeration Units</t>
  </si>
  <si>
    <t>Thermo-King</t>
  </si>
  <si>
    <t>11-9954</t>
  </si>
  <si>
    <t>038568740373</t>
  </si>
  <si>
    <t>10038568740370</t>
  </si>
  <si>
    <t>Not packaged into individual unit boxes</t>
  </si>
  <si>
    <t>Radial Seal Air Filter</t>
  </si>
  <si>
    <t>Carrier 1800, 2100, 2500 Regrigeration Units</t>
  </si>
  <si>
    <t>Carrier</t>
  </si>
  <si>
    <t>30-00471-20</t>
  </si>
  <si>
    <t>P604457</t>
  </si>
  <si>
    <t>038568740397</t>
  </si>
  <si>
    <t>10038568740394</t>
  </si>
  <si>
    <t>LAF6205</t>
  </si>
  <si>
    <t>Caterpillar C1.1 eng.</t>
  </si>
  <si>
    <t>246-5011</t>
  </si>
  <si>
    <t>038568737939</t>
  </si>
  <si>
    <t>10038568737936</t>
  </si>
  <si>
    <t>L6268F</t>
  </si>
  <si>
    <t>Caterpillar 414E and 416E backhoes</t>
  </si>
  <si>
    <t>038568740441</t>
  </si>
  <si>
    <t>10038568740448</t>
  </si>
  <si>
    <t>LFF6776</t>
  </si>
  <si>
    <t>Cummins ISX 11.9, 15L and 16L engines</t>
  </si>
  <si>
    <t>Cummins</t>
  </si>
  <si>
    <t>BF9885</t>
  </si>
  <si>
    <t>P555776</t>
  </si>
  <si>
    <t>FF5776</t>
  </si>
  <si>
    <t>038568738073</t>
  </si>
  <si>
    <t>10038568738070</t>
  </si>
  <si>
    <t>L5104F</t>
  </si>
  <si>
    <t>Mercedes 2013-14 DD13 engines</t>
  </si>
  <si>
    <t>A4720900451</t>
  </si>
  <si>
    <t>Knecht/Mahle</t>
  </si>
  <si>
    <t>KX276/9</t>
  </si>
  <si>
    <t>038568740236</t>
  </si>
  <si>
    <t>10038568740233</t>
  </si>
  <si>
    <t>LAF4340</t>
  </si>
  <si>
    <t>Set of 2 Cab Air Elements</t>
  </si>
  <si>
    <t xml:space="preserve">John Deere 7220, 7320, 7420 7520 Tractors </t>
  </si>
  <si>
    <t>AL119096</t>
  </si>
  <si>
    <t>AL119095</t>
  </si>
  <si>
    <t>PA3928</t>
  </si>
  <si>
    <t>P789129</t>
  </si>
  <si>
    <t>AF26672</t>
  </si>
  <si>
    <t>038568738400</t>
  </si>
  <si>
    <t>N/A</t>
  </si>
  <si>
    <t>0.3 cubic ft</t>
  </si>
  <si>
    <t>2.33lbs</t>
  </si>
  <si>
    <t>428lbs</t>
  </si>
  <si>
    <t>Great Britain</t>
  </si>
  <si>
    <t>LH9167</t>
  </si>
  <si>
    <t xml:space="preserve">MP Filtri  </t>
  </si>
  <si>
    <t>MF1002AP25NB</t>
  </si>
  <si>
    <t>PT9167</t>
  </si>
  <si>
    <t>P171534</t>
  </si>
  <si>
    <t>HF7904</t>
  </si>
  <si>
    <t>038568738455</t>
  </si>
  <si>
    <t>0.028 cubic ft</t>
  </si>
  <si>
    <t>1lbs</t>
  </si>
  <si>
    <t>490lbs</t>
  </si>
  <si>
    <t>U.S.A.</t>
  </si>
  <si>
    <t>LAF4179</t>
  </si>
  <si>
    <t xml:space="preserve">Mitsubishi FE, FG Series  Mitsubishi ME017233; Mitsubishi FE140 Trucks  Trucks  </t>
  </si>
  <si>
    <t>ME-017246</t>
  </si>
  <si>
    <t>ME-017233</t>
  </si>
  <si>
    <t>RS4806</t>
  </si>
  <si>
    <t>P500191</t>
  </si>
  <si>
    <t>AF27690</t>
  </si>
  <si>
    <t>CA9245</t>
  </si>
  <si>
    <t>42796</t>
  </si>
  <si>
    <t>038568737649</t>
  </si>
  <si>
    <t>10038568737646</t>
  </si>
  <si>
    <t>LAF4638</t>
  </si>
  <si>
    <t xml:space="preserve">Komatsu Dozers,Excavators, and Dump trucks.  Scania R  Series trucks.  </t>
  </si>
  <si>
    <t>RS4638</t>
  </si>
  <si>
    <t>P608885</t>
  </si>
  <si>
    <t>AF25627</t>
  </si>
  <si>
    <t>CA9966</t>
  </si>
  <si>
    <t>49770</t>
  </si>
  <si>
    <t>LAF5749</t>
  </si>
  <si>
    <t>Round Air Filter</t>
  </si>
  <si>
    <t>Kubota ZD326 and ZD331 mowers. Inner used with LAF5771</t>
  </si>
  <si>
    <t>Kubota</t>
  </si>
  <si>
    <t>K3181-82251</t>
  </si>
  <si>
    <t>RS3991</t>
  </si>
  <si>
    <t>P780018</t>
  </si>
  <si>
    <t>AF26388</t>
  </si>
  <si>
    <t>49968</t>
  </si>
  <si>
    <t>038568738431</t>
  </si>
  <si>
    <t>10038568738438</t>
  </si>
  <si>
    <t>LAF8878</t>
  </si>
  <si>
    <t>John Deere 9660STS Combine  (For Sec. air use LAF8879) (Radial Seal)</t>
  </si>
  <si>
    <t>AH212294</t>
  </si>
  <si>
    <t>RS5470</t>
  </si>
  <si>
    <t>P618930</t>
  </si>
  <si>
    <t>49294</t>
  </si>
  <si>
    <t>038568738370</t>
  </si>
  <si>
    <t>10038568738377</t>
  </si>
  <si>
    <t>LH7528</t>
  </si>
  <si>
    <t>International Cart. P/S on  International 3000 School Bus (2006-)</t>
  </si>
  <si>
    <t>1695528C1</t>
  </si>
  <si>
    <t>PT9419-MPG</t>
  </si>
  <si>
    <t>57528</t>
  </si>
  <si>
    <t>038568737977</t>
  </si>
  <si>
    <t>10038568737974</t>
  </si>
  <si>
    <t>LH4385-25</t>
  </si>
  <si>
    <t>HYDRAULIC FILTER</t>
  </si>
  <si>
    <t>Schroeder Applications; Bomag &amp; Schroeder Eqpt-Hydraulic cartridge.</t>
  </si>
  <si>
    <t>Behringher Fluid Systems</t>
  </si>
  <si>
    <t>BEHA25P</t>
  </si>
  <si>
    <t>PT727-HD</t>
  </si>
  <si>
    <t>P164816</t>
  </si>
  <si>
    <t>C3977</t>
  </si>
  <si>
    <t>HF837</t>
  </si>
  <si>
    <t>51435</t>
  </si>
  <si>
    <t>038568738486</t>
  </si>
  <si>
    <t>10038568738483</t>
  </si>
  <si>
    <t>LFH8417G</t>
  </si>
  <si>
    <t>Caterpillar TK371, TK381  Logging Equipment  (High eff. version of LFH8417)</t>
  </si>
  <si>
    <t>207-5035</t>
  </si>
  <si>
    <t>BT9560-MPG</t>
  </si>
  <si>
    <t>P573673</t>
  </si>
  <si>
    <t>038568737960</t>
  </si>
  <si>
    <t>10038568737967</t>
  </si>
  <si>
    <t>LFF9737</t>
  </si>
  <si>
    <t>Volvo contstuction equipment</t>
  </si>
  <si>
    <t>BF1363</t>
  </si>
  <si>
    <t>038568738356</t>
  </si>
  <si>
    <t>10038568738353</t>
  </si>
  <si>
    <t>LFF9772</t>
  </si>
  <si>
    <t>Case International Applications: Maxxum and Puma series tractors</t>
  </si>
  <si>
    <t>Case International</t>
  </si>
  <si>
    <t>BF1371</t>
  </si>
  <si>
    <t>FS19772</t>
  </si>
  <si>
    <t>038568737274</t>
  </si>
  <si>
    <t>10038568737271</t>
  </si>
  <si>
    <t>LFP6930</t>
  </si>
  <si>
    <t>John Deere 9330, 9430, 9530, 9630 Tractors  with PowerTech 13.5L engine (2007-)</t>
  </si>
  <si>
    <t>RE530107</t>
  </si>
  <si>
    <t>BD7353</t>
  </si>
  <si>
    <t>LF9032</t>
  </si>
  <si>
    <t>57307</t>
  </si>
  <si>
    <t>038568738424</t>
  </si>
  <si>
    <t>10038568738421</t>
  </si>
  <si>
    <t>LFF5686</t>
  </si>
  <si>
    <t>Cummins ISX engine (2010-)</t>
  </si>
  <si>
    <t>BF9860</t>
  </si>
  <si>
    <t>P555686</t>
  </si>
  <si>
    <t>FF5686</t>
  </si>
  <si>
    <t>WF10008</t>
  </si>
  <si>
    <t>038568737557</t>
  </si>
  <si>
    <t>10038568737554</t>
  </si>
  <si>
    <t>LFF3368</t>
  </si>
  <si>
    <t>MTU X00042421;  MTU 8V2000M92/M93,  41V5111M92,M93 (2004-), 10V2000M72 (2005-)  20V4000 engines with common rail injection systems</t>
  </si>
  <si>
    <t>MTU</t>
  </si>
  <si>
    <t>X00042421</t>
  </si>
  <si>
    <t>BF9800</t>
  </si>
  <si>
    <t>P551021</t>
  </si>
  <si>
    <t>FF5633</t>
  </si>
  <si>
    <t>038568739940</t>
  </si>
  <si>
    <t>10038568739947</t>
  </si>
  <si>
    <t>LFF7660</t>
  </si>
  <si>
    <t>SPIN-ON FUEL FILTER </t>
  </si>
  <si>
    <t>International Prostar+ with Maxforce 11/13 engine (30 micron filter)</t>
  </si>
  <si>
    <t>2611236C1</t>
  </si>
  <si>
    <t>FS20040</t>
  </si>
  <si>
    <t>WF10006</t>
  </si>
  <si>
    <t>038568738066</t>
  </si>
  <si>
    <t>10038568738063</t>
  </si>
  <si>
    <t>LAF4162</t>
  </si>
  <si>
    <t xml:space="preserve">Murphy Diesel; Caterpillar; Onan Generators. </t>
  </si>
  <si>
    <t>3I0011</t>
  </si>
  <si>
    <t>PA4619</t>
  </si>
  <si>
    <t>C055003</t>
  </si>
  <si>
    <t>AH19000</t>
  </si>
  <si>
    <t>CA9247</t>
  </si>
  <si>
    <t>038568739612</t>
  </si>
  <si>
    <t>10038568739619</t>
  </si>
  <si>
    <t>LAF6101</t>
  </si>
  <si>
    <t>GMC C6500-C8500 Trucks  w/Caterpillar C7 eng. (2007-09)</t>
  </si>
  <si>
    <t>A3101C</t>
  </si>
  <si>
    <t>RS5767</t>
  </si>
  <si>
    <t>038568735812</t>
  </si>
  <si>
    <t>10038568735819</t>
  </si>
  <si>
    <t>LAF9104</t>
  </si>
  <si>
    <t xml:space="preserve">International Durastar  Trucks (2012)  </t>
  </si>
  <si>
    <t>2602212C1</t>
  </si>
  <si>
    <t>P616050</t>
  </si>
  <si>
    <t>038568740328</t>
  </si>
  <si>
    <t>10038568740325</t>
  </si>
  <si>
    <t>LAF9498</t>
  </si>
  <si>
    <t xml:space="preserve">Western Star 4700 Series </t>
  </si>
  <si>
    <t>P619498</t>
  </si>
  <si>
    <t>038568740311</t>
  </si>
  <si>
    <t>10038568740318</t>
  </si>
  <si>
    <t xml:space="preserve">Buna N O-Ring </t>
  </si>
  <si>
    <t>O-ring used in LP7485 By-Pass Oil Filter</t>
  </si>
  <si>
    <t>038568739889</t>
  </si>
  <si>
    <t>10038568739886</t>
  </si>
  <si>
    <t>individual units are packed into a poly bag</t>
  </si>
  <si>
    <t>T951</t>
  </si>
  <si>
    <t xml:space="preserve"> FUEL FILTER</t>
  </si>
  <si>
    <t>Chevrolet/GMC Pickups (2001-13) ; 2002-06 Chevrolet Avalanche, 2001-on Silverado, GMC Sierra Light-Duty Trucks; 2001-06 Chevrolet Suburban, GMC Yukon; 2006 Hummer H1 with 2400 Series Transmissions (Shallow Pan); Allison 5/6 spd. S  Internal filter</t>
  </si>
  <si>
    <t>038568739971</t>
  </si>
  <si>
    <t>10038568739978</t>
  </si>
  <si>
    <t>LK367C</t>
  </si>
  <si>
    <t xml:space="preserve"> MAINTENANCE KIT</t>
  </si>
  <si>
    <t xml:space="preserve">Consists of: 1-LFP3970, 1-LFF5632, 1-LFP1065, 1-LFP1652 </t>
  </si>
  <si>
    <t>038568740250</t>
  </si>
  <si>
    <t>10038568740257</t>
  </si>
  <si>
    <t>L5094F</t>
  </si>
  <si>
    <t>Peterbilt Trucks with ISX engine</t>
  </si>
  <si>
    <t>K37-1004</t>
  </si>
  <si>
    <t>038568740304</t>
  </si>
  <si>
    <t>10038568740301</t>
  </si>
  <si>
    <t>L9550FXL</t>
  </si>
  <si>
    <t xml:space="preserve">Davco </t>
  </si>
  <si>
    <t>Davco</t>
  </si>
  <si>
    <t>FS19550</t>
  </si>
  <si>
    <t>038568737885</t>
  </si>
  <si>
    <t>10038568737882</t>
  </si>
  <si>
    <t>L9730F</t>
  </si>
  <si>
    <t xml:space="preserve"> 7 micron element for Davco 232  units</t>
  </si>
  <si>
    <t>DAVCO</t>
  </si>
  <si>
    <t>PF7687</t>
  </si>
  <si>
    <t>P550460</t>
  </si>
  <si>
    <t>FS19730</t>
  </si>
  <si>
    <t>CS8031A</t>
  </si>
  <si>
    <t>038568735966</t>
  </si>
  <si>
    <t>10038568735963</t>
  </si>
  <si>
    <t>LAF4556</t>
  </si>
  <si>
    <t>Kensworth W900, W900L Trucks</t>
  </si>
  <si>
    <t>P614556</t>
  </si>
  <si>
    <t>038568740342 </t>
  </si>
  <si>
    <t>10038568740349</t>
  </si>
  <si>
    <t>LAF6725</t>
  </si>
  <si>
    <t>Kenworth T680 Truck  Peterbilt 579 Trucks</t>
  </si>
  <si>
    <t>P621725</t>
  </si>
  <si>
    <t>Kenworth T800 and Peterbilt 388 trucks</t>
  </si>
  <si>
    <t>P614986</t>
  </si>
  <si>
    <t>038568740335 </t>
  </si>
  <si>
    <t>10038568740332</t>
  </si>
  <si>
    <t>LH9401</t>
  </si>
  <si>
    <t>HYDRAULIC FILTER *</t>
  </si>
  <si>
    <t>Parker 932630Q,Pall HC2256FKS10Z  Glass media and viton gasket</t>
  </si>
  <si>
    <t>Heil</t>
  </si>
  <si>
    <t>Pall</t>
  </si>
  <si>
    <t>HC2256FKS10Z</t>
  </si>
  <si>
    <t>PT8458-MPG</t>
  </si>
  <si>
    <t>P170084</t>
  </si>
  <si>
    <t>HF28761</t>
  </si>
  <si>
    <t>038568737120</t>
  </si>
  <si>
    <t>10038568737127</t>
  </si>
  <si>
    <t>LK368CA</t>
  </si>
  <si>
    <t xml:space="preserve">Consists of: 1-LFP3191, 1-LFF4783, 1-LFP1652 </t>
  </si>
  <si>
    <t>038568740281</t>
  </si>
  <si>
    <t>10038568740288</t>
  </si>
  <si>
    <t>LP2017GASK</t>
  </si>
  <si>
    <t>GASKET</t>
  </si>
  <si>
    <t>Viton O-ring for LP2017 Filter</t>
  </si>
  <si>
    <t>038568739933</t>
  </si>
  <si>
    <t>10038568739930</t>
  </si>
  <si>
    <t>Individual pieces packed into a poly bag</t>
  </si>
  <si>
    <t>LP7498XL</t>
  </si>
  <si>
    <t>Synthetic media version of LP7498. Replaces LP7498</t>
  </si>
  <si>
    <t>3007498C93</t>
  </si>
  <si>
    <t>HU12002z</t>
  </si>
  <si>
    <t>038568740229</t>
  </si>
  <si>
    <t>10038568740226</t>
  </si>
  <si>
    <t>Czech Republic</t>
  </si>
  <si>
    <t>LK366C</t>
  </si>
  <si>
    <t xml:space="preserve">Consists of: 1-LFF9732, 1-LFF5421, 1-LFP6015, 1-LFP1652 </t>
  </si>
  <si>
    <t>038568740267</t>
  </si>
  <si>
    <t>10038568740264</t>
  </si>
  <si>
    <t>LK369C</t>
  </si>
  <si>
    <t>Consists of: 1-L1261F, 1-LFP3970, 1-LFP1652</t>
  </si>
  <si>
    <t>038568740243</t>
  </si>
  <si>
    <t>10038568740240</t>
  </si>
  <si>
    <t>LK370C</t>
  </si>
  <si>
    <t>Consists of: 1-LFF9616, 1-LFP780XL, 1-LFP1652</t>
  </si>
  <si>
    <t>038568740274</t>
  </si>
  <si>
    <t>10038568740271</t>
  </si>
  <si>
    <t>LFH7221</t>
  </si>
  <si>
    <t>HYDRAULIC  FILTER</t>
  </si>
  <si>
    <t>John Deere 6120 Tractor</t>
  </si>
  <si>
    <t>AL156625</t>
  </si>
  <si>
    <t>BT8904-MPG</t>
  </si>
  <si>
    <t>P764668</t>
  </si>
  <si>
    <t>HF35474</t>
  </si>
  <si>
    <t>038568737953 </t>
  </si>
  <si>
    <t>10038568737950</t>
  </si>
  <si>
    <t>LFP6027</t>
  </si>
  <si>
    <t>International 4300 Durastar Truck (2011) with Maxxforce 7 eng.</t>
  </si>
  <si>
    <t>1899332C91</t>
  </si>
  <si>
    <t>1893553C2</t>
  </si>
  <si>
    <t>038568738028</t>
  </si>
  <si>
    <t>10038568738025</t>
  </si>
  <si>
    <t>AF5184</t>
  </si>
  <si>
    <t xml:space="preserve"> AIR FILTER</t>
  </si>
  <si>
    <t xml:space="preserve">Suzuki Kizashi (2010-11) </t>
  </si>
  <si>
    <t>13780-57L00</t>
  </si>
  <si>
    <t>CA10998</t>
  </si>
  <si>
    <t>32-2441</t>
  </si>
  <si>
    <t>A36123</t>
  </si>
  <si>
    <t>AF6123</t>
  </si>
  <si>
    <t>WAF5184</t>
  </si>
  <si>
    <t>038568739735</t>
  </si>
  <si>
    <t>10038568739732</t>
  </si>
  <si>
    <t>CAF1878P</t>
  </si>
  <si>
    <t>Chevrolet Camaro (2010-14)</t>
  </si>
  <si>
    <t>CF178</t>
  </si>
  <si>
    <t>CF11667</t>
  </si>
  <si>
    <t>CAF1879P</t>
  </si>
  <si>
    <t>C46126</t>
  </si>
  <si>
    <t>WCAF1879</t>
  </si>
  <si>
    <t>038568739520 </t>
  </si>
  <si>
    <t>10038568739527</t>
  </si>
  <si>
    <t>AF3171</t>
  </si>
  <si>
    <t xml:space="preserve">Chevrolet Impala (2012-13) </t>
  </si>
  <si>
    <t>A3146C</t>
  </si>
  <si>
    <t>PA4464</t>
  </si>
  <si>
    <t>CA11227</t>
  </si>
  <si>
    <t>33-2475</t>
  </si>
  <si>
    <t>A26201</t>
  </si>
  <si>
    <t>SA11227</t>
  </si>
  <si>
    <t>AF6201</t>
  </si>
  <si>
    <t>WAF3171</t>
  </si>
  <si>
    <t>038568739681</t>
  </si>
  <si>
    <t>10038568739688</t>
  </si>
  <si>
    <t>AF5218</t>
  </si>
  <si>
    <t xml:space="preserve">Honda Passport (1996-97), Isuzu Rodeo (1996-97) </t>
  </si>
  <si>
    <t>Isuzu</t>
  </si>
  <si>
    <t>CA11413</t>
  </si>
  <si>
    <t>33-2489</t>
  </si>
  <si>
    <t>A36276</t>
  </si>
  <si>
    <t>AF6726</t>
  </si>
  <si>
    <t>WAF5218</t>
  </si>
  <si>
    <t>038568738332</t>
  </si>
  <si>
    <t>10038568738339</t>
  </si>
  <si>
    <t>AF5199</t>
  </si>
  <si>
    <t xml:space="preserve">Fiat 500 Non Turbo (2012-14) </t>
  </si>
  <si>
    <t>68073648AA</t>
  </si>
  <si>
    <t>CA11109</t>
  </si>
  <si>
    <t>AF1558</t>
  </si>
  <si>
    <t>33-2471</t>
  </si>
  <si>
    <t>A16183</t>
  </si>
  <si>
    <t>AF6183</t>
  </si>
  <si>
    <t>WAF5199</t>
  </si>
  <si>
    <t>038568738301</t>
  </si>
  <si>
    <t>10038568738308</t>
  </si>
  <si>
    <t>LH22151</t>
  </si>
  <si>
    <t>Fairey Arlon; John Deere 350D, 400D Dump Trucks</t>
  </si>
  <si>
    <t>TXW8C-CC10</t>
  </si>
  <si>
    <t>TT220735</t>
  </si>
  <si>
    <t>PT8971-MPG</t>
  </si>
  <si>
    <t>P172467</t>
  </si>
  <si>
    <t>HF7964</t>
  </si>
  <si>
    <t>038568739902</t>
  </si>
  <si>
    <t>10038568739909</t>
  </si>
  <si>
    <t>P995</t>
  </si>
  <si>
    <t>LUBERFINER OIL PASSCAR</t>
  </si>
  <si>
    <t>2012-14 Audi Q3, Volkswagen Passat Diesel</t>
  </si>
  <si>
    <t>VW</t>
  </si>
  <si>
    <t>03L-115-562</t>
  </si>
  <si>
    <t>OX388</t>
  </si>
  <si>
    <t>CH10759</t>
  </si>
  <si>
    <t>LF674</t>
  </si>
  <si>
    <t>E115HD208</t>
  </si>
  <si>
    <t>HU7008Z</t>
  </si>
  <si>
    <t>L26288</t>
  </si>
  <si>
    <t>CF6288</t>
  </si>
  <si>
    <t>WP995</t>
  </si>
  <si>
    <t>038568739865</t>
  </si>
  <si>
    <t>10038568739862</t>
  </si>
  <si>
    <t>P987</t>
  </si>
  <si>
    <t>2011-14 BMW 5 Series, 7 Series, M5, M6</t>
  </si>
  <si>
    <t>OX353/3</t>
  </si>
  <si>
    <t>CH1007</t>
  </si>
  <si>
    <t>LF665</t>
  </si>
  <si>
    <t>HU8007Z</t>
  </si>
  <si>
    <t>L25904</t>
  </si>
  <si>
    <t>S11007</t>
  </si>
  <si>
    <t>CF5904</t>
  </si>
  <si>
    <t>WP987</t>
  </si>
  <si>
    <t>038568739704</t>
  </si>
  <si>
    <t>10038568739701</t>
  </si>
  <si>
    <t>LUBERFINER AIR PASSCAR</t>
  </si>
  <si>
    <t>2010-12 Chevrolet Camaro</t>
  </si>
  <si>
    <t>AC DELCO</t>
  </si>
  <si>
    <t>AFC1504</t>
  </si>
  <si>
    <t>038568739537</t>
  </si>
  <si>
    <t>10038568739534 </t>
  </si>
  <si>
    <t>CAF1876P</t>
  </si>
  <si>
    <t>2010-11 Kia Soul</t>
  </si>
  <si>
    <t>97133-2K000</t>
  </si>
  <si>
    <t>CF10776</t>
  </si>
  <si>
    <t>C26086</t>
  </si>
  <si>
    <t>WCAF1876</t>
  </si>
  <si>
    <t>038568740007</t>
  </si>
  <si>
    <t>10038568740004</t>
  </si>
  <si>
    <t>CAF1864P</t>
  </si>
  <si>
    <t>2007-11 Mazda CX7</t>
  </si>
  <si>
    <t>EG21-61-P11</t>
  </si>
  <si>
    <t>CF11671</t>
  </si>
  <si>
    <t>C25858</t>
  </si>
  <si>
    <t>WCAF1864</t>
  </si>
  <si>
    <t>038568739988</t>
  </si>
  <si>
    <t>10038568739985</t>
  </si>
  <si>
    <t>CAF1884P</t>
  </si>
  <si>
    <t>2006-2009 Hyundai Tuscon with Halla HVAC system</t>
  </si>
  <si>
    <t>97133-2E250</t>
  </si>
  <si>
    <t>CF11184</t>
  </si>
  <si>
    <t>C26073</t>
  </si>
  <si>
    <t>WCAF1884</t>
  </si>
  <si>
    <t>038568739995</t>
  </si>
  <si>
    <t>10038568739992</t>
  </si>
  <si>
    <t>CAF1897C</t>
  </si>
  <si>
    <t>2012 Chevrolet Traverse Standard media panel</t>
  </si>
  <si>
    <t>CF179C</t>
  </si>
  <si>
    <t>CF11663</t>
  </si>
  <si>
    <t>C26205C</t>
  </si>
  <si>
    <t>C26205</t>
  </si>
  <si>
    <t>WCAF1897</t>
  </si>
  <si>
    <t>WP10074</t>
  </si>
  <si>
    <t>038568739551</t>
  </si>
  <si>
    <t>10038568739558</t>
  </si>
  <si>
    <t xml:space="preserve">2013-14 Chevy Spark w/ L4-1.2L F/inj. engine. </t>
  </si>
  <si>
    <t>L16291</t>
  </si>
  <si>
    <t>038568739957</t>
  </si>
  <si>
    <t>10038568739954</t>
  </si>
  <si>
    <t>CAF1882P</t>
  </si>
  <si>
    <t>Luberfiner Air Filter</t>
  </si>
  <si>
    <t xml:space="preserve">Mitsubishi Outlander /Lancer (2002-07)  </t>
  </si>
  <si>
    <t>MN185231</t>
  </si>
  <si>
    <t>MR398288</t>
  </si>
  <si>
    <t>CF10746</t>
  </si>
  <si>
    <t>AFC1472</t>
  </si>
  <si>
    <t>E1998LC</t>
  </si>
  <si>
    <t>CUK2231</t>
  </si>
  <si>
    <t>C36125C</t>
  </si>
  <si>
    <t>C36125</t>
  </si>
  <si>
    <t>WCAF1882</t>
  </si>
  <si>
    <t>038568739544</t>
  </si>
  <si>
    <t>10038568739541</t>
  </si>
  <si>
    <t>L7662FK</t>
  </si>
  <si>
    <t>Luberfiner Fuel Filter</t>
  </si>
  <si>
    <t xml:space="preserve">International TerraStar, 4300 Trucks with MaxxForce 7 (6.4L) Engine </t>
  </si>
  <si>
    <t>1884207C91</t>
  </si>
  <si>
    <t>1884207C92</t>
  </si>
  <si>
    <t>1889977C91</t>
  </si>
  <si>
    <t>1889978C91</t>
  </si>
  <si>
    <t>R33286</t>
  </si>
  <si>
    <t>PF9914 KIT</t>
  </si>
  <si>
    <t>038568738592</t>
  </si>
  <si>
    <t>10038568738599</t>
  </si>
  <si>
    <t>L5092F</t>
  </si>
  <si>
    <t>Freightliner M2 Series, MT45 Chassis, Thomas C2, HDX Bus w/Mercedes-Benz MBE900 Eng.</t>
  </si>
  <si>
    <t>A0000902751</t>
  </si>
  <si>
    <t>K11101</t>
  </si>
  <si>
    <t>038568738196</t>
  </si>
  <si>
    <t>10038568738193 </t>
  </si>
  <si>
    <t>AF5205</t>
  </si>
  <si>
    <t>Chrysler 200 (2011-14), Dodge Avenger, Journey  (2011-14)</t>
  </si>
  <si>
    <t>68081249AC</t>
  </si>
  <si>
    <t>CA11170</t>
  </si>
  <si>
    <t>33-2470</t>
  </si>
  <si>
    <t>A36151</t>
  </si>
  <si>
    <t>SA11170</t>
  </si>
  <si>
    <t>AF6151</t>
  </si>
  <si>
    <t>WAF5205</t>
  </si>
  <si>
    <t>038568739780</t>
  </si>
  <si>
    <t>10038568739787</t>
  </si>
  <si>
    <t>P988</t>
  </si>
  <si>
    <t>Luberfiner Oil Filter</t>
  </si>
  <si>
    <t xml:space="preserve">Porsche Boxster (2010-14), Cayman (2009-14)  </t>
  </si>
  <si>
    <t>Porsche</t>
  </si>
  <si>
    <t>9A110702400</t>
  </si>
  <si>
    <t>CH11008</t>
  </si>
  <si>
    <t>S11008</t>
  </si>
  <si>
    <t>WP988</t>
  </si>
  <si>
    <t>038568739858</t>
  </si>
  <si>
    <t>10038568739855</t>
  </si>
  <si>
    <t>CAF1875P</t>
  </si>
  <si>
    <t>LUBERFINER CABIN AIR PASSCAR</t>
  </si>
  <si>
    <t xml:space="preserve">2009-2011 Nissan Cube Particulate Filter  </t>
  </si>
  <si>
    <t>B7891-1FC0A</t>
  </si>
  <si>
    <t>038568739506</t>
  </si>
  <si>
    <t>10038568739503</t>
  </si>
  <si>
    <t>AF5189</t>
  </si>
  <si>
    <t>2009-11 Infiniti M35/M37</t>
  </si>
  <si>
    <t>16546-EJ70A</t>
  </si>
  <si>
    <t>CA10999</t>
  </si>
  <si>
    <t>AF1562</t>
  </si>
  <si>
    <t>33-2440</t>
  </si>
  <si>
    <t>A26139</t>
  </si>
  <si>
    <t>AF6139</t>
  </si>
  <si>
    <t>WAF5189</t>
  </si>
  <si>
    <t>49570</t>
  </si>
  <si>
    <t>038568739742</t>
  </si>
  <si>
    <t>10038568739749</t>
  </si>
  <si>
    <t>AF5204</t>
  </si>
  <si>
    <t>Scion iQ 2012-2014</t>
  </si>
  <si>
    <t>17801-40040</t>
  </si>
  <si>
    <t>LX2751</t>
  </si>
  <si>
    <t>CA10762</t>
  </si>
  <si>
    <t>AF1543</t>
  </si>
  <si>
    <t>E1050L</t>
  </si>
  <si>
    <t>33-2486</t>
  </si>
  <si>
    <t>A16198</t>
  </si>
  <si>
    <t>SA10762</t>
  </si>
  <si>
    <t>AF6198</t>
  </si>
  <si>
    <t>WAF5204</t>
  </si>
  <si>
    <t>038568739667</t>
  </si>
  <si>
    <t>10038568739664</t>
  </si>
  <si>
    <t>AF5207</t>
  </si>
  <si>
    <t xml:space="preserve">2012-on Nissan Versa with 4-1598cc (1.6L) Engine </t>
  </si>
  <si>
    <t>16546-1HK0A</t>
  </si>
  <si>
    <t>PA4469</t>
  </si>
  <si>
    <t>CA11215</t>
  </si>
  <si>
    <t>AF1539</t>
  </si>
  <si>
    <t>9038</t>
  </si>
  <si>
    <t>A16202</t>
  </si>
  <si>
    <t>SA11215</t>
  </si>
  <si>
    <t>AF6202</t>
  </si>
  <si>
    <t>WAF5207</t>
  </si>
  <si>
    <t>49038</t>
  </si>
  <si>
    <t>038568739711</t>
  </si>
  <si>
    <t>10038568739718 </t>
  </si>
  <si>
    <t>CAF1871P</t>
  </si>
  <si>
    <t>2005-2009 Land Rover LR3 &amp; Range Rover</t>
  </si>
  <si>
    <t>JKR500010</t>
  </si>
  <si>
    <t>AFC1512</t>
  </si>
  <si>
    <t>CU2747</t>
  </si>
  <si>
    <t>49369</t>
  </si>
  <si>
    <t>038568739490</t>
  </si>
  <si>
    <t>10038568739497</t>
  </si>
  <si>
    <t>CAF1861P</t>
  </si>
  <si>
    <t>2004-2010 PT CRUISER</t>
  </si>
  <si>
    <t>5058040AA</t>
  </si>
  <si>
    <t>82206886</t>
  </si>
  <si>
    <t>CF10900</t>
  </si>
  <si>
    <t>AFC1353</t>
  </si>
  <si>
    <t>E2956LI</t>
  </si>
  <si>
    <t>CU2329</t>
  </si>
  <si>
    <t>4725</t>
  </si>
  <si>
    <t>C15857</t>
  </si>
  <si>
    <t>WCAF1861</t>
  </si>
  <si>
    <t>24725</t>
  </si>
  <si>
    <t>038568739469</t>
  </si>
  <si>
    <t>10038568739466 </t>
  </si>
  <si>
    <t>CAF1866C</t>
  </si>
  <si>
    <t>2008-2011 Mercedes C Class</t>
  </si>
  <si>
    <t>AFC1569</t>
  </si>
  <si>
    <t>E2954LC</t>
  </si>
  <si>
    <t>CUK2550</t>
  </si>
  <si>
    <t>C45844C</t>
  </si>
  <si>
    <t>C45844</t>
  </si>
  <si>
    <t>WCAF1866</t>
  </si>
  <si>
    <t>49357</t>
  </si>
  <si>
    <t>038568739476</t>
  </si>
  <si>
    <t>10038568739473 </t>
  </si>
  <si>
    <t>CAF1867P</t>
  </si>
  <si>
    <t>2009-2012 Hyundai Genisis</t>
  </si>
  <si>
    <t>08790-3M000A</t>
  </si>
  <si>
    <t>971333M000</t>
  </si>
  <si>
    <t>CF10734</t>
  </si>
  <si>
    <t>C36067</t>
  </si>
  <si>
    <t>WCAF1867</t>
  </si>
  <si>
    <t>24300</t>
  </si>
  <si>
    <t>038568739483</t>
  </si>
  <si>
    <t>10038568739480</t>
  </si>
  <si>
    <t>CAF1877C</t>
  </si>
  <si>
    <t>2007-2012 BMW X5  2 PER PACK</t>
  </si>
  <si>
    <t>AFC1509</t>
  </si>
  <si>
    <t>E2944LC</t>
  </si>
  <si>
    <t>CUK2941-2</t>
  </si>
  <si>
    <t>9585</t>
  </si>
  <si>
    <t>C16072C</t>
  </si>
  <si>
    <t>49585</t>
  </si>
  <si>
    <t>038568739513</t>
  </si>
  <si>
    <t>10038568739510 </t>
  </si>
  <si>
    <t>P997</t>
  </si>
  <si>
    <t>2012 Mercedes C250 4 cyl 1.8L turbo same as P963 different O-RING</t>
  </si>
  <si>
    <t>A2711800409</t>
  </si>
  <si>
    <t>CH11246</t>
  </si>
  <si>
    <t>E207HD221</t>
  </si>
  <si>
    <t>HU514Y</t>
  </si>
  <si>
    <t>L36289</t>
  </si>
  <si>
    <t>CF6289</t>
  </si>
  <si>
    <t>WP997</t>
  </si>
  <si>
    <t>038568739698</t>
  </si>
  <si>
    <t>10038568739695</t>
  </si>
  <si>
    <t>AF5195</t>
  </si>
  <si>
    <t>2011 Honda CRZ</t>
  </si>
  <si>
    <t>17220-RTW-000</t>
  </si>
  <si>
    <t>CA11041</t>
  </si>
  <si>
    <t>AF1474</t>
  </si>
  <si>
    <t>33-2459</t>
  </si>
  <si>
    <t>A26150</t>
  </si>
  <si>
    <t>AF6150</t>
  </si>
  <si>
    <t>WAF5195</t>
  </si>
  <si>
    <t>49390</t>
  </si>
  <si>
    <t>038568739759</t>
  </si>
  <si>
    <t>10038568739756</t>
  </si>
  <si>
    <t>AF3099</t>
  </si>
  <si>
    <t>2008-10 Chevrolet HHR L4 - 2.0L</t>
  </si>
  <si>
    <t>A3099C</t>
  </si>
  <si>
    <t>CA10692</t>
  </si>
  <si>
    <t>AF1299</t>
  </si>
  <si>
    <t>A16065</t>
  </si>
  <si>
    <t>SA10692</t>
  </si>
  <si>
    <t>AF6065</t>
  </si>
  <si>
    <t>WAF3099</t>
  </si>
  <si>
    <t>038568739766</t>
  </si>
  <si>
    <t>10038568739763</t>
  </si>
  <si>
    <t>LAF6907</t>
  </si>
  <si>
    <t>FOAM ELEMENT USED WITH LAF6902 on 2011-12 Superduty 6.7L diesel</t>
  </si>
  <si>
    <t>BC3Z-9601-C</t>
  </si>
  <si>
    <t>Deutsch</t>
  </si>
  <si>
    <t>BF620DL</t>
  </si>
  <si>
    <t>FA1907</t>
  </si>
  <si>
    <t>WLAF6907</t>
  </si>
  <si>
    <t>038568739728</t>
  </si>
  <si>
    <t>10038568739725</t>
  </si>
  <si>
    <t>CAF1886P</t>
  </si>
  <si>
    <t xml:space="preserve">Dodge Durango (2004), Dodge Nitro (2008-11);  Jeep Liberty (2008-12)  </t>
  </si>
  <si>
    <t>68033193AA</t>
  </si>
  <si>
    <t>53030850AB</t>
  </si>
  <si>
    <t>CF10747</t>
  </si>
  <si>
    <t>AFC1510</t>
  </si>
  <si>
    <t>CU1811-2</t>
  </si>
  <si>
    <t>C16079</t>
  </si>
  <si>
    <t>WCAF1886</t>
  </si>
  <si>
    <t>49093</t>
  </si>
  <si>
    <t>038568739568</t>
  </si>
  <si>
    <t>10038568739565</t>
  </si>
  <si>
    <t>LAF5354</t>
  </si>
  <si>
    <t>RADIAL SEAL AIR FILTER </t>
  </si>
  <si>
    <t>John Deere RE210102; John Deere 8130, 8230, 8330,  8430, 8530 Tractors (Pri. air)</t>
  </si>
  <si>
    <t>RE210102</t>
  </si>
  <si>
    <t>Nelson/Winslow</t>
  </si>
  <si>
    <t>871362B</t>
  </si>
  <si>
    <t>RS5354</t>
  </si>
  <si>
    <t>P617646</t>
  </si>
  <si>
    <t>AF26336</t>
  </si>
  <si>
    <t>49203</t>
  </si>
  <si>
    <t>038568738363</t>
  </si>
  <si>
    <t>10038568738360</t>
  </si>
  <si>
    <t>L6916F</t>
  </si>
  <si>
    <t>CARTRIDGE FUEL FILTER </t>
  </si>
  <si>
    <t xml:space="preserve"> Volvo EC160B Excavator</t>
  </si>
  <si>
    <t>E412KP02D55</t>
  </si>
  <si>
    <t>M+H</t>
  </si>
  <si>
    <t>PU815/X</t>
  </si>
  <si>
    <t>PF7916</t>
  </si>
  <si>
    <t>P550837</t>
  </si>
  <si>
    <t>FF5796</t>
  </si>
  <si>
    <t>33716</t>
  </si>
  <si>
    <t>038568737588</t>
  </si>
  <si>
    <t>10038568737585</t>
  </si>
  <si>
    <t>LP7485</t>
  </si>
  <si>
    <t>CENTRIFUGAL BYPASS OIL FILTER </t>
  </si>
  <si>
    <t>International Centrifuge by-pass lube  International Maxforce 9,10,11, and 13 engines.</t>
  </si>
  <si>
    <t>2606467C91</t>
  </si>
  <si>
    <t>BC7485</t>
  </si>
  <si>
    <t>P551841</t>
  </si>
  <si>
    <t>CS41043</t>
  </si>
  <si>
    <t>57467</t>
  </si>
  <si>
    <t>038568738004</t>
  </si>
  <si>
    <t>10038568738001</t>
  </si>
  <si>
    <t>LAF5837</t>
  </si>
  <si>
    <t xml:space="preserve">Nissan </t>
  </si>
  <si>
    <t>D6546-NY108</t>
  </si>
  <si>
    <t>P812175</t>
  </si>
  <si>
    <t>038568738547</t>
  </si>
  <si>
    <t>10038568738544 </t>
  </si>
  <si>
    <t>LH6418</t>
  </si>
  <si>
    <t>HYDRAULIC CARTRIDGE FILTER </t>
  </si>
  <si>
    <t xml:space="preserve">White </t>
  </si>
  <si>
    <t>White</t>
  </si>
  <si>
    <t>P545</t>
  </si>
  <si>
    <t>HF6418</t>
  </si>
  <si>
    <t>C7065</t>
  </si>
  <si>
    <t>LF366</t>
  </si>
  <si>
    <t>038568737946</t>
  </si>
  <si>
    <t>10038568737943</t>
  </si>
  <si>
    <t>FUEL FILTER KIT</t>
  </si>
  <si>
    <t>Freightliner School Bus (2008)  Mercedes,  Kit includes element TR2009-0331 &amp; pre-screen</t>
  </si>
  <si>
    <t>10038568738193</t>
  </si>
  <si>
    <t>AF5192</t>
  </si>
  <si>
    <t>LUBERFINER RIGID AIR FILTER</t>
  </si>
  <si>
    <t xml:space="preserve">Mazda 2 1.5L (2011-12) </t>
  </si>
  <si>
    <t>ZJ01-13-Z40</t>
  </si>
  <si>
    <t>CA9894</t>
  </si>
  <si>
    <t>AF1547</t>
  </si>
  <si>
    <t>C3220</t>
  </si>
  <si>
    <t>A26144</t>
  </si>
  <si>
    <t>AF6144</t>
  </si>
  <si>
    <t>SA9894</t>
  </si>
  <si>
    <t>WAF5192</t>
  </si>
  <si>
    <t>49640</t>
  </si>
  <si>
    <t>038568739643</t>
  </si>
  <si>
    <t>10038568739640</t>
  </si>
  <si>
    <t>CAF1883P</t>
  </si>
  <si>
    <t>LUBERFINER CABIN AIR FILTER</t>
  </si>
  <si>
    <t xml:space="preserve">Suzuki SX4 (2007-13) </t>
  </si>
  <si>
    <t>95860-80J00</t>
  </si>
  <si>
    <t>CF10559</t>
  </si>
  <si>
    <t>AFC1522</t>
  </si>
  <si>
    <t>C26089</t>
  </si>
  <si>
    <t>WCAF1883</t>
  </si>
  <si>
    <t>49700</t>
  </si>
  <si>
    <t>038568739452</t>
  </si>
  <si>
    <t>10038568739459</t>
  </si>
  <si>
    <t>AF5210</t>
  </si>
  <si>
    <t>Honda CRV (2012-14)</t>
  </si>
  <si>
    <t>17220-R5A-A00</t>
  </si>
  <si>
    <t>PA4468</t>
  </si>
  <si>
    <t>CA11258</t>
  </si>
  <si>
    <t>AF1538</t>
  </si>
  <si>
    <t>33-2477</t>
  </si>
  <si>
    <t>A36274</t>
  </si>
  <si>
    <t>AF6274</t>
  </si>
  <si>
    <t>SA11258</t>
  </si>
  <si>
    <t>WAF5210</t>
  </si>
  <si>
    <t>49630</t>
  </si>
  <si>
    <t>038568739582</t>
  </si>
  <si>
    <t>10038568739589</t>
  </si>
  <si>
    <t>AF5201</t>
  </si>
  <si>
    <t xml:space="preserve">Honda Civic 4cyl. 1.8L (2012-13)  </t>
  </si>
  <si>
    <t>17220-R1A-A01</t>
  </si>
  <si>
    <t>PA4452</t>
  </si>
  <si>
    <t>CA11113</t>
  </si>
  <si>
    <t>AF1481</t>
  </si>
  <si>
    <t>33-2468</t>
  </si>
  <si>
    <t>C24021</t>
  </si>
  <si>
    <t>A26171</t>
  </si>
  <si>
    <t>AF6171</t>
  </si>
  <si>
    <t>WAF5201</t>
  </si>
  <si>
    <t>49031</t>
  </si>
  <si>
    <t>038568739629</t>
  </si>
  <si>
    <t>10038568739626 </t>
  </si>
  <si>
    <t>AF5208</t>
  </si>
  <si>
    <t xml:space="preserve">Honda Civic Si 2.4L (2012-13)  </t>
  </si>
  <si>
    <t>17220-RX0-A00</t>
  </si>
  <si>
    <t>PA4463</t>
  </si>
  <si>
    <t>CA11121</t>
  </si>
  <si>
    <t>AF1508</t>
  </si>
  <si>
    <t>33-2473</t>
  </si>
  <si>
    <t>A26197</t>
  </si>
  <si>
    <t>AF6197</t>
  </si>
  <si>
    <t>SA11121</t>
  </si>
  <si>
    <t>WAF5208</t>
  </si>
  <si>
    <t>49530</t>
  </si>
  <si>
    <t>038568739674</t>
  </si>
  <si>
    <t>10038568739671</t>
  </si>
  <si>
    <t>AF5198</t>
  </si>
  <si>
    <t xml:space="preserve">Chrysler Town &amp; Country, Dodge Grand Caravan  (2011-14), Ram Cargo Van (2012-14)  </t>
  </si>
  <si>
    <t>4861737AA</t>
  </si>
  <si>
    <t>7B0-129-620A</t>
  </si>
  <si>
    <t>PA4456</t>
  </si>
  <si>
    <t>CA11050</t>
  </si>
  <si>
    <t>AF1490</t>
  </si>
  <si>
    <t>33-2462</t>
  </si>
  <si>
    <t>A36165</t>
  </si>
  <si>
    <t>AF6165</t>
  </si>
  <si>
    <t>WAF5198</t>
  </si>
  <si>
    <t>49737</t>
  </si>
  <si>
    <t>038568739773</t>
  </si>
  <si>
    <t>10038568739770</t>
  </si>
  <si>
    <t>AF3612</t>
  </si>
  <si>
    <t>LUBERFINER FLEX PANEL AIR FILTER</t>
  </si>
  <si>
    <t xml:space="preserve">Dodge Caliber (2011-12), Jeep Patriot, Compass  (2011-12) </t>
  </si>
  <si>
    <t>4593914AB</t>
  </si>
  <si>
    <t>CA11048</t>
  </si>
  <si>
    <t>AF1531</t>
  </si>
  <si>
    <t>A16168</t>
  </si>
  <si>
    <t>AF6168</t>
  </si>
  <si>
    <t>SA11048</t>
  </si>
  <si>
    <t>WAF3612</t>
  </si>
  <si>
    <t>49014</t>
  </si>
  <si>
    <t>038568739605</t>
  </si>
  <si>
    <t>10038568739602 </t>
  </si>
  <si>
    <t>AF5186</t>
  </si>
  <si>
    <t xml:space="preserve">Acura MDX (2010-13) , ZDX (2010-13) </t>
  </si>
  <si>
    <t>17220-RYE-A10</t>
  </si>
  <si>
    <t>CA11010</t>
  </si>
  <si>
    <t>AF1463</t>
  </si>
  <si>
    <t>33-2454</t>
  </si>
  <si>
    <t>A26172</t>
  </si>
  <si>
    <t>AF6172</t>
  </si>
  <si>
    <t>WAF5186</t>
  </si>
  <si>
    <t>49610</t>
  </si>
  <si>
    <t>038568739421</t>
  </si>
  <si>
    <t>10038568739428</t>
  </si>
  <si>
    <t>P996</t>
  </si>
  <si>
    <t>LUBERFINER CARTRIDGE OIL FILTER</t>
  </si>
  <si>
    <t>Scion iQ (2012-14) (Toyota )  Toyota Auris 1.33 VVT, 1.6 (5/09)</t>
  </si>
  <si>
    <t>04152-40060</t>
  </si>
  <si>
    <t>CH11252</t>
  </si>
  <si>
    <t>L16160</t>
  </si>
  <si>
    <t>CF6160</t>
  </si>
  <si>
    <t>WP996</t>
  </si>
  <si>
    <t>57260</t>
  </si>
  <si>
    <t>038568739803</t>
  </si>
  <si>
    <t>10038568739800</t>
  </si>
  <si>
    <t>P998</t>
  </si>
  <si>
    <t xml:space="preserve">Volkswagen Passat (2012-14), Touareg (2011-14),  CC (2013-14) </t>
  </si>
  <si>
    <t>03H-115-562</t>
  </si>
  <si>
    <t>CH11242</t>
  </si>
  <si>
    <t>LF690</t>
  </si>
  <si>
    <t>L26293</t>
  </si>
  <si>
    <t>CF6293</t>
  </si>
  <si>
    <t>WP998</t>
  </si>
  <si>
    <t>57462</t>
  </si>
  <si>
    <t>038568739599</t>
  </si>
  <si>
    <t>10038568739596</t>
  </si>
  <si>
    <t>CAF1868P</t>
  </si>
  <si>
    <t xml:space="preserve">Ford Fusion (2010-12), Mercury Milan (2010-11)  Lincoln MKZ (2010-12)  </t>
  </si>
  <si>
    <t>AE5Z-19N619-A</t>
  </si>
  <si>
    <t>FP-67</t>
  </si>
  <si>
    <t>CF11174</t>
  </si>
  <si>
    <t>AFC1460</t>
  </si>
  <si>
    <t>C36099</t>
  </si>
  <si>
    <t>WCAF1868</t>
  </si>
  <si>
    <t>24367</t>
  </si>
  <si>
    <t>038568739445</t>
  </si>
  <si>
    <t>10038568739442</t>
  </si>
  <si>
    <t>LH4248V</t>
  </si>
  <si>
    <t xml:space="preserve">Hydraulic Wire Mesh Supported Element </t>
  </si>
  <si>
    <t>Parker-Hannifan</t>
  </si>
  <si>
    <t>932618Q</t>
  </si>
  <si>
    <t>H9052</t>
  </si>
  <si>
    <t>P566202</t>
  </si>
  <si>
    <t>HF30237</t>
  </si>
  <si>
    <t>038568737106 </t>
  </si>
  <si>
    <t>10038568737103 </t>
  </si>
  <si>
    <t>LFP7314</t>
  </si>
  <si>
    <t xml:space="preserve">Hydraulic Filter, Spin-on </t>
  </si>
  <si>
    <t>International By-pass Lube filter used  on DT466, DT530 engines</t>
  </si>
  <si>
    <t>1842816-C2</t>
  </si>
  <si>
    <t>B7314</t>
  </si>
  <si>
    <t>LF16133</t>
  </si>
  <si>
    <t>P11020</t>
  </si>
  <si>
    <t>038568737861</t>
  </si>
  <si>
    <t>10038568737868 </t>
  </si>
  <si>
    <t>LH7040</t>
  </si>
  <si>
    <t xml:space="preserve">Hydraulic Filter, Cartridge </t>
  </si>
  <si>
    <t>Parker RF2/IF2 housings.  Beta 1000= 23 micron</t>
  </si>
  <si>
    <t xml:space="preserve">Schroeder </t>
  </si>
  <si>
    <t>SBF100218Z25B</t>
  </si>
  <si>
    <t>P567040</t>
  </si>
  <si>
    <t>038568737113 </t>
  </si>
  <si>
    <t>LAF1901</t>
  </si>
  <si>
    <t>Air Filter, Primary</t>
  </si>
  <si>
    <t>Roof drill dust collector</t>
  </si>
  <si>
    <t>Air Refiner</t>
  </si>
  <si>
    <t>ARM-12-3990</t>
  </si>
  <si>
    <t>PA2527</t>
  </si>
  <si>
    <t>P123990</t>
  </si>
  <si>
    <t>AF1872</t>
  </si>
  <si>
    <t>CA7747</t>
  </si>
  <si>
    <t>A55118</t>
  </si>
  <si>
    <t>038568738011 </t>
  </si>
  <si>
    <t>AF5197</t>
  </si>
  <si>
    <t>Chrysler 300, Dodge Challenger, Charger (2011 - 2014), 3.6L, 5.7L, 6.4L, engines</t>
  </si>
  <si>
    <t>4861746AA</t>
  </si>
  <si>
    <t>LX2615OF</t>
  </si>
  <si>
    <t>CA11052</t>
  </si>
  <si>
    <t>AF1488</t>
  </si>
  <si>
    <t>33-2460</t>
  </si>
  <si>
    <t>A36167</t>
  </si>
  <si>
    <t>AF6167</t>
  </si>
  <si>
    <t>WAF5197</t>
  </si>
  <si>
    <t>038568738318</t>
  </si>
  <si>
    <t>AF5217</t>
  </si>
  <si>
    <t xml:space="preserve">Hyundai Genesis Coupe 2013, 2014 </t>
  </si>
  <si>
    <t>281132M300</t>
  </si>
  <si>
    <t>CA11298</t>
  </si>
  <si>
    <t>A36275</t>
  </si>
  <si>
    <t>AF6275</t>
  </si>
  <si>
    <t>WAF5217</t>
  </si>
  <si>
    <t>038568738325</t>
  </si>
  <si>
    <t>AF5203</t>
  </si>
  <si>
    <t xml:space="preserve">Honda Civic (Hybrid) (2012-13)  </t>
  </si>
  <si>
    <t>17220-RW0-A01</t>
  </si>
  <si>
    <t>CA11256</t>
  </si>
  <si>
    <t>A26196</t>
  </si>
  <si>
    <t>AF6196</t>
  </si>
  <si>
    <t>WAF5203</t>
  </si>
  <si>
    <t>038568739650</t>
  </si>
  <si>
    <t>10038568739657</t>
  </si>
  <si>
    <t>AF6908</t>
  </si>
  <si>
    <t xml:space="preserve">Ford Focus (2012-14) </t>
  </si>
  <si>
    <t>FA1908</t>
  </si>
  <si>
    <t>RS4450</t>
  </si>
  <si>
    <t>CA11114</t>
  </si>
  <si>
    <t>A36149</t>
  </si>
  <si>
    <t>AF6149</t>
  </si>
  <si>
    <t>WAF6908</t>
  </si>
  <si>
    <t>038568739827</t>
  </si>
  <si>
    <t>10038568739824</t>
  </si>
  <si>
    <t>AF5206</t>
  </si>
  <si>
    <t xml:space="preserve">Hyundai Accent, Veloster (2012-14), KIA Soul  2012-13 </t>
  </si>
  <si>
    <t>281131R100</t>
  </si>
  <si>
    <t>CA11206</t>
  </si>
  <si>
    <t>33-2472</t>
  </si>
  <si>
    <t>A16200</t>
  </si>
  <si>
    <t>AF6200</t>
  </si>
  <si>
    <t>SA11206</t>
  </si>
  <si>
    <t>WAF5206</t>
  </si>
  <si>
    <t>038568739636</t>
  </si>
  <si>
    <t>10038568739633</t>
  </si>
  <si>
    <t>CAF1863P</t>
  </si>
  <si>
    <t>Cabin Air Filter</t>
  </si>
  <si>
    <t xml:space="preserve">Subaru Forester (2003-08) </t>
  </si>
  <si>
    <t>Subaru</t>
  </si>
  <si>
    <t>72880-SA000</t>
  </si>
  <si>
    <t>G3010-SA100</t>
  </si>
  <si>
    <t>PA4424</t>
  </si>
  <si>
    <t>CF10745</t>
  </si>
  <si>
    <t>C25875</t>
  </si>
  <si>
    <t>WCAF1863</t>
  </si>
  <si>
    <t>038568738271</t>
  </si>
  <si>
    <t>10038568738278</t>
  </si>
  <si>
    <t>CAF1869P</t>
  </si>
  <si>
    <t xml:space="preserve">Subaru Forester (2009-14) </t>
  </si>
  <si>
    <t>72880-FG000</t>
  </si>
  <si>
    <t>C36115</t>
  </si>
  <si>
    <t>WCAF1869</t>
  </si>
  <si>
    <t>038568737519</t>
  </si>
  <si>
    <t>10038568737516</t>
  </si>
  <si>
    <t>CAF1874P</t>
  </si>
  <si>
    <t xml:space="preserve">Mazda 6 (2009-13) </t>
  </si>
  <si>
    <t>GS3L-61-148</t>
  </si>
  <si>
    <t>CF11175</t>
  </si>
  <si>
    <t>C26087</t>
  </si>
  <si>
    <t>WCAF1874</t>
  </si>
  <si>
    <t>038568738295 </t>
  </si>
  <si>
    <t>10038568738292</t>
  </si>
  <si>
    <t>CAF1890P</t>
  </si>
  <si>
    <t xml:space="preserve">Dodge Durango (2011-14), Jeep Grand Cherokee  (2011-14) </t>
  </si>
  <si>
    <t>68079487AA</t>
  </si>
  <si>
    <t>PA4462</t>
  </si>
  <si>
    <t>CF11183</t>
  </si>
  <si>
    <t>C36156</t>
  </si>
  <si>
    <t>WCAF1890</t>
  </si>
  <si>
    <t>038568739438</t>
  </si>
  <si>
    <t>10038568739435</t>
  </si>
  <si>
    <t>LFH5323</t>
  </si>
  <si>
    <t>Terberg &amp; Coopers Equipment</t>
  </si>
  <si>
    <t>Coopers</t>
  </si>
  <si>
    <t>LSF5170</t>
  </si>
  <si>
    <t>Terberg</t>
  </si>
  <si>
    <t>CAT</t>
  </si>
  <si>
    <t>8N9586, 9N5570</t>
  </si>
  <si>
    <t>P555570</t>
  </si>
  <si>
    <t>HF35323</t>
  </si>
  <si>
    <t>Not Packed Into a Unit Box</t>
  </si>
  <si>
    <t>LAF5771</t>
  </si>
  <si>
    <t>Radial Seal Outer Air Element</t>
  </si>
  <si>
    <t>INGERSOLL-RAND 7121 (w/31RL2N eng.), 7126 (w/31RL2N eng.); 7126E (w/31RH2NS eng.); Kramer/Allrad 118 Series II (w/Kubota V1305; 318 (w/Kubota V1305 Engine); Terex HR11 (w/Mitsubishi L3E eng.), HR12 (S/N 4388-4973); Kubota ZD323 (w/D902E3 eng.), ZD326 (w/D1005-E eng.), ZD331 (w/D1305-E eng.)</t>
  </si>
  <si>
    <t>Ingersoll-Rand</t>
  </si>
  <si>
    <t>54516075</t>
  </si>
  <si>
    <t>EPC046519</t>
  </si>
  <si>
    <t>K3181-82241</t>
  </si>
  <si>
    <t>NISSAN</t>
  </si>
  <si>
    <t>16546-FA01A</t>
  </si>
  <si>
    <t>80858384</t>
  </si>
  <si>
    <t>RS3990</t>
  </si>
  <si>
    <t>83978</t>
  </si>
  <si>
    <t>P778979</t>
  </si>
  <si>
    <t>AF26387</t>
  </si>
  <si>
    <t>E1500L</t>
  </si>
  <si>
    <t>49978</t>
  </si>
  <si>
    <t>038568737892</t>
  </si>
  <si>
    <t>1 unit box = 1 carton</t>
  </si>
  <si>
    <t>United Kingdom</t>
  </si>
  <si>
    <t>LK363T</t>
  </si>
  <si>
    <t>Maintentance Kit</t>
  </si>
  <si>
    <t xml:space="preserve"> Thermo-King Refrigeration  Units (Consists of 1-PH2808, 1-LFF9342SC, 1-G6635)</t>
  </si>
  <si>
    <t>11-9342</t>
  </si>
  <si>
    <t>038568739391</t>
  </si>
  <si>
    <t>LFF9982</t>
  </si>
  <si>
    <t>Fuel/Water Separator</t>
  </si>
  <si>
    <t xml:space="preserve">Thermo King Refrigeration Units; Volvo Trucks </t>
  </si>
  <si>
    <t>11-9982</t>
  </si>
  <si>
    <t>S3238P</t>
  </si>
  <si>
    <t>BF1355-SP</t>
  </si>
  <si>
    <t>FS19799</t>
  </si>
  <si>
    <t>PS9707</t>
  </si>
  <si>
    <t>038568737267</t>
  </si>
  <si>
    <t>10038568737264 </t>
  </si>
  <si>
    <t>P1009</t>
  </si>
  <si>
    <t>Oil - Full Flow LubeCartridge</t>
  </si>
  <si>
    <t>2014 Chrysler/Jeep/Dodge/Ram w/ 3.6L V-6</t>
  </si>
  <si>
    <t>68191349AA</t>
  </si>
  <si>
    <t>Mopar</t>
  </si>
  <si>
    <t>MO-349</t>
  </si>
  <si>
    <t>L36296</t>
  </si>
  <si>
    <t>CF6296</t>
  </si>
  <si>
    <t>WP1009</t>
  </si>
  <si>
    <t>038568738240</t>
  </si>
  <si>
    <t>10038568738247</t>
  </si>
  <si>
    <t>LAF5929</t>
  </si>
  <si>
    <t xml:space="preserve">New Holland T7030, T7040; 7.220 (w/6.75L Tier 4A eng.) 1;  7.235 (w/6.75L Tier 4A eng.) 1; 7.250 (w/6.75L Tier 4A eng.); T7.220 (12/10-); T7.235 (w/6.75L Tier 4A eng.);  T7.250 (w/6.75L Tier 4A eng.); T7.260 (w/6.75L Tier 4A eng.); T7.270 (w/6.75L Tier 4A eng.); T7030 (w/6.75L turbo eng.); T7040 (w/ 6.75L Turbo eng.) (1; T7070 (w/ FPT 6.75L eng.) 6/09  Tractors,  CASE INTERNATIONAL Magnum 180 (w/6.7L eng.); Magnum 210 (w/ 6.7L eng.); Magnum 225 (w 6.7L eng.); Puma 165 (CVT) 11/08-; Puma 165; Puma 170 (CVT) (w/6.7 Tier 4A; Puma 180 (CVT) 11/08-; Puma 185 (CVT) (w/6.7 Tier 4A; Puma 195 (CVT) 11/08-; Puma 200 (CVT) (w/6.7 Tier 4A; Puma 210 (CVT) 11/08-; Puma 215 (CVT) (w/6.7 Tier 4A; Puma 225 (w/6.75L Tier III eng; Puma 230 (CVT) (w/6.7 Tier 4A </t>
  </si>
  <si>
    <t>P783544</t>
  </si>
  <si>
    <t>038568737830</t>
  </si>
  <si>
    <t>Dahl Fuel filter/Water separator</t>
  </si>
  <si>
    <t>Gasoline or Diesel Fuel Filter/Water Separator</t>
  </si>
  <si>
    <t>CAF12000XL</t>
  </si>
  <si>
    <t>Extreme Clean Cabin Air Filter</t>
  </si>
  <si>
    <t>John Deere 7000-8000-9000 Series Tractors; 4920 Sprayer</t>
  </si>
  <si>
    <t>RE187966</t>
  </si>
  <si>
    <t>038568737755</t>
  </si>
  <si>
    <t>CAF12001XL</t>
  </si>
  <si>
    <t>John Deere 600-700-800 Series J Wheeloaders  and Combines</t>
  </si>
  <si>
    <t xml:space="preserve">John Deere </t>
  </si>
  <si>
    <t>T156471</t>
  </si>
  <si>
    <t>038568737762</t>
  </si>
  <si>
    <t>CAF24000XL</t>
  </si>
  <si>
    <t>Volvo VHD, VN Series</t>
  </si>
  <si>
    <t xml:space="preserve">Volvo </t>
  </si>
  <si>
    <t>038568737779</t>
  </si>
  <si>
    <t>CAF24001XL</t>
  </si>
  <si>
    <t>Volvo VN Series</t>
  </si>
  <si>
    <t>038568737786</t>
  </si>
  <si>
    <t>CAF24002XL</t>
  </si>
  <si>
    <t>038568737793</t>
  </si>
  <si>
    <t>CAF24003XL</t>
  </si>
  <si>
    <t>Freightliner Business Class, Cascadia, Century, Coumbia, Coronado</t>
  </si>
  <si>
    <t xml:space="preserve">Freightliner </t>
  </si>
  <si>
    <t>038568737809</t>
  </si>
  <si>
    <t>CAF24004XL</t>
  </si>
  <si>
    <t>Freightliner Century Class, C112, CST 120</t>
  </si>
  <si>
    <t>22-44665-000</t>
  </si>
  <si>
    <t>038568737816</t>
  </si>
  <si>
    <t>CAF24005XL</t>
  </si>
  <si>
    <t>International Durastar, LoneStar, WorkStar, ProStar</t>
  </si>
  <si>
    <t>2506656C1</t>
  </si>
  <si>
    <t>038568737663</t>
  </si>
  <si>
    <t>CAF24007XL</t>
  </si>
  <si>
    <t>Kenworth T2000</t>
  </si>
  <si>
    <t xml:space="preserve">Kenworth </t>
  </si>
  <si>
    <t>52-5507BSM</t>
  </si>
  <si>
    <t>038568737670</t>
  </si>
  <si>
    <t>CAF24008XL</t>
  </si>
  <si>
    <t>International 4300, 6700, 9670, LP, LPX</t>
  </si>
  <si>
    <t>498144C1</t>
  </si>
  <si>
    <t>038568737687</t>
  </si>
  <si>
    <t>CAF24010XL</t>
  </si>
  <si>
    <t>Freightliner Columbia and Coronado</t>
  </si>
  <si>
    <t>038568737694</t>
  </si>
  <si>
    <t>CAF24011XL</t>
  </si>
  <si>
    <t>Freightliner Century and Columbia</t>
  </si>
  <si>
    <t>038568737700</t>
  </si>
  <si>
    <t>CAF24014XL</t>
  </si>
  <si>
    <t>Sterling B6500, B7500, B8500 + Others</t>
  </si>
  <si>
    <t xml:space="preserve">Sterling </t>
  </si>
  <si>
    <t>F6HZ-19N619-AA</t>
  </si>
  <si>
    <t>038568737717</t>
  </si>
  <si>
    <t>CAF24015XL</t>
  </si>
  <si>
    <t>International Prostar Series</t>
  </si>
  <si>
    <t>3839141C1</t>
  </si>
  <si>
    <t>038568737748</t>
  </si>
  <si>
    <t>CAF24016XL</t>
  </si>
  <si>
    <t>Freightliner Business Class, FL &amp; M2 SEries</t>
  </si>
  <si>
    <t>VCC36000006</t>
  </si>
  <si>
    <t>038568737724</t>
  </si>
  <si>
    <t>CAF24017XL</t>
  </si>
  <si>
    <t>Western Star 4900 Series Trucks</t>
  </si>
  <si>
    <t xml:space="preserve">Western Star </t>
  </si>
  <si>
    <t>RD3-8416-0</t>
  </si>
  <si>
    <t>CAF24020</t>
  </si>
  <si>
    <t>Sterling Trucks-Foam Cabin Air element</t>
  </si>
  <si>
    <t xml:space="preserve">Ford Sterling </t>
  </si>
  <si>
    <t xml:space="preserve"> F6HZ-19N619-BA</t>
  </si>
  <si>
    <t>PA5393</t>
  </si>
  <si>
    <t>AF26669</t>
  </si>
  <si>
    <t>AF2452</t>
  </si>
  <si>
    <t>LAF5454</t>
  </si>
  <si>
    <t>M.A.N. TGA, TGM, TGS, &amp; TGX Series Trucks-S/O Air Dryer</t>
  </si>
  <si>
    <t>AL150288</t>
  </si>
  <si>
    <t>PA4704</t>
  </si>
  <si>
    <t>P606121</t>
  </si>
  <si>
    <t>AF26155</t>
  </si>
  <si>
    <t>AF2381</t>
  </si>
  <si>
    <t>E712LS</t>
  </si>
  <si>
    <t>CF30100</t>
  </si>
  <si>
    <t>LAF5789</t>
  </si>
  <si>
    <t>Caterpillar; Irregular shaped radial seal  air filter used on Caterpillar CT660 trucks.</t>
  </si>
  <si>
    <t>80122-RPL</t>
  </si>
  <si>
    <t>Navistar</t>
  </si>
  <si>
    <t>2609683C1</t>
  </si>
  <si>
    <t>LFP6035</t>
  </si>
  <si>
    <t>Spin-on Lube Filter</t>
  </si>
  <si>
    <t>2011-12 International trucks with Maxforce DT engine.</t>
  </si>
  <si>
    <t>1884508C1</t>
  </si>
  <si>
    <t>LF17499</t>
  </si>
  <si>
    <t>LK364M</t>
  </si>
  <si>
    <t>Consists of: 2-LFP3236, 1-LFP8642, 1-LFF8059,  1-LFF3358</t>
  </si>
  <si>
    <t>Mack</t>
  </si>
  <si>
    <t>LAF3700</t>
  </si>
  <si>
    <t>LFH4984</t>
  </si>
  <si>
    <t>LAF2513</t>
  </si>
  <si>
    <t>LP6043</t>
  </si>
  <si>
    <t>Dec 2012-Feb 2013</t>
  </si>
  <si>
    <t>LAF3498</t>
  </si>
  <si>
    <t>LAF3780</t>
  </si>
  <si>
    <t>LAF6999</t>
  </si>
  <si>
    <t>LAF6099</t>
  </si>
  <si>
    <t>L3546FC</t>
  </si>
  <si>
    <t>LFF3294</t>
  </si>
  <si>
    <t>LFF5357</t>
  </si>
  <si>
    <t>LFF6354</t>
  </si>
  <si>
    <t>L1020F</t>
  </si>
  <si>
    <t>L5098F</t>
  </si>
  <si>
    <t>L3880F</t>
  </si>
  <si>
    <t>L4109F</t>
  </si>
  <si>
    <t>Oil</t>
  </si>
  <si>
    <t>LP1138</t>
  </si>
  <si>
    <t>LFP9025XL</t>
  </si>
  <si>
    <t>LWC22155</t>
  </si>
  <si>
    <t xml:space="preserve">Coolant </t>
  </si>
  <si>
    <t>L7663F</t>
  </si>
  <si>
    <t>Paccar 1852006PE; 2014 Kenworth &amp; Peterbilt  trucks with Paccar MX engine)</t>
  </si>
  <si>
    <t>1852006PE</t>
  </si>
  <si>
    <t>AF5230</t>
  </si>
  <si>
    <t xml:space="preserve">Acura MDX </t>
  </si>
  <si>
    <t>17220-5J6-A00</t>
  </si>
  <si>
    <t>CA11712</t>
  </si>
  <si>
    <t>AF1642</t>
  </si>
  <si>
    <t>33-5013</t>
  </si>
  <si>
    <t>A28168</t>
  </si>
  <si>
    <t>AF8168</t>
  </si>
  <si>
    <t>WAF5230</t>
  </si>
  <si>
    <t>WA10053</t>
  </si>
  <si>
    <t>AF5699</t>
  </si>
  <si>
    <t xml:space="preserve">Mercedes-Benz SLK350, C350,  E350 (2012-16) </t>
  </si>
  <si>
    <t>CA11439</t>
  </si>
  <si>
    <t>AF1574</t>
  </si>
  <si>
    <t>E1040L</t>
  </si>
  <si>
    <t>LX3140</t>
  </si>
  <si>
    <t>C43139</t>
  </si>
  <si>
    <t>SA11439</t>
  </si>
  <si>
    <t>WAF5699</t>
  </si>
  <si>
    <t>AF3611</t>
  </si>
  <si>
    <t xml:space="preserve">Audi, Volkswagen Jetta 2.0L (2011-15) </t>
  </si>
  <si>
    <t>1F0-129-620</t>
  </si>
  <si>
    <t>1-987-429-405</t>
  </si>
  <si>
    <t>CA9800</t>
  </si>
  <si>
    <t>AF1595</t>
  </si>
  <si>
    <t>C14130</t>
  </si>
  <si>
    <t>SA9800</t>
  </si>
  <si>
    <t>WAF3611</t>
  </si>
  <si>
    <t>AF3618</t>
  </si>
  <si>
    <t xml:space="preserve">BMW 3 Series 2.0L 4 cyl. (2012-16)  </t>
  </si>
  <si>
    <t>ALCO</t>
  </si>
  <si>
    <t>MD8654</t>
  </si>
  <si>
    <t>CA11305</t>
  </si>
  <si>
    <t>AF1630</t>
  </si>
  <si>
    <t>E1079L</t>
  </si>
  <si>
    <t>LX2077/3</t>
  </si>
  <si>
    <t>C24025</t>
  </si>
  <si>
    <t>WAF3618</t>
  </si>
  <si>
    <t>WA10005</t>
  </si>
  <si>
    <t>CAF1753</t>
  </si>
  <si>
    <t xml:space="preserve">Daewoo Nubira (1998-2002) </t>
  </si>
  <si>
    <t>Daewoo</t>
  </si>
  <si>
    <t>PH488</t>
  </si>
  <si>
    <t xml:space="preserve">Chevrolet 1.4L and 1.5L (2016-17) </t>
  </si>
  <si>
    <t>UPF64R</t>
  </si>
  <si>
    <t>WPH488</t>
  </si>
  <si>
    <t>CAF1945P</t>
  </si>
  <si>
    <t xml:space="preserve">Audi A3, VW Golf (2015-16) </t>
  </si>
  <si>
    <t>Audi</t>
  </si>
  <si>
    <t>5Q0-819-644</t>
  </si>
  <si>
    <t>5Q0-819-644A</t>
  </si>
  <si>
    <t>E2998Li</t>
  </si>
  <si>
    <t>CU26009</t>
  </si>
  <si>
    <t>P1028</t>
  </si>
  <si>
    <t xml:space="preserve">2015 VW Golf diesel </t>
  </si>
  <si>
    <t>03N-115-562</t>
  </si>
  <si>
    <t>E340HD247</t>
  </si>
  <si>
    <t>HU7020z</t>
  </si>
  <si>
    <t>L28176</t>
  </si>
  <si>
    <t>WP1028</t>
  </si>
  <si>
    <t>WL10056</t>
  </si>
  <si>
    <t>038568744463</t>
  </si>
  <si>
    <t>10038568744460</t>
  </si>
  <si>
    <t>UB Supplied - Dimensions Unknown</t>
  </si>
  <si>
    <t>038568744586</t>
  </si>
  <si>
    <t>10038568744583</t>
  </si>
  <si>
    <t>038568742490</t>
  </si>
  <si>
    <t>10038568742497</t>
  </si>
  <si>
    <t>038568744678</t>
  </si>
  <si>
    <t>10038568744675</t>
  </si>
  <si>
    <t>038568744340</t>
  </si>
  <si>
    <t>10038568744347</t>
  </si>
  <si>
    <t>038568730572</t>
  </si>
  <si>
    <t>10038568743630</t>
  </si>
  <si>
    <t>038568744272</t>
  </si>
  <si>
    <t>10038568744279</t>
  </si>
  <si>
    <t>038568744357</t>
  </si>
  <si>
    <t>10038568744354</t>
  </si>
  <si>
    <t>038568744364</t>
  </si>
  <si>
    <t>10038568744361</t>
  </si>
  <si>
    <t>AF3621</t>
  </si>
  <si>
    <t xml:space="preserve">VW Golf (2015-16) </t>
  </si>
  <si>
    <t>5Q0-129-620</t>
  </si>
  <si>
    <t>5Q0-129-620B</t>
  </si>
  <si>
    <t>5QM-129-620D</t>
  </si>
  <si>
    <t>5QM-129-620A</t>
  </si>
  <si>
    <t>E1090L</t>
  </si>
  <si>
    <t>LX3502</t>
  </si>
  <si>
    <t>C30005</t>
  </si>
  <si>
    <t>AF5247</t>
  </si>
  <si>
    <t xml:space="preserve">(2014-2016) Ram Pro Master van  </t>
  </si>
  <si>
    <t>52022424AA</t>
  </si>
  <si>
    <t>RS10021</t>
  </si>
  <si>
    <t>CAF1946C</t>
  </si>
  <si>
    <t>Mini Cooper 1.5L and 2.0L (2015-16)</t>
  </si>
  <si>
    <t>038568744739 </t>
  </si>
  <si>
    <t>10038568744736 </t>
  </si>
  <si>
    <t>NA</t>
  </si>
  <si>
    <t>038568743664</t>
  </si>
  <si>
    <t>10038568743661</t>
  </si>
  <si>
    <t>038568744647</t>
  </si>
  <si>
    <t>10038568744644</t>
  </si>
  <si>
    <t>AF3619</t>
  </si>
  <si>
    <t xml:space="preserve">Volkswagen Jetta 4 cyl. 1.4L (2013-16) </t>
  </si>
  <si>
    <t xml:space="preserve"> 04E-129-620</t>
  </si>
  <si>
    <t>C27009</t>
  </si>
  <si>
    <t>WA10072</t>
  </si>
  <si>
    <t>LFP6288</t>
  </si>
  <si>
    <t xml:space="preserve">Dodge Promaster Diesel van (2014-16)  </t>
  </si>
  <si>
    <t>68095335AA</t>
  </si>
  <si>
    <t>H17W29</t>
  </si>
  <si>
    <t>OC613</t>
  </si>
  <si>
    <t>W940/69</t>
  </si>
  <si>
    <t>L38167</t>
  </si>
  <si>
    <t>WLFP6288</t>
  </si>
  <si>
    <t>WL10058</t>
  </si>
  <si>
    <t>AF3195</t>
  </si>
  <si>
    <t xml:space="preserve">Chevrolet Colorado (2015-16)   </t>
  </si>
  <si>
    <t xml:space="preserve"> A3195C</t>
  </si>
  <si>
    <t>AF1672</t>
  </si>
  <si>
    <t>SA11959</t>
  </si>
  <si>
    <t>WAF3195</t>
  </si>
  <si>
    <t>AF5248</t>
  </si>
  <si>
    <t xml:space="preserve">Honda Fit (2015-16) </t>
  </si>
  <si>
    <t>17220-5R0-008</t>
  </si>
  <si>
    <t>AF1666</t>
  </si>
  <si>
    <t>WAF5248</t>
  </si>
  <si>
    <t>WA10212</t>
  </si>
  <si>
    <t>AF5251</t>
  </si>
  <si>
    <t xml:space="preserve">Kia Forte (2014-16) </t>
  </si>
  <si>
    <t>28113-3X000</t>
  </si>
  <si>
    <t>PA4480</t>
  </si>
  <si>
    <t>CA11053</t>
  </si>
  <si>
    <t>AF1511</t>
  </si>
  <si>
    <t>A6166</t>
  </si>
  <si>
    <t>SA11053A</t>
  </si>
  <si>
    <t>AF6166</t>
  </si>
  <si>
    <t>WAF5251</t>
  </si>
  <si>
    <t>AF5252</t>
  </si>
  <si>
    <t>Air Filter, Axial</t>
  </si>
  <si>
    <t>GM Full Size Vans 2016</t>
  </si>
  <si>
    <t>PA4126</t>
  </si>
  <si>
    <t>AF5858</t>
  </si>
  <si>
    <t>WAF5252</t>
  </si>
  <si>
    <t>AF9918</t>
  </si>
  <si>
    <t xml:space="preserve">Ford Mustang (2015-16) </t>
  </si>
  <si>
    <t>FR3Z-9601-A</t>
  </si>
  <si>
    <t>FA1918</t>
  </si>
  <si>
    <t>A48156</t>
  </si>
  <si>
    <t>WAF9918</t>
  </si>
  <si>
    <t>L3548F</t>
  </si>
  <si>
    <t>Fuel Filter, In-Line</t>
  </si>
  <si>
    <t xml:space="preserve">BMW X5 3.0L Diesel Turbo (2009-12)  </t>
  </si>
  <si>
    <t>KL169/4D</t>
  </si>
  <si>
    <t>WK11245</t>
  </si>
  <si>
    <t>L4107F</t>
  </si>
  <si>
    <t>Mercedes-Benz GL/ML with Bluetec (2012-16)  Frieghtliner and Mercedes Sprinter van  (2010-12)</t>
  </si>
  <si>
    <t>Freightliner / Mercedes</t>
  </si>
  <si>
    <t>WK820/14</t>
  </si>
  <si>
    <t>L9621F</t>
  </si>
  <si>
    <t xml:space="preserve">Ford Transit Van (2015-16) (CC1Z-9365-A)   </t>
  </si>
  <si>
    <t>CC1Z-9365-A</t>
  </si>
  <si>
    <t>PF46004</t>
  </si>
  <si>
    <t>FD4621</t>
  </si>
  <si>
    <t>LFF5106</t>
  </si>
  <si>
    <t xml:space="preserve">Ram 4500 and 5500 6.7L diesel pickup.  (2013-16)  </t>
  </si>
  <si>
    <t xml:space="preserve">Chrysler </t>
  </si>
  <si>
    <t>68197867AA</t>
  </si>
  <si>
    <t>BF46031</t>
  </si>
  <si>
    <t>FF1279</t>
  </si>
  <si>
    <t>WF10112</t>
  </si>
  <si>
    <t>G6391</t>
  </si>
  <si>
    <t xml:space="preserve">Audi A3 (2006-13), Volkswagen  EOS (2007-16)  </t>
  </si>
  <si>
    <t>1K0-201-051C</t>
  </si>
  <si>
    <t>G10243</t>
  </si>
  <si>
    <t>GF386</t>
  </si>
  <si>
    <t>H280WK</t>
  </si>
  <si>
    <t>KL156/3</t>
  </si>
  <si>
    <t>WK69</t>
  </si>
  <si>
    <t>G6844</t>
  </si>
  <si>
    <t xml:space="preserve">Cadillac SRX (2010-16) </t>
  </si>
  <si>
    <t>GF388</t>
  </si>
  <si>
    <t>GF844</t>
  </si>
  <si>
    <t>AF3927</t>
  </si>
  <si>
    <t>BMW Z4 3.0L Non-Turbo (2009-16), Z4 2.0L Turbo (2012-16)</t>
  </si>
  <si>
    <t>CA10994</t>
  </si>
  <si>
    <t>AF1551</t>
  </si>
  <si>
    <t>E1058L</t>
  </si>
  <si>
    <t>33-2963</t>
  </si>
  <si>
    <t>LX2787</t>
  </si>
  <si>
    <t>C27125</t>
  </si>
  <si>
    <t>A46143</t>
  </si>
  <si>
    <t>SA10994</t>
  </si>
  <si>
    <t>AF5233</t>
  </si>
  <si>
    <t xml:space="preserve">Jeep Cherokee (2014-16) </t>
  </si>
  <si>
    <t>52022378AA</t>
  </si>
  <si>
    <t>PA4484</t>
  </si>
  <si>
    <t>AF1619</t>
  </si>
  <si>
    <t>33-5009</t>
  </si>
  <si>
    <t>WAF5233</t>
  </si>
  <si>
    <t>WA10096</t>
  </si>
  <si>
    <t>AF5239</t>
  </si>
  <si>
    <t xml:space="preserve">Chrysler 200 (2015-16) </t>
  </si>
  <si>
    <t>68157194AA</t>
  </si>
  <si>
    <t>PA10006</t>
  </si>
  <si>
    <t>AF1660</t>
  </si>
  <si>
    <t>SA11948</t>
  </si>
  <si>
    <t>WAF5239</t>
  </si>
  <si>
    <t>WA10296</t>
  </si>
  <si>
    <t>AF5240</t>
  </si>
  <si>
    <t xml:space="preserve">Toyota Tundra &amp; Sequoia 5.7L (2014-16) </t>
  </si>
  <si>
    <t>17801-0S020</t>
  </si>
  <si>
    <t>33-5017</t>
  </si>
  <si>
    <t>A58172</t>
  </si>
  <si>
    <t>WAF5240</t>
  </si>
  <si>
    <t>WA10085</t>
  </si>
  <si>
    <t>L5693F</t>
  </si>
  <si>
    <t>Fuel Filter, Cartridge</t>
  </si>
  <si>
    <t xml:space="preserve">Ram 1500 Pickup Diesel (2014-16)  </t>
  </si>
  <si>
    <t>68235275AA</t>
  </si>
  <si>
    <t>038568744593</t>
  </si>
  <si>
    <t>10038568744590</t>
  </si>
  <si>
    <t>038568744746</t>
  </si>
  <si>
    <t>10038568744743</t>
  </si>
  <si>
    <t>038568743114</t>
  </si>
  <si>
    <t>10038568743111</t>
  </si>
  <si>
    <t>038568744609</t>
  </si>
  <si>
    <t>10038568744606</t>
  </si>
  <si>
    <t>038568744081</t>
  </si>
  <si>
    <t>10038568744088</t>
  </si>
  <si>
    <t>038568744760</t>
  </si>
  <si>
    <t>10038568744767</t>
  </si>
  <si>
    <t>038568744623</t>
  </si>
  <si>
    <t>10038568744620</t>
  </si>
  <si>
    <t>038568744203</t>
  </si>
  <si>
    <t>10038568744200</t>
  </si>
  <si>
    <t>038568744371</t>
  </si>
  <si>
    <t>10038568744378</t>
  </si>
  <si>
    <t>038568744210</t>
  </si>
  <si>
    <t>10038568744217</t>
  </si>
  <si>
    <t>Taiwan</t>
  </si>
  <si>
    <t>038568744173</t>
  </si>
  <si>
    <t>10038568744170</t>
  </si>
  <si>
    <t>038568744234</t>
  </si>
  <si>
    <t>10038568744231</t>
  </si>
  <si>
    <t>038568744227</t>
  </si>
  <si>
    <t>10038568744224</t>
  </si>
  <si>
    <t>038568743770</t>
  </si>
  <si>
    <t>10038568743777</t>
  </si>
  <si>
    <t>038568743084</t>
  </si>
  <si>
    <t>10038568743081</t>
  </si>
  <si>
    <t>038568743671</t>
  </si>
  <si>
    <t>10038568743678</t>
  </si>
  <si>
    <t>038568743107</t>
  </si>
  <si>
    <t>10038568743104</t>
  </si>
  <si>
    <t>038568744104</t>
  </si>
  <si>
    <t>10038568744101</t>
  </si>
  <si>
    <t>BF46001</t>
  </si>
  <si>
    <t>FF276</t>
  </si>
  <si>
    <t>Each Weight</t>
  </si>
  <si>
    <t>Case Weight</t>
  </si>
  <si>
    <t>AF5236</t>
  </si>
  <si>
    <t>Fiat 500L (2014-17) ()</t>
  </si>
  <si>
    <t>68202151AA</t>
  </si>
  <si>
    <t>33-5015</t>
  </si>
  <si>
    <t>WA10084</t>
  </si>
  <si>
    <t>AF5249</t>
  </si>
  <si>
    <t>Hyundai Sonata 1.6L and 2.0L (2015-17)  Turbo has locking lever</t>
  </si>
  <si>
    <t>28113-C1500</t>
  </si>
  <si>
    <t>CA11941</t>
  </si>
  <si>
    <t>SA11941</t>
  </si>
  <si>
    <t>A93214</t>
  </si>
  <si>
    <t>WA10301</t>
  </si>
  <si>
    <t>CAF1944P</t>
  </si>
  <si>
    <t xml:space="preserve">Hyundai Sonata (2015-17) </t>
  </si>
  <si>
    <t>2CH79-AP000</t>
  </si>
  <si>
    <t>CAF1944</t>
  </si>
  <si>
    <t>WP10155</t>
  </si>
  <si>
    <t>CAF1945C</t>
  </si>
  <si>
    <t>5Q0-819-653</t>
  </si>
  <si>
    <t>C38196C</t>
  </si>
  <si>
    <t>WCAF1945</t>
  </si>
  <si>
    <t>WP10159</t>
  </si>
  <si>
    <t>CAF1950P</t>
  </si>
  <si>
    <t xml:space="preserve">Toyota Prius (2016-17) </t>
  </si>
  <si>
    <t>87139-28020</t>
  </si>
  <si>
    <t>WCAF1950</t>
  </si>
  <si>
    <t>AF5246</t>
  </si>
  <si>
    <t xml:space="preserve">Honda CRV (2015-16) </t>
  </si>
  <si>
    <t>17220-5LA-A00</t>
  </si>
  <si>
    <t>CA11945</t>
  </si>
  <si>
    <t>33-5031</t>
  </si>
  <si>
    <t>A38197</t>
  </si>
  <si>
    <t>AF8197</t>
  </si>
  <si>
    <t>VA-431</t>
  </si>
  <si>
    <t>WA10269</t>
  </si>
  <si>
    <t>G2988</t>
  </si>
  <si>
    <t xml:space="preserve">Audi A6, A8, R8, and RS4 (2006-15)  </t>
  </si>
  <si>
    <t>4F0-201-511C</t>
  </si>
  <si>
    <t>G10215</t>
  </si>
  <si>
    <t>GF381</t>
  </si>
  <si>
    <t>H224WK</t>
  </si>
  <si>
    <t>KL571</t>
  </si>
  <si>
    <t>WK720/4</t>
  </si>
  <si>
    <t>AF5231</t>
  </si>
  <si>
    <t xml:space="preserve">Mitsubishi Outlander,Lancer (2014-17)  </t>
  </si>
  <si>
    <t>MR1500A513</t>
  </si>
  <si>
    <t>PA10000</t>
  </si>
  <si>
    <t>CA10910</t>
  </si>
  <si>
    <t>AF1645</t>
  </si>
  <si>
    <t>C25654</t>
  </si>
  <si>
    <t>WAF5231</t>
  </si>
  <si>
    <t>WA10058</t>
  </si>
  <si>
    <t>AF9916</t>
  </si>
  <si>
    <t>Ford Transit Van (2015-17)</t>
  </si>
  <si>
    <t>CK4Z-9601A</t>
  </si>
  <si>
    <t>CA11946</t>
  </si>
  <si>
    <t>33-5024</t>
  </si>
  <si>
    <t>A48225</t>
  </si>
  <si>
    <t>SA11946</t>
  </si>
  <si>
    <t>AF8225</t>
  </si>
  <si>
    <t>WA10316</t>
  </si>
  <si>
    <t>038568744715</t>
  </si>
  <si>
    <t>10038568744712</t>
  </si>
  <si>
    <t>038568744630</t>
  </si>
  <si>
    <t>10038568744637</t>
  </si>
  <si>
    <t>038568744562</t>
  </si>
  <si>
    <t>10038568744569</t>
  </si>
  <si>
    <t>038568744722</t>
  </si>
  <si>
    <t>10038568744729</t>
  </si>
  <si>
    <t>Packed into a Plastic Bag</t>
  </si>
  <si>
    <t>038568744692</t>
  </si>
  <si>
    <t>10038568744699</t>
  </si>
  <si>
    <t>038568744548</t>
  </si>
  <si>
    <t>10038568744545</t>
  </si>
  <si>
    <t>038568744241</t>
  </si>
  <si>
    <t>10038568744248</t>
  </si>
  <si>
    <t>038568744418</t>
  </si>
  <si>
    <t>10038568744415</t>
  </si>
  <si>
    <t>038568744395</t>
  </si>
  <si>
    <t>10038568744392</t>
  </si>
  <si>
    <t>LK374T</t>
  </si>
  <si>
    <t xml:space="preserve"> Thermo King APUs. Consists of:  1 - LAF8388, 1 - PH2808,     1 - LFF9342SC  </t>
  </si>
  <si>
    <t>LAF9300</t>
  </si>
  <si>
    <t>Radial Seal Air Element with Lid</t>
  </si>
  <si>
    <t>Thermo King Refrigeration Units</t>
  </si>
  <si>
    <t xml:space="preserve">Thermo-King </t>
  </si>
  <si>
    <t>11-9300</t>
  </si>
  <si>
    <t>RS5387  KIT</t>
  </si>
  <si>
    <t>P953446</t>
  </si>
  <si>
    <t>AF25119</t>
  </si>
  <si>
    <t>AF2454</t>
  </si>
  <si>
    <t>WA10060</t>
  </si>
  <si>
    <t>LAF6453MXM</t>
  </si>
  <si>
    <t>Nano Tech Air Filter w/Attached boot</t>
  </si>
  <si>
    <t>Case 1221E Wheel Loaders  Extended/Severe service version of LAF6453</t>
  </si>
  <si>
    <t>Case</t>
  </si>
  <si>
    <t>A652CF</t>
  </si>
  <si>
    <t>3I0802</t>
  </si>
  <si>
    <t>Clark</t>
  </si>
  <si>
    <t>11L601870</t>
  </si>
  <si>
    <t>PA2456</t>
  </si>
  <si>
    <t>DBA5049</t>
  </si>
  <si>
    <t>AF891M</t>
  </si>
  <si>
    <t>CA3273</t>
  </si>
  <si>
    <t>2546NP</t>
  </si>
  <si>
    <t>42546NP</t>
  </si>
  <si>
    <t>038568745057</t>
  </si>
  <si>
    <t>10038568745054</t>
  </si>
  <si>
    <t>BULK PKG W/ PARTITION</t>
  </si>
  <si>
    <t>038568744869</t>
  </si>
  <si>
    <t>10038568744866</t>
  </si>
  <si>
    <t>No Unit Box Used</t>
  </si>
  <si>
    <t>038568704054</t>
  </si>
  <si>
    <t>10038568704051</t>
  </si>
  <si>
    <t>Detroit Diesel  DD13, DD15, &amp; DD16 engines</t>
  </si>
  <si>
    <t>A4721800109</t>
  </si>
  <si>
    <t>P7505</t>
  </si>
  <si>
    <t>P551005</t>
  </si>
  <si>
    <t>LF17511</t>
  </si>
  <si>
    <t>CH10797</t>
  </si>
  <si>
    <t>L59925</t>
  </si>
  <si>
    <t>LK377M</t>
  </si>
  <si>
    <t>Maintenance Kit</t>
  </si>
  <si>
    <t>Kit contents include: 2- LFP3236, 1-LP3985, 1-LFF4470, &amp;    1-LFF4471</t>
  </si>
  <si>
    <t>LK378M</t>
  </si>
  <si>
    <t xml:space="preserve"> Kit contents include: 2- LFP3191XL, 1-LFP8642, 1-LFF8059, &amp; 1-LFF3358</t>
  </si>
  <si>
    <t>LK376V</t>
  </si>
  <si>
    <t>Kit contents include:  2- LFP3236, 1-LFP8642, 1-LFF8059</t>
  </si>
  <si>
    <t>Caterpillar 301.5 Mini Excavator, 902  Wheel Loaders</t>
  </si>
  <si>
    <t>BF7675-D</t>
  </si>
  <si>
    <t>P551423</t>
  </si>
  <si>
    <t>FS19860</t>
  </si>
  <si>
    <t>PS7407A</t>
  </si>
  <si>
    <t>WF10092</t>
  </si>
  <si>
    <t>038568745064</t>
  </si>
  <si>
    <t>10038568745061</t>
  </si>
  <si>
    <t>Bag with label</t>
  </si>
  <si>
    <t>038568745033</t>
  </si>
  <si>
    <t>10038568745030</t>
  </si>
  <si>
    <t>Partitioned case</t>
  </si>
  <si>
    <t>038568745231</t>
  </si>
  <si>
    <t>10038568745238</t>
  </si>
  <si>
    <t>038568745002</t>
  </si>
  <si>
    <t>10038568745009</t>
  </si>
  <si>
    <t>038568648815</t>
  </si>
  <si>
    <t xml:space="preserve">10038568648812 </t>
  </si>
  <si>
    <t xml:space="preserve">LP5090A </t>
  </si>
  <si>
    <t xml:space="preserve">L8706F </t>
  </si>
  <si>
    <t xml:space="preserve">* Snap Lock Fuel Filter </t>
  </si>
  <si>
    <t xml:space="preserve"> ** Cartridge Oil Filter </t>
  </si>
  <si>
    <t>LFP9000XL</t>
  </si>
  <si>
    <t>Spin-on Oil Filter, Extended Life</t>
  </si>
  <si>
    <t>Cummins ISX, QSX engs.</t>
  </si>
  <si>
    <t>LFP9001XL</t>
  </si>
  <si>
    <t>Cummins ISX, QSX engs.  (Short Version of LFP9000XL)</t>
  </si>
  <si>
    <t>BD50000</t>
  </si>
  <si>
    <t>DBL7900</t>
  </si>
  <si>
    <t>LF14000NN</t>
  </si>
  <si>
    <t>WL10107</t>
  </si>
  <si>
    <t>LK379V</t>
  </si>
  <si>
    <t xml:space="preserve"> Kit contents include: 2- LFP3236, 1-LFP8642, 1-LFF8059, &amp; 1-L9765FXL</t>
  </si>
  <si>
    <t>038568745187</t>
  </si>
  <si>
    <t>10038568745184</t>
  </si>
  <si>
    <t>PARTITIONED CASE</t>
  </si>
  <si>
    <t>YES</t>
  </si>
  <si>
    <t>038568745149</t>
  </si>
  <si>
    <t>10038568745146</t>
  </si>
  <si>
    <t>038568745248</t>
  </si>
  <si>
    <t>10038568745245</t>
  </si>
  <si>
    <t>L5109F</t>
  </si>
  <si>
    <t>Cartridge Fuel/Water Separator</t>
  </si>
  <si>
    <t>Paccar Peterbnilt and Kenworth  trucks with Paccar MX-13 engine.</t>
  </si>
  <si>
    <t>K37-1009</t>
  </si>
  <si>
    <t>PF9929</t>
  </si>
  <si>
    <t>P557009</t>
  </si>
  <si>
    <t>FS20075</t>
  </si>
  <si>
    <t>WF10250</t>
  </si>
  <si>
    <t>038568744791</t>
  </si>
  <si>
    <t>10038568744798</t>
  </si>
  <si>
    <t>LAF4140</t>
  </si>
  <si>
    <t>Radial Seal Outer Air Filter</t>
  </si>
  <si>
    <t xml:space="preserve">Tigercat 720D Logging Equipment  </t>
  </si>
  <si>
    <t>RS5442</t>
  </si>
  <si>
    <t>P601767</t>
  </si>
  <si>
    <t>LAF4556MXM</t>
  </si>
  <si>
    <t>NanoTech Radial Seal Outer Air Filter</t>
  </si>
  <si>
    <t>RS5287XP</t>
  </si>
  <si>
    <t>DBA5295</t>
  </si>
  <si>
    <t>LAF4816MXM</t>
  </si>
  <si>
    <t>Donaldson ERA13 Housing (Radial Seal), Freightliner, Kenworth, Peterbilt, Western Star Trucks</t>
  </si>
  <si>
    <t>RS3539XP</t>
  </si>
  <si>
    <t>DBA5100</t>
  </si>
  <si>
    <t>AF25247</t>
  </si>
  <si>
    <t>LAF5518MXM</t>
  </si>
  <si>
    <t>NanoTech  Outer Air Filter</t>
  </si>
  <si>
    <t>Fiat Allis Crawler Tractors  (For Sec. air use LAF5526)</t>
  </si>
  <si>
    <t>PA2361XP</t>
  </si>
  <si>
    <t>NanoTech Outer Air Filter</t>
  </si>
  <si>
    <t>1221E Wheel Loaders  Extended/Severe service version of LAF6453</t>
  </si>
  <si>
    <t>PA2456XP</t>
  </si>
  <si>
    <t>LAF6986MXM</t>
  </si>
  <si>
    <t xml:space="preserve">Kenworth T800 and Peterbilt 388 trucks </t>
  </si>
  <si>
    <t>RS5288XP</t>
  </si>
  <si>
    <t>DBA5296</t>
  </si>
  <si>
    <t>038568739872</t>
  </si>
  <si>
    <t>10038568739879</t>
  </si>
  <si>
    <t>yes</t>
  </si>
  <si>
    <t>038568745354</t>
  </si>
  <si>
    <t>10038568745351</t>
  </si>
  <si>
    <t>038568745293</t>
  </si>
  <si>
    <t>10038568745290</t>
  </si>
  <si>
    <t>038568745286</t>
  </si>
  <si>
    <t>10038568745283</t>
  </si>
  <si>
    <t>038568745309</t>
  </si>
  <si>
    <t>10038568745306</t>
  </si>
  <si>
    <t>LAF8848</t>
  </si>
  <si>
    <t xml:space="preserve"> Kassbohrer Setra 315 GT-HD/Setra 415HDH  Kaessbohrer Buses (2002-)</t>
  </si>
  <si>
    <t xml:space="preserve">Mercedes </t>
  </si>
  <si>
    <t>A0040941804</t>
  </si>
  <si>
    <t>RS5422</t>
  </si>
  <si>
    <t>P783117</t>
  </si>
  <si>
    <t>AF26172</t>
  </si>
  <si>
    <t>LAF3663MXM</t>
  </si>
  <si>
    <t>John Deere Backhoes, Excavators &amp; Loaders  (For Sec. air use LAF3664)</t>
  </si>
  <si>
    <t>AP35310</t>
  </si>
  <si>
    <t>RS3882XP</t>
  </si>
  <si>
    <t>038568745330</t>
  </si>
  <si>
    <t>038568745347</t>
  </si>
  <si>
    <t>LAK1</t>
  </si>
  <si>
    <t>Case, Caterpillar, Driltech, KW-Dart, Terex, WABCO Equipment; Euclid, Komatsu Trucks</t>
  </si>
  <si>
    <t>038568745439</t>
  </si>
  <si>
    <t>n/a</t>
  </si>
  <si>
    <t>HD Metal-End Air Filter Maintenance Kit:                             1 - LAF1816 &amp; 1 - LAF1818</t>
  </si>
  <si>
    <t>L7661F</t>
  </si>
  <si>
    <t>Cartridge Fuel Filter</t>
  </si>
  <si>
    <t>John Deere 225D LC Excavators</t>
  </si>
  <si>
    <t>PF7984</t>
  </si>
  <si>
    <t>P502424</t>
  </si>
  <si>
    <t>FF269</t>
  </si>
  <si>
    <t>038568744616</t>
  </si>
  <si>
    <t>LAF5114</t>
  </si>
  <si>
    <t>Radial Seal Outer Air Filter (Standard version of LAF5114MXM)</t>
  </si>
  <si>
    <t xml:space="preserve">Mack Granite Series Trucks w/  Asset 460 eng.  (USE ONLY WITH MACK 2MD515M HOUSING  ALL OTHER HOUSINGS USE LAF8691) </t>
  </si>
  <si>
    <t>57MD320M</t>
  </si>
  <si>
    <t>RS4634</t>
  </si>
  <si>
    <t>L6806FXL</t>
  </si>
  <si>
    <t>Ram pickups with 6.7L diesel (2013-17)  Chrysler Hi capacity version  of L6806F</t>
  </si>
  <si>
    <t>68157291AA</t>
  </si>
  <si>
    <t>FS53000</t>
  </si>
  <si>
    <t>038568745408</t>
  </si>
  <si>
    <t>038568745415</t>
  </si>
  <si>
    <t>Effective Date</t>
  </si>
  <si>
    <t>LFF6776XL</t>
  </si>
  <si>
    <t>Spin-on Fuel Filter (Long Life version of LFF6776)</t>
  </si>
  <si>
    <t>Kenworth, Peterbilt Trucks with Cummins ISX11.9, QSX11.9 Engines</t>
  </si>
  <si>
    <t>BF46129</t>
  </si>
  <si>
    <t>DBF5776</t>
  </si>
  <si>
    <t>FF5825NN</t>
  </si>
  <si>
    <t>CAF24035</t>
  </si>
  <si>
    <t>Kenworth T680, Peterbilt 579 Truck</t>
  </si>
  <si>
    <t xml:space="preserve">Peterbilt </t>
  </si>
  <si>
    <t>X1987001</t>
  </si>
  <si>
    <t>PA30093</t>
  </si>
  <si>
    <t>AF55839</t>
  </si>
  <si>
    <t>0 38568 74596 5</t>
  </si>
  <si>
    <t>6PK</t>
  </si>
  <si>
    <t>0 38568 74613 9</t>
  </si>
  <si>
    <t>3PK</t>
  </si>
  <si>
    <t>CAF24022</t>
  </si>
  <si>
    <t>Freightliner Cascadia  Truck (Sleeper)</t>
  </si>
  <si>
    <t>Freightliner</t>
  </si>
  <si>
    <t>VCC T1000917R</t>
  </si>
  <si>
    <t>PA30166</t>
  </si>
  <si>
    <t>P628395</t>
  </si>
  <si>
    <t>AF55821</t>
  </si>
  <si>
    <t>VCC T1000906J</t>
  </si>
  <si>
    <t>PA30165</t>
  </si>
  <si>
    <t>P628394</t>
  </si>
  <si>
    <t>AF55820</t>
  </si>
  <si>
    <t>0 38568 74558 3</t>
  </si>
  <si>
    <t>3 pk</t>
  </si>
  <si>
    <t>0 38568 74559 0</t>
  </si>
  <si>
    <t xml:space="preserve">Freightliner Columbia,  Coronado, M2 Trucks (Recirculating filter) </t>
  </si>
  <si>
    <t>CAF24023</t>
  </si>
  <si>
    <t>LFF8897</t>
  </si>
  <si>
    <t>Volvo and Mack 2017 emmision engines.</t>
  </si>
  <si>
    <t>BF46117</t>
  </si>
  <si>
    <t>0 38568 74565 1</t>
  </si>
  <si>
    <t>6 PK</t>
  </si>
  <si>
    <t>Centrifugal by-Pass Lube Element</t>
  </si>
  <si>
    <t>International Engines, Trucks</t>
  </si>
  <si>
    <t>0 38568 74157 8</t>
  </si>
  <si>
    <t>LU7100</t>
  </si>
  <si>
    <t>(2010+) Class 4 through Class 8 trucks w/Cummins Eng.</t>
  </si>
  <si>
    <t>F00BH40428877</t>
  </si>
  <si>
    <t>UF101</t>
  </si>
  <si>
    <t>W74B191</t>
  </si>
  <si>
    <t>0 38568 74641 2</t>
  </si>
  <si>
    <t>68087337AA</t>
  </si>
  <si>
    <t>Deere</t>
  </si>
  <si>
    <t>RE554498</t>
  </si>
  <si>
    <t>Deutz-Fahr</t>
  </si>
  <si>
    <t>Urea (Diesel Exhuast Fluid) Filter</t>
  </si>
  <si>
    <t>OE Part #</t>
  </si>
  <si>
    <t>OE Ref Mfg #8</t>
  </si>
  <si>
    <t>OE Ref Mfg #9</t>
  </si>
  <si>
    <t>OE Ref Mfg #10</t>
  </si>
  <si>
    <t>OE Ref Mfg #11</t>
  </si>
  <si>
    <t>OE Ref Mfg #12</t>
  </si>
  <si>
    <t>OE Ref Mfg #13</t>
  </si>
  <si>
    <t>OE Ref Mfg #14</t>
  </si>
  <si>
    <t>OE Ref Mfg #15</t>
  </si>
  <si>
    <t>LAF8326</t>
  </si>
  <si>
    <t>Round Air Filter, Flame Retardant Media</t>
  </si>
  <si>
    <t>Joy Compressors, Mining Equipment</t>
  </si>
  <si>
    <t>Impco</t>
  </si>
  <si>
    <t>F1-15</t>
  </si>
  <si>
    <t>CAF24030</t>
  </si>
  <si>
    <t>PA2102</t>
  </si>
  <si>
    <t>AF4928</t>
  </si>
  <si>
    <t>CA6525</t>
  </si>
  <si>
    <t>AF670</t>
  </si>
  <si>
    <t>A23508</t>
  </si>
  <si>
    <t>WP10278</t>
  </si>
  <si>
    <t>(2002-2017) Mack CT, CTP, CV, GU7&amp;8 Granite; CHN, CXN,Vision; CHU, CXP, CXU Pinnacle; RB, RD Series</t>
  </si>
  <si>
    <t>0 38568 74616 0</t>
  </si>
  <si>
    <t>0 38568 74615 3</t>
  </si>
  <si>
    <t>1 457 436 033</t>
  </si>
  <si>
    <t>E 103U D295</t>
  </si>
  <si>
    <t>U 5001 Kit</t>
  </si>
  <si>
    <t>LU7103</t>
  </si>
  <si>
    <t xml:space="preserve">Cummins, Detroit Diesel, Mercedes  applications. </t>
  </si>
  <si>
    <t>A0001420289</t>
  </si>
  <si>
    <t>Mann&amp;Hummel</t>
  </si>
  <si>
    <t>U58/1 Kit</t>
  </si>
  <si>
    <t>PE5272</t>
  </si>
  <si>
    <t>UF104</t>
  </si>
  <si>
    <t>E 102U D179</t>
  </si>
  <si>
    <t>0 38568 74640 5</t>
  </si>
  <si>
    <t>L6164F</t>
  </si>
  <si>
    <t>Nylon Mesh Fuel Strainer</t>
  </si>
  <si>
    <t>1873910-C91</t>
  </si>
  <si>
    <t>PF7994</t>
  </si>
  <si>
    <t>FF275</t>
  </si>
  <si>
    <t>F33910</t>
  </si>
  <si>
    <t>038568744043</t>
  </si>
  <si>
    <t>International Trucks with MaxxForce DT, MaxxForce 7, MaxxForce 9, MaxxForce 10 Engines</t>
  </si>
  <si>
    <t>LAF5128</t>
  </si>
  <si>
    <t xml:space="preserve">Radial Seal Outer Air Filter (includes 6 hole style gasket for W900 housing. W900 is a six bolt housing with special 6 hole gasket arrangement) </t>
  </si>
  <si>
    <t>Kenworth W900 w/Cat C11 &amp; C16 engines, Peterbilt 389 w/Cummins ISX15 and Paccar MX-13 engines</t>
  </si>
  <si>
    <t>X011622</t>
  </si>
  <si>
    <t>RS30187XP</t>
  </si>
  <si>
    <t>P625128</t>
  </si>
  <si>
    <t>AF25144</t>
  </si>
  <si>
    <t>LAF5128MXM</t>
  </si>
  <si>
    <t xml:space="preserve">NanoTech Radial Seal Outer Air Filter (includes 6 hole style gasket for W900 housing. W900 is a six bolt housing with special 6 hole gasket arrangement) </t>
  </si>
  <si>
    <t>X011623</t>
  </si>
  <si>
    <t>038568746023</t>
  </si>
  <si>
    <t>038568746016</t>
  </si>
  <si>
    <t>LK382P</t>
  </si>
  <si>
    <t xml:space="preserve">Maintenance Kit </t>
  </si>
  <si>
    <t>1714366PE</t>
  </si>
  <si>
    <t>LU7101</t>
  </si>
  <si>
    <t>Cummins, Case, New Holland, Volvo</t>
  </si>
  <si>
    <t>PE5271</t>
  </si>
  <si>
    <t>WB74192</t>
  </si>
  <si>
    <t>LU7102</t>
  </si>
  <si>
    <t>Cummins, DAF, Paccar, Volvo</t>
  </si>
  <si>
    <t>PE5270</t>
  </si>
  <si>
    <t>038568746900</t>
  </si>
  <si>
    <t>GERMANY</t>
  </si>
  <si>
    <t>038568746542</t>
  </si>
  <si>
    <t>038568746559</t>
  </si>
  <si>
    <t>2015-2017 Paccar MX-11 Engine, Kenworth &amp; Peterbilt models. (Kit contains: 1 - Cartridge Fuel Filter #1852006; 1 - Cartridge Oil Filter #1928868; 1- Spinner Oil Filter #1928869; 1 - Plug #1982821)</t>
  </si>
  <si>
    <t>LFF3009</t>
  </si>
  <si>
    <t>Cummins QSB/L Series and 2014+ Cummins ISB6.7 Engines on Kenworth and Peterbilt medium duty trucks. QSB6.7 FOR TIER 4 FINAL/STAGE IV.  2013- Freightliner and Mack ISL9 engines, Paccar PX7 engine (2014-)F</t>
  </si>
  <si>
    <t>A</t>
  </si>
  <si>
    <t>FF63009</t>
  </si>
  <si>
    <t>0 38568 74679 5</t>
  </si>
  <si>
    <t>POP Code</t>
  </si>
  <si>
    <t>Distributor Stock Item</t>
  </si>
  <si>
    <t>Spin-on Oil Filter</t>
  </si>
  <si>
    <t>Cartridge Oil Filter</t>
  </si>
  <si>
    <t>Spin-on Fuel Filter</t>
  </si>
  <si>
    <t>Flexible Panel Air Filter</t>
  </si>
  <si>
    <t>Cone Shaped Conical Air Filter</t>
  </si>
  <si>
    <t>HD Metal-End Air Filter</t>
  </si>
  <si>
    <t>Metal-End Air Filter with Closed Top End Cap</t>
  </si>
  <si>
    <t>HD Round Air Filter with Attached Lid</t>
  </si>
  <si>
    <t>Radial Seal Inner Air Filter</t>
  </si>
  <si>
    <t>Disposible Housing Air Filter</t>
  </si>
  <si>
    <t>Finned Vane Air Filter</t>
  </si>
  <si>
    <t>HD Metal-End Air Filter with Attached Lid</t>
  </si>
  <si>
    <t>Detroit Diesel Engine Maintenance Kit</t>
  </si>
  <si>
    <t>Cartridge Hydraulic Filter</t>
  </si>
  <si>
    <t>Coolant Analysis Test Kit</t>
  </si>
  <si>
    <t>Disposible Housing Filter</t>
  </si>
  <si>
    <t>LAF8663</t>
  </si>
  <si>
    <t>PRODUCT OBSOLETE HISTORY</t>
  </si>
  <si>
    <t>159</t>
  </si>
  <si>
    <t>Imperial Fuel Element used in Luberfiner 200 Units</t>
  </si>
  <si>
    <t>700</t>
  </si>
  <si>
    <t>Cover Gasket for Luberfiner 300S</t>
  </si>
  <si>
    <t>Base Bolt for 750-2 and 750-3</t>
  </si>
  <si>
    <t>Washer, Pack Take-Up Assembly/F-120, F-155 &amp; F-170</t>
  </si>
  <si>
    <t>Hold Down Washer, Buna 750C and F-120, F-135, F-170</t>
  </si>
  <si>
    <t>Hole Down Spring/750-2, 2C, 3, 3C, F-120, F-155</t>
  </si>
  <si>
    <t>Inlet Valve Spring/500-B, C, 750-B, C</t>
  </si>
  <si>
    <t>Decal, Medium For All Models Except 750-2C, 3C</t>
  </si>
  <si>
    <t>Mounting Bracket Kit--Nuts &amp; Bolts/272C, 363C, 500C, 750C</t>
  </si>
  <si>
    <t>Hold Down Stud w/o Bleeder for 2258/500C, 750-C</t>
  </si>
  <si>
    <t>750-2C W/BASE</t>
  </si>
  <si>
    <t>750-3C W/BASE</t>
  </si>
  <si>
    <t>STEEL WASHER</t>
  </si>
  <si>
    <t>Retaining Ring/F-120, 155, 170</t>
  </si>
  <si>
    <t>HOLD DOWN</t>
  </si>
  <si>
    <t>750C HOUSING</t>
  </si>
  <si>
    <t>500C HOUSING</t>
  </si>
  <si>
    <t>OIL BLEEDER</t>
  </si>
  <si>
    <t>BRACKET BASE</t>
  </si>
  <si>
    <t>BRACKET BAND</t>
  </si>
  <si>
    <t>272C COVER</t>
  </si>
  <si>
    <t>363C HOUSING</t>
  </si>
  <si>
    <t>OUTLET CHECK</t>
  </si>
  <si>
    <t>OUTLET POST</t>
  </si>
  <si>
    <t>DRAIN COCK</t>
  </si>
  <si>
    <t>PACK SUPPORT</t>
  </si>
  <si>
    <t>INLET CHECK</t>
  </si>
  <si>
    <t>750-2 HOUSING</t>
  </si>
  <si>
    <t>750-3 HOUSING</t>
  </si>
  <si>
    <t>ALIGNMENT RNG</t>
  </si>
  <si>
    <t>OUTLET TUBE</t>
  </si>
  <si>
    <t>750 HSG BLACK</t>
  </si>
  <si>
    <t>BRACKET BLACK</t>
  </si>
  <si>
    <t>BASE BLACK</t>
  </si>
  <si>
    <t>BAND BLACK</t>
  </si>
  <si>
    <t>COVER 3 HOLE</t>
  </si>
  <si>
    <t>DIESEL PK 78</t>
  </si>
  <si>
    <t xml:space="preserve">500-C REFINING UNIT       </t>
  </si>
  <si>
    <t>MICRO HYD 750</t>
  </si>
  <si>
    <t>500C STANDARD</t>
  </si>
  <si>
    <t>750C STANDARD</t>
  </si>
  <si>
    <t>UPRIGHT 750C</t>
  </si>
  <si>
    <t>750-2C MICRO</t>
  </si>
  <si>
    <t>CLAMPING RING</t>
  </si>
  <si>
    <t>750-3C MICRO</t>
  </si>
  <si>
    <t>VENT PLUG</t>
  </si>
  <si>
    <t>SUPPORT CUP</t>
  </si>
  <si>
    <t>PACK HOLD</t>
  </si>
  <si>
    <t>INVERTED 500C</t>
  </si>
  <si>
    <t>500C OUTLET</t>
  </si>
  <si>
    <t>REFINING PACK</t>
  </si>
  <si>
    <t>750T DEISEL U</t>
  </si>
  <si>
    <t>750T INVERT U</t>
  </si>
  <si>
    <t>500 BLACK HSG</t>
  </si>
  <si>
    <t>O-RING</t>
  </si>
  <si>
    <t>750 REFN HYDR</t>
  </si>
  <si>
    <t>CENTER POST</t>
  </si>
  <si>
    <t>750C DIESEL</t>
  </si>
  <si>
    <t>750T DIESEL</t>
  </si>
  <si>
    <t>BLACK COVER</t>
  </si>
  <si>
    <t>F170 HOUSING</t>
  </si>
  <si>
    <t>F170 HSG ASSY</t>
  </si>
  <si>
    <t>750-2C W/WBKT</t>
  </si>
  <si>
    <t>750-3C W/WBKT</t>
  </si>
  <si>
    <t>HEAD CASTING</t>
  </si>
  <si>
    <t>BUNA-N GASKET</t>
  </si>
  <si>
    <t>750C REFN UNT</t>
  </si>
  <si>
    <t>HEAD SCREW</t>
  </si>
  <si>
    <t>SPRING</t>
  </si>
  <si>
    <t>WASHER</t>
  </si>
  <si>
    <t>F170-2 HEAD</t>
  </si>
  <si>
    <t>970 COVER</t>
  </si>
  <si>
    <t>970 SPRING</t>
  </si>
  <si>
    <t>4277 DRAIN CK</t>
  </si>
  <si>
    <t>970 HOLD DOWN</t>
  </si>
  <si>
    <t>970 HOUSING</t>
  </si>
  <si>
    <t>Industrial Full-flow Unit w/LP970-25 Element/970-C Filter</t>
  </si>
  <si>
    <t>OIL RETURN</t>
  </si>
  <si>
    <t>500T DIESEL U</t>
  </si>
  <si>
    <t>750 GRAY UNIT</t>
  </si>
  <si>
    <t>500T DIESEL</t>
  </si>
  <si>
    <t>PKG UN &amp; PACK</t>
  </si>
  <si>
    <t>HOUSING</t>
  </si>
  <si>
    <t>750C NO CVALV</t>
  </si>
  <si>
    <t>LUBER-FINER F170W HOUSING</t>
  </si>
  <si>
    <t>PKG U PK &amp; BS</t>
  </si>
  <si>
    <t>PKG UNT &amp; PAC</t>
  </si>
  <si>
    <t>970C without element</t>
  </si>
  <si>
    <t>750C W/OUT PK</t>
  </si>
  <si>
    <t>750T GRAY UNT</t>
  </si>
  <si>
    <t>THRMO HLD DWN</t>
  </si>
  <si>
    <t>THERMO LABEL</t>
  </si>
  <si>
    <t>PKG PAC &amp; BSE</t>
  </si>
  <si>
    <t>INLET VALVE</t>
  </si>
  <si>
    <t>HOLD DOWN #4</t>
  </si>
  <si>
    <t>Hold Down Assembly w/#6 Orifice/500-C</t>
  </si>
  <si>
    <t>2159-4 OR PLG</t>
  </si>
  <si>
    <t>INLET VALVE ASSY</t>
  </si>
  <si>
    <t>200 MICRO SPL</t>
  </si>
  <si>
    <t>200S MICRO PK</t>
  </si>
  <si>
    <t>272 MICRO HYD</t>
  </si>
  <si>
    <t>500 MICROCELL</t>
  </si>
  <si>
    <t>ORIFICE 10/64</t>
  </si>
  <si>
    <t>ORIFICE 12/64</t>
  </si>
  <si>
    <t>ORIFICE .093</t>
  </si>
  <si>
    <t>GASKET 26-13863</t>
  </si>
  <si>
    <t>GASKET 326-21606</t>
  </si>
  <si>
    <t>3730SC</t>
  </si>
  <si>
    <t>3795B</t>
  </si>
  <si>
    <t>SERVICE GASKET</t>
  </si>
  <si>
    <t>4181X</t>
  </si>
  <si>
    <t>Gasket, Cummins Applied</t>
  </si>
  <si>
    <t>55-13104</t>
  </si>
  <si>
    <t>VLVE/CAP ASSY</t>
  </si>
  <si>
    <t>55-13106</t>
  </si>
  <si>
    <t>588-A</t>
  </si>
  <si>
    <t>FLOOR BASE</t>
  </si>
  <si>
    <t>BASE &amp; STUD ASSY</t>
  </si>
  <si>
    <t>AF1135</t>
  </si>
  <si>
    <t>AF1843</t>
  </si>
  <si>
    <t>AF204</t>
  </si>
  <si>
    <t>Round Plastisol Air Filter</t>
  </si>
  <si>
    <t>AF235</t>
  </si>
  <si>
    <t>AF253</t>
  </si>
  <si>
    <t>Oval Air Filter</t>
  </si>
  <si>
    <t>AF260</t>
  </si>
  <si>
    <t>AF278</t>
  </si>
  <si>
    <t>AF296</t>
  </si>
  <si>
    <t>AF357</t>
  </si>
  <si>
    <t>AF3888</t>
  </si>
  <si>
    <t>AF432</t>
  </si>
  <si>
    <t>AF4368</t>
  </si>
  <si>
    <t>AF4523</t>
  </si>
  <si>
    <t xml:space="preserve">Air, Metal-End </t>
  </si>
  <si>
    <t>AF524</t>
  </si>
  <si>
    <t>AF550</t>
  </si>
  <si>
    <t>Breather Filter</t>
  </si>
  <si>
    <t>AF5612</t>
  </si>
  <si>
    <t>AF607</t>
  </si>
  <si>
    <t>AF734</t>
  </si>
  <si>
    <t>AF7365</t>
  </si>
  <si>
    <t>AF7834</t>
  </si>
  <si>
    <t>Panel Air Metal Framed</t>
  </si>
  <si>
    <t>AF7886</t>
  </si>
  <si>
    <t xml:space="preserve">AF7963 </t>
  </si>
  <si>
    <t>Cadillac Catera (1997-01) (GM 90512851)</t>
  </si>
  <si>
    <t xml:space="preserve">AF8826 </t>
  </si>
  <si>
    <t>AF8900</t>
  </si>
  <si>
    <t>AF8914</t>
  </si>
  <si>
    <t>Rigid Panel Air Filter</t>
  </si>
  <si>
    <t>AF8934</t>
  </si>
  <si>
    <t>AF8937</t>
  </si>
  <si>
    <t>AF8942</t>
  </si>
  <si>
    <t>AF8945</t>
  </si>
  <si>
    <t>AF8949</t>
  </si>
  <si>
    <t>AFB7895</t>
  </si>
  <si>
    <t>AFB7897</t>
  </si>
  <si>
    <t>CAF1915P</t>
  </si>
  <si>
    <t>G1114</t>
  </si>
  <si>
    <t>In-Line Fuel Filter</t>
  </si>
  <si>
    <t>G250</t>
  </si>
  <si>
    <t>G2907</t>
  </si>
  <si>
    <t>G2982</t>
  </si>
  <si>
    <t>G6360</t>
  </si>
  <si>
    <t>G6897</t>
  </si>
  <si>
    <t>G840</t>
  </si>
  <si>
    <t>L1874T</t>
  </si>
  <si>
    <t>Sock Type Oil Filter</t>
  </si>
  <si>
    <t>L22000F</t>
  </si>
  <si>
    <t>L22149B</t>
  </si>
  <si>
    <t>Air Filter Pre Cleaner Bowl</t>
  </si>
  <si>
    <t>L3418F</t>
  </si>
  <si>
    <t>L3420F</t>
  </si>
  <si>
    <t>Cartridge Coalescer Filter</t>
  </si>
  <si>
    <t>L3523F</t>
  </si>
  <si>
    <t>L3542F</t>
  </si>
  <si>
    <t>L3576F</t>
  </si>
  <si>
    <t>L3923F</t>
  </si>
  <si>
    <t>L3924F</t>
  </si>
  <si>
    <t>Snap-Lock Fuel Filter</t>
  </si>
  <si>
    <t xml:space="preserve">Luberfiner </t>
  </si>
  <si>
    <t>L4110F</t>
  </si>
  <si>
    <t xml:space="preserve">L5752F </t>
  </si>
  <si>
    <t>Renault 7701204497; Renault Expressa with  F8Q 1.9l Diesel eng.</t>
  </si>
  <si>
    <t>L5844F</t>
  </si>
  <si>
    <t>L5945F</t>
  </si>
  <si>
    <t>L8512F</t>
  </si>
  <si>
    <t>L8702F</t>
  </si>
  <si>
    <t>L8924F</t>
  </si>
  <si>
    <t>L897B</t>
  </si>
  <si>
    <t>Glass Bowl with Sensor Port for LFF8061</t>
  </si>
  <si>
    <t>L9721FXL</t>
  </si>
  <si>
    <t>Cartridge Fuel Water Separator Filter</t>
  </si>
  <si>
    <t>LAF1265</t>
  </si>
  <si>
    <t>LAF130</t>
  </si>
  <si>
    <t>LAF1351</t>
  </si>
  <si>
    <t>LAF1416</t>
  </si>
  <si>
    <t>LAF1476</t>
  </si>
  <si>
    <t>LAF1477</t>
  </si>
  <si>
    <t>LAF1479</t>
  </si>
  <si>
    <t>LAF16</t>
  </si>
  <si>
    <t>LAF1640</t>
  </si>
  <si>
    <t>LAF1711</t>
  </si>
  <si>
    <t>LAF1728</t>
  </si>
  <si>
    <t>LAF1730</t>
  </si>
  <si>
    <t>LAF1739</t>
  </si>
  <si>
    <t>Cone Shaped Air Filter With Attached Lid</t>
  </si>
  <si>
    <t>LAF1742</t>
  </si>
  <si>
    <t>Finned Van Air Filter</t>
  </si>
  <si>
    <t>LAF1746</t>
  </si>
  <si>
    <t>LAF1748</t>
  </si>
  <si>
    <t>LAF1749</t>
  </si>
  <si>
    <t>LAF1753</t>
  </si>
  <si>
    <t>LAF1758</t>
  </si>
  <si>
    <t>LAF1762</t>
  </si>
  <si>
    <t>LAF1763</t>
  </si>
  <si>
    <t>LAF1764</t>
  </si>
  <si>
    <t>LAF1789</t>
  </si>
  <si>
    <t>LAF1842</t>
  </si>
  <si>
    <t>LAF1886</t>
  </si>
  <si>
    <t>HD Round Air</t>
  </si>
  <si>
    <t>LAF1892</t>
  </si>
  <si>
    <t>LAF1898</t>
  </si>
  <si>
    <t>HD Metal-End Inner Air Filter</t>
  </si>
  <si>
    <t>LAF1949</t>
  </si>
  <si>
    <t>LAF1950</t>
  </si>
  <si>
    <t>LAF1951</t>
  </si>
  <si>
    <t>LAF1957</t>
  </si>
  <si>
    <t>Round Inner Air Filter with Flanged Endcap</t>
  </si>
  <si>
    <t>LAF1977</t>
  </si>
  <si>
    <t>HD Metal-End Air Filter-Inner</t>
  </si>
  <si>
    <t>LAF1979</t>
  </si>
  <si>
    <t>LAF1991</t>
  </si>
  <si>
    <t>LAF200</t>
  </si>
  <si>
    <t>LAF2183A</t>
  </si>
  <si>
    <t>LAF22031</t>
  </si>
  <si>
    <t>LAF22093</t>
  </si>
  <si>
    <t>LAF22096</t>
  </si>
  <si>
    <t>LAF2516MXM</t>
  </si>
  <si>
    <t>LAF2517</t>
  </si>
  <si>
    <t>LAF2528</t>
  </si>
  <si>
    <t>LAF2541</t>
  </si>
  <si>
    <t>LAF2547</t>
  </si>
  <si>
    <t>Heavy Duty Air Filter With Attached Lid</t>
  </si>
  <si>
    <t>LAF263</t>
  </si>
  <si>
    <t>LAF2872</t>
  </si>
  <si>
    <t>LAF3232</t>
  </si>
  <si>
    <t>LAF3704</t>
  </si>
  <si>
    <t>LAF3708</t>
  </si>
  <si>
    <t>LAF3715</t>
  </si>
  <si>
    <t>LAF3934</t>
  </si>
  <si>
    <t>Radial Seal Air with Attached Finn</t>
  </si>
  <si>
    <t>LAF4122</t>
  </si>
  <si>
    <t>LAF4150</t>
  </si>
  <si>
    <t>LAF4155</t>
  </si>
  <si>
    <t>Inner Air Element</t>
  </si>
  <si>
    <t>LAF4183</t>
  </si>
  <si>
    <t>LAF4207</t>
  </si>
  <si>
    <t>LAF4246</t>
  </si>
  <si>
    <t>LAF4279</t>
  </si>
  <si>
    <t>Radial Seal Air Filter Outer</t>
  </si>
  <si>
    <t>LAF4300</t>
  </si>
  <si>
    <t>LAF4324</t>
  </si>
  <si>
    <t>LAF4351</t>
  </si>
  <si>
    <t>LAF4361</t>
  </si>
  <si>
    <t>LAF4445</t>
  </si>
  <si>
    <t>LAF4499MXM</t>
  </si>
  <si>
    <t>LAF4544MXM</t>
  </si>
  <si>
    <t>LAF4607</t>
  </si>
  <si>
    <t>LAF5035</t>
  </si>
  <si>
    <t>LAF5042</t>
  </si>
  <si>
    <t>HD Round Finned Air Filter with Attached Lid</t>
  </si>
  <si>
    <t>LAF5439</t>
  </si>
  <si>
    <t>LAF5614</t>
  </si>
  <si>
    <t>LAF5615</t>
  </si>
  <si>
    <t>LAF5759</t>
  </si>
  <si>
    <t>LAF5781</t>
  </si>
  <si>
    <t>LAF5782</t>
  </si>
  <si>
    <t>LAF5786</t>
  </si>
  <si>
    <t>LAF5803</t>
  </si>
  <si>
    <t>LAF5808</t>
  </si>
  <si>
    <t>Disposable Air Filter Housing</t>
  </si>
  <si>
    <t>LAF5846</t>
  </si>
  <si>
    <t>LAF5847</t>
  </si>
  <si>
    <t>LAF5859</t>
  </si>
  <si>
    <t>LAF5887</t>
  </si>
  <si>
    <t>LAF6126</t>
  </si>
  <si>
    <t>LAF6151</t>
  </si>
  <si>
    <t>LAF6165</t>
  </si>
  <si>
    <t>LAF6404</t>
  </si>
  <si>
    <t>HD Round Air Filter with Attached Boot</t>
  </si>
  <si>
    <t>LAF642</t>
  </si>
  <si>
    <t>LAF6682</t>
  </si>
  <si>
    <t>LAF6683</t>
  </si>
  <si>
    <t>LAF7417</t>
  </si>
  <si>
    <t>LAF744</t>
  </si>
  <si>
    <t>LAF7716MXM</t>
  </si>
  <si>
    <t>LAF8066</t>
  </si>
  <si>
    <t>LAF8070</t>
  </si>
  <si>
    <t>LAF8071</t>
  </si>
  <si>
    <t>HD Round Air with Attached Boot</t>
  </si>
  <si>
    <t>LAF8074</t>
  </si>
  <si>
    <t>LAF8075</t>
  </si>
  <si>
    <t>LAF8077</t>
  </si>
  <si>
    <t>LAF8079</t>
  </si>
  <si>
    <t>LAF8080</t>
  </si>
  <si>
    <t>LAF8081</t>
  </si>
  <si>
    <t>LAF8082</t>
  </si>
  <si>
    <t>LAF8084</t>
  </si>
  <si>
    <t>LAF8091</t>
  </si>
  <si>
    <t>LAF8098</t>
  </si>
  <si>
    <t>LAF8116MXM</t>
  </si>
  <si>
    <t>LAF8127</t>
  </si>
  <si>
    <t>LAF8130</t>
  </si>
  <si>
    <t>LAF8145MXM</t>
  </si>
  <si>
    <t>LAF8156</t>
  </si>
  <si>
    <t>LAF8160</t>
  </si>
  <si>
    <t>LAF8162</t>
  </si>
  <si>
    <t>LAF8166</t>
  </si>
  <si>
    <t>LAF8169</t>
  </si>
  <si>
    <t>LAF8218</t>
  </si>
  <si>
    <t>LAF8296</t>
  </si>
  <si>
    <t>LAF8333</t>
  </si>
  <si>
    <t>LAF8435</t>
  </si>
  <si>
    <t>LAF8436</t>
  </si>
  <si>
    <t>LAF8496</t>
  </si>
  <si>
    <t>LAF8497</t>
  </si>
  <si>
    <t>LAF8503</t>
  </si>
  <si>
    <t>LAF8513</t>
  </si>
  <si>
    <t>LAF8516</t>
  </si>
  <si>
    <t>LAF8517</t>
  </si>
  <si>
    <t>LAF8524</t>
  </si>
  <si>
    <t>LAF8525</t>
  </si>
  <si>
    <t>LAF8527</t>
  </si>
  <si>
    <t>LAF8528</t>
  </si>
  <si>
    <t>LAF8529</t>
  </si>
  <si>
    <t>LAF8553</t>
  </si>
  <si>
    <t>HD Round Air Filter with Threaded Mounting Stud</t>
  </si>
  <si>
    <t>LAF8553SC</t>
  </si>
  <si>
    <t>LAF8560</t>
  </si>
  <si>
    <t>LAF8562</t>
  </si>
  <si>
    <t>LAF8564</t>
  </si>
  <si>
    <t>LAF8565</t>
  </si>
  <si>
    <t>LAF8566</t>
  </si>
  <si>
    <t>LAF8568</t>
  </si>
  <si>
    <t>LAF8570</t>
  </si>
  <si>
    <t>LAF8571</t>
  </si>
  <si>
    <t>LAF8572</t>
  </si>
  <si>
    <t>LAF8574</t>
  </si>
  <si>
    <t>LAF8576</t>
  </si>
  <si>
    <t>LAF8580</t>
  </si>
  <si>
    <t>LAF8582</t>
  </si>
  <si>
    <t>LAF8598</t>
  </si>
  <si>
    <t>LAF8600</t>
  </si>
  <si>
    <t>LAF8601</t>
  </si>
  <si>
    <t>LAF8602</t>
  </si>
  <si>
    <t>LAF8604</t>
  </si>
  <si>
    <t>LAF8605</t>
  </si>
  <si>
    <t>LAF8606</t>
  </si>
  <si>
    <t>LAF8608</t>
  </si>
  <si>
    <t>LAF8615</t>
  </si>
  <si>
    <t>LAF8616</t>
  </si>
  <si>
    <t>LAF8622</t>
  </si>
  <si>
    <t>LAF8624</t>
  </si>
  <si>
    <t>LAF8626</t>
  </si>
  <si>
    <t>LAF8629</t>
  </si>
  <si>
    <t>LAF8631</t>
  </si>
  <si>
    <t>LAF8632</t>
  </si>
  <si>
    <t>LAF8644</t>
  </si>
  <si>
    <t>LAF8649</t>
  </si>
  <si>
    <t>LAF8658</t>
  </si>
  <si>
    <t>LAF8659</t>
  </si>
  <si>
    <t>LAF8662</t>
  </si>
  <si>
    <t>LAF8665</t>
  </si>
  <si>
    <t>LAF8666</t>
  </si>
  <si>
    <t>LAF8675</t>
  </si>
  <si>
    <t>LAF8688</t>
  </si>
  <si>
    <t>LAF8746</t>
  </si>
  <si>
    <t>Europe Only Radial Seal Outer air</t>
  </si>
  <si>
    <t>LAF8747</t>
  </si>
  <si>
    <t>Europe Only Radial Seal inner air</t>
  </si>
  <si>
    <t>LAF8748</t>
  </si>
  <si>
    <t>LAF8764</t>
  </si>
  <si>
    <t>LAF8775</t>
  </si>
  <si>
    <t>LAF8786</t>
  </si>
  <si>
    <t>LAF8802</t>
  </si>
  <si>
    <t>Finned Vane Air Filter With Attached Lid</t>
  </si>
  <si>
    <t>LAF8803</t>
  </si>
  <si>
    <t>LAF8809</t>
  </si>
  <si>
    <t>LAF8812</t>
  </si>
  <si>
    <t>LAF8814</t>
  </si>
  <si>
    <t>LAF8817</t>
  </si>
  <si>
    <t>LAF8818</t>
  </si>
  <si>
    <t>LAF8825</t>
  </si>
  <si>
    <t>LAF8827</t>
  </si>
  <si>
    <t>LAF8829</t>
  </si>
  <si>
    <t>LAF8830</t>
  </si>
  <si>
    <t>LAF8831</t>
  </si>
  <si>
    <t>LAF8832</t>
  </si>
  <si>
    <t>HD Round Finned Air with Attached Lid</t>
  </si>
  <si>
    <t>LAF8834</t>
  </si>
  <si>
    <t>Round Air Filter with Flanged Endcap</t>
  </si>
  <si>
    <t>LAF8840</t>
  </si>
  <si>
    <t>LAF8842</t>
  </si>
  <si>
    <t>Round Inner Air Filter</t>
  </si>
  <si>
    <t>LAF8844</t>
  </si>
  <si>
    <t>LAF8921</t>
  </si>
  <si>
    <t>LAF8970</t>
  </si>
  <si>
    <t>LAF8972</t>
  </si>
  <si>
    <t>LAF8977</t>
  </si>
  <si>
    <t>LAF8983</t>
  </si>
  <si>
    <t>LAF8984</t>
  </si>
  <si>
    <t>LAF8985</t>
  </si>
  <si>
    <t>LAF8987</t>
  </si>
  <si>
    <t>LAF8988</t>
  </si>
  <si>
    <t>LAF8990</t>
  </si>
  <si>
    <t>LAF8998</t>
  </si>
  <si>
    <t>LAF9538MXM</t>
  </si>
  <si>
    <t>LBR22147</t>
  </si>
  <si>
    <t>Mounting Band</t>
  </si>
  <si>
    <t>LCTK-C2</t>
  </si>
  <si>
    <t>LDFTK-IQ</t>
  </si>
  <si>
    <t>L-F DIESEL FUEL ANALYSIS KIT</t>
  </si>
  <si>
    <t>LFE9374</t>
  </si>
  <si>
    <t>LFF200</t>
  </si>
  <si>
    <t>LFF3293</t>
  </si>
  <si>
    <t>Bowl Style Fuel Water Separator</t>
  </si>
  <si>
    <t>LFF3676</t>
  </si>
  <si>
    <t>LFF3944</t>
  </si>
  <si>
    <t>LFF5982</t>
  </si>
  <si>
    <t>Spin-on Fuel Water Separator Filter</t>
  </si>
  <si>
    <t>LFF7284</t>
  </si>
  <si>
    <t>Cartridge Fuel/Water Separator Filter</t>
  </si>
  <si>
    <t>LFF8495</t>
  </si>
  <si>
    <t>LFF8927</t>
  </si>
  <si>
    <t>LFF905</t>
  </si>
  <si>
    <t>LFH4201</t>
  </si>
  <si>
    <t>Hydraulic Spin-on Filter</t>
  </si>
  <si>
    <t>LFH4224</t>
  </si>
  <si>
    <t>LFH4372</t>
  </si>
  <si>
    <t>LFH4447</t>
  </si>
  <si>
    <t>LFH4970</t>
  </si>
  <si>
    <t>LFH8108</t>
  </si>
  <si>
    <t>LFH8398</t>
  </si>
  <si>
    <t>LFH8409</t>
  </si>
  <si>
    <t>LFH8594</t>
  </si>
  <si>
    <t>LFH8835</t>
  </si>
  <si>
    <t>LFH8882</t>
  </si>
  <si>
    <t>LFP252F</t>
  </si>
  <si>
    <t>LFP3943</t>
  </si>
  <si>
    <t>LFP5015G</t>
  </si>
  <si>
    <t>LFP5375</t>
  </si>
  <si>
    <t>LFP5805</t>
  </si>
  <si>
    <t>LFP5825</t>
  </si>
  <si>
    <t>LFP8738</t>
  </si>
  <si>
    <t>LFW4687</t>
  </si>
  <si>
    <t>Coolant Filter</t>
  </si>
  <si>
    <t>LH22074</t>
  </si>
  <si>
    <t>LH22121</t>
  </si>
  <si>
    <t>LH22127</t>
  </si>
  <si>
    <t>LH3878</t>
  </si>
  <si>
    <t>LH4226</t>
  </si>
  <si>
    <t>LH4227</t>
  </si>
  <si>
    <t>LH4235</t>
  </si>
  <si>
    <t>LH4240</t>
  </si>
  <si>
    <t>LH4253</t>
  </si>
  <si>
    <t>LH4259</t>
  </si>
  <si>
    <t>LH4396</t>
  </si>
  <si>
    <t>LH4462</t>
  </si>
  <si>
    <t>LH4476</t>
  </si>
  <si>
    <t>LH4480</t>
  </si>
  <si>
    <t>LH4578</t>
  </si>
  <si>
    <t>LH4853</t>
  </si>
  <si>
    <t>LH4986</t>
  </si>
  <si>
    <t>LH5000</t>
  </si>
  <si>
    <t>LUBER-FINER HYDRAULIC FILTER</t>
  </si>
  <si>
    <t>LH5374</t>
  </si>
  <si>
    <t>LH5970</t>
  </si>
  <si>
    <t>LH8521</t>
  </si>
  <si>
    <t>LH8546</t>
  </si>
  <si>
    <t>LH8754</t>
  </si>
  <si>
    <t>LH8788</t>
  </si>
  <si>
    <t>LH8883</t>
  </si>
  <si>
    <t>LH95011</t>
  </si>
  <si>
    <t>LH95024V</t>
  </si>
  <si>
    <t>LH95035V</t>
  </si>
  <si>
    <t>LH95046V</t>
  </si>
  <si>
    <t>LH95115V</t>
  </si>
  <si>
    <t>LH95117V</t>
  </si>
  <si>
    <t>LH95121</t>
  </si>
  <si>
    <t>LH95121V</t>
  </si>
  <si>
    <t>LH95152</t>
  </si>
  <si>
    <t>LH95610</t>
  </si>
  <si>
    <t>LH95850</t>
  </si>
  <si>
    <t>LH95920V</t>
  </si>
  <si>
    <t>LK110C</t>
  </si>
  <si>
    <t>Cummins Engine Maintenance Kit</t>
  </si>
  <si>
    <t>LK164D</t>
  </si>
  <si>
    <t>LK182C</t>
  </si>
  <si>
    <t>LK243C</t>
  </si>
  <si>
    <t>LK245C</t>
  </si>
  <si>
    <t>LK305GM</t>
  </si>
  <si>
    <t>General Motors Engine Maintenance Kit</t>
  </si>
  <si>
    <t>LK326DF</t>
  </si>
  <si>
    <t>LK327DF</t>
  </si>
  <si>
    <t>LK328DF</t>
  </si>
  <si>
    <t>Thermo King Engine Maintenance Kit</t>
  </si>
  <si>
    <t>LMB451</t>
  </si>
  <si>
    <t>Adaptor Base for LFP9750</t>
  </si>
  <si>
    <t xml:space="preserve">Mounting Base used w/PB50 B/P filter </t>
  </si>
  <si>
    <t>LP112</t>
  </si>
  <si>
    <t>LP146</t>
  </si>
  <si>
    <t>LP2296</t>
  </si>
  <si>
    <t>LP2328</t>
  </si>
  <si>
    <t>LP3361</t>
  </si>
  <si>
    <t>LP3365</t>
  </si>
  <si>
    <t>LP4413</t>
  </si>
  <si>
    <t>LP5043</t>
  </si>
  <si>
    <t>LP5563</t>
  </si>
  <si>
    <t>LP5901</t>
  </si>
  <si>
    <t>LP7319</t>
  </si>
  <si>
    <t>LP7330</t>
  </si>
  <si>
    <t>LP78</t>
  </si>
  <si>
    <t>LP8308</t>
  </si>
  <si>
    <t>LP8346</t>
  </si>
  <si>
    <t>LP8347</t>
  </si>
  <si>
    <t>LP8467</t>
  </si>
  <si>
    <t>LP8952</t>
  </si>
  <si>
    <t>LP92HD</t>
  </si>
  <si>
    <t>LWG4864</t>
  </si>
  <si>
    <t>LUBER-FINER GASKET</t>
  </si>
  <si>
    <t>P49</t>
  </si>
  <si>
    <t>P5609</t>
  </si>
  <si>
    <t>P823</t>
  </si>
  <si>
    <t>PC206</t>
  </si>
  <si>
    <t>PCV Valve</t>
  </si>
  <si>
    <t>PC88</t>
  </si>
  <si>
    <t>PH2852</t>
  </si>
  <si>
    <t>PH7014</t>
  </si>
  <si>
    <t>MC</t>
  </si>
  <si>
    <t>Suzuki Motorcycles (1985-87) (Suzuki 16510-05A00)</t>
  </si>
  <si>
    <t>T134</t>
  </si>
  <si>
    <t>Transmission Filter</t>
  </si>
  <si>
    <t>T645</t>
  </si>
  <si>
    <t>T717</t>
  </si>
  <si>
    <t>CAF24032</t>
  </si>
  <si>
    <t>Cabin Air Filter, Recirculating</t>
  </si>
  <si>
    <t>3685805C1</t>
  </si>
  <si>
    <t>2008 -2019 Prostar and the 2017-19 LT625</t>
  </si>
  <si>
    <t>038568746306</t>
  </si>
  <si>
    <t>LAF7311</t>
  </si>
  <si>
    <t>Bobcat</t>
  </si>
  <si>
    <t>RS5747</t>
  </si>
  <si>
    <t>P628328</t>
  </si>
  <si>
    <t>AF27998</t>
  </si>
  <si>
    <t>WA10035</t>
  </si>
  <si>
    <t>LAF6155</t>
  </si>
  <si>
    <t xml:space="preserve">Blue Bird ; All Americian Bus  with 13 inch diameter air cleaner </t>
  </si>
  <si>
    <t>Blue Bird</t>
  </si>
  <si>
    <t>RS5756</t>
  </si>
  <si>
    <t>WA10167</t>
  </si>
  <si>
    <t>Clark Equipment; Bobcat 650 Skid Steer  Loaders w / Kubota V3307DI-7 (Tier III) Diesel Engine</t>
  </si>
  <si>
    <t>038568746146</t>
  </si>
  <si>
    <t>038568745767</t>
  </si>
  <si>
    <t>LAF4307</t>
  </si>
  <si>
    <t>LAF8353</t>
  </si>
  <si>
    <t>LAF3706</t>
  </si>
  <si>
    <t>LAF310</t>
  </si>
  <si>
    <t>LAF7413MXM</t>
  </si>
  <si>
    <t>LFF1005</t>
  </si>
  <si>
    <t xml:space="preserve">Nano Tech Air Filter HD Metal-End </t>
  </si>
  <si>
    <t>LFH5721</t>
  </si>
  <si>
    <t>LP5902</t>
  </si>
  <si>
    <t>LFF3554</t>
  </si>
  <si>
    <t>LFH8499</t>
  </si>
  <si>
    <t>LH4266</t>
  </si>
  <si>
    <t>LAF8526</t>
  </si>
  <si>
    <t>LAF1723</t>
  </si>
  <si>
    <t>LAF5575</t>
  </si>
  <si>
    <t>LH8245</t>
  </si>
  <si>
    <t>LP815</t>
  </si>
  <si>
    <t>L8254F</t>
  </si>
  <si>
    <t>LAF3710</t>
  </si>
  <si>
    <t>L2986F</t>
  </si>
  <si>
    <t>L3575F</t>
  </si>
  <si>
    <t>L4116F</t>
  </si>
  <si>
    <t>Sock Type Fuel Filter</t>
  </si>
  <si>
    <t>L5752F</t>
  </si>
  <si>
    <t>L663F</t>
  </si>
  <si>
    <t>LAF3931</t>
  </si>
  <si>
    <t>LAF4323</t>
  </si>
  <si>
    <t>LAF5519</t>
  </si>
  <si>
    <t>LAF5755</t>
  </si>
  <si>
    <t>LAF5785</t>
  </si>
  <si>
    <t>LAF5955</t>
  </si>
  <si>
    <t>LAF75</t>
  </si>
  <si>
    <t>LAF8078</t>
  </si>
  <si>
    <t>LAF8087</t>
  </si>
  <si>
    <t>Radial Seal Air</t>
  </si>
  <si>
    <t>LAF8088</t>
  </si>
  <si>
    <t>LAF8090</t>
  </si>
  <si>
    <t>LAF8361</t>
  </si>
  <si>
    <t>LAF8547</t>
  </si>
  <si>
    <t>LAF8589</t>
  </si>
  <si>
    <t>LAF8816</t>
  </si>
  <si>
    <t>LAF8828</t>
  </si>
  <si>
    <t>LAF8975</t>
  </si>
  <si>
    <t>LAF8980</t>
  </si>
  <si>
    <t>LAF9387</t>
  </si>
  <si>
    <t>LFF7686</t>
  </si>
  <si>
    <t>LFH8095</t>
  </si>
  <si>
    <t>LFP1524</t>
  </si>
  <si>
    <t>LH95024</t>
  </si>
  <si>
    <t>LH95027</t>
  </si>
  <si>
    <t>LH95035</t>
  </si>
  <si>
    <t>LH95058</t>
  </si>
  <si>
    <t>LH95063V</t>
  </si>
  <si>
    <t>LH95241</t>
  </si>
  <si>
    <t>LH95266</t>
  </si>
  <si>
    <t>LH95269</t>
  </si>
  <si>
    <t>LH95271</t>
  </si>
  <si>
    <t>LH95272</t>
  </si>
  <si>
    <t>LH95276</t>
  </si>
  <si>
    <t>LH95277</t>
  </si>
  <si>
    <t>LH95279</t>
  </si>
  <si>
    <t>LH95281</t>
  </si>
  <si>
    <t>LH95282</t>
  </si>
  <si>
    <t>LH95304</t>
  </si>
  <si>
    <t>LH95305</t>
  </si>
  <si>
    <t>LH95314</t>
  </si>
  <si>
    <t>LH95316</t>
  </si>
  <si>
    <t>LH95332</t>
  </si>
  <si>
    <t>LH95341</t>
  </si>
  <si>
    <t>LH95345</t>
  </si>
  <si>
    <t>LH95361</t>
  </si>
  <si>
    <t>LH95394</t>
  </si>
  <si>
    <t>LH95690</t>
  </si>
  <si>
    <t>LH95996V</t>
  </si>
  <si>
    <t>LH95999V</t>
  </si>
  <si>
    <t>LP2218</t>
  </si>
  <si>
    <t>LP8334</t>
  </si>
  <si>
    <t>LP8554</t>
  </si>
  <si>
    <t>LP8912</t>
  </si>
  <si>
    <t>LP8941</t>
  </si>
  <si>
    <t>LFP3236XL</t>
  </si>
  <si>
    <t>Extended Life version of LFP3236</t>
  </si>
  <si>
    <t xml:space="preserve">Mack 485GB3236; Mack Trucks with ASET engines  </t>
  </si>
  <si>
    <t>B</t>
  </si>
  <si>
    <t>485GB3236</t>
  </si>
  <si>
    <t>B76-SS</t>
  </si>
  <si>
    <t>P551807</t>
  </si>
  <si>
    <t>LF3973</t>
  </si>
  <si>
    <t>CAF24028XL</t>
  </si>
  <si>
    <t>International 9200, 9400, 9800 Series (1994+)</t>
  </si>
  <si>
    <t>C</t>
  </si>
  <si>
    <t>1696834C1</t>
  </si>
  <si>
    <t>PA5691</t>
  </si>
  <si>
    <t>P628393</t>
  </si>
  <si>
    <t>AF55704</t>
  </si>
  <si>
    <t>PA11091</t>
  </si>
  <si>
    <t>LAF8856</t>
  </si>
  <si>
    <t>International HX trucks with sloped hood (2015+)</t>
  </si>
  <si>
    <t>255851C1</t>
  </si>
  <si>
    <t>038568747075</t>
  </si>
  <si>
    <t>038568746924</t>
  </si>
  <si>
    <t>038568745910</t>
  </si>
  <si>
    <t>Standard Upright 500-C Unit w/Imperial  Diesel Pack</t>
  </si>
  <si>
    <t>Horizontal Diesel Unit w/Imperial Filter Pack/500-C</t>
  </si>
  <si>
    <t>500CT Filter Assembly upright mount with 2095 Element</t>
  </si>
  <si>
    <t>Luber-finer F170 diesel fuel filter refining pak</t>
  </si>
  <si>
    <t>Industrial Full-flow Unit w/LP970-5 Element/970-C Filter</t>
  </si>
  <si>
    <t>Industrial Full-flow Unit w/LP970-10 Element Filter</t>
  </si>
  <si>
    <t>750C UNIT</t>
  </si>
  <si>
    <t>750C REFINING</t>
  </si>
  <si>
    <t>AF3962</t>
  </si>
  <si>
    <t>AF8826</t>
  </si>
  <si>
    <t>L1656-0</t>
  </si>
  <si>
    <t>L3560F</t>
  </si>
  <si>
    <t>L3920F</t>
  </si>
  <si>
    <t>L6806F</t>
  </si>
  <si>
    <t>L8262F</t>
  </si>
  <si>
    <t>LAF1012</t>
  </si>
  <si>
    <t>LAF4175</t>
  </si>
  <si>
    <t>LAF5598</t>
  </si>
  <si>
    <t>LAF8561</t>
  </si>
  <si>
    <t>LAF8820</t>
  </si>
  <si>
    <t>LAF9685</t>
  </si>
  <si>
    <t>LAFV140A</t>
  </si>
  <si>
    <t>LFF8258</t>
  </si>
  <si>
    <t>LFF8288</t>
  </si>
  <si>
    <t>LFF8963</t>
  </si>
  <si>
    <t>LFH4392</t>
  </si>
  <si>
    <t>LFP8176</t>
  </si>
  <si>
    <t>LFP8295</t>
  </si>
  <si>
    <t>LFP912</t>
  </si>
  <si>
    <t>LFP943F</t>
  </si>
  <si>
    <t>LFP9750</t>
  </si>
  <si>
    <t>LH22119</t>
  </si>
  <si>
    <t>LH22128</t>
  </si>
  <si>
    <t>LK311DF</t>
  </si>
  <si>
    <t>LP560HE</t>
  </si>
  <si>
    <t>ZKIT9750</t>
  </si>
  <si>
    <t>Filter Kit</t>
  </si>
  <si>
    <t xml:space="preserve">970C UNIT WITH LP970    </t>
  </si>
  <si>
    <t xml:space="preserve">PKGD UNIT &amp; PACK  </t>
  </si>
  <si>
    <t>3923B</t>
  </si>
  <si>
    <t>750CT Filter assembly with 2122 Element</t>
  </si>
  <si>
    <t>AF247B</t>
  </si>
  <si>
    <t>AF4521</t>
  </si>
  <si>
    <t>AF526</t>
  </si>
  <si>
    <t>AF7980</t>
  </si>
  <si>
    <t>Rigid Panel Air</t>
  </si>
  <si>
    <t>AF928</t>
  </si>
  <si>
    <t>CAF1742K</t>
  </si>
  <si>
    <t>CAF7703</t>
  </si>
  <si>
    <t>Cabin Air Filter (Carbon)</t>
  </si>
  <si>
    <t>FW1C</t>
  </si>
  <si>
    <t>End Cap Filter Removal Wrench for 4" 15 flute filter.</t>
  </si>
  <si>
    <t>FW3</t>
  </si>
  <si>
    <t>Band Wrench with Handle for 3" diameter filters.</t>
  </si>
  <si>
    <t>G6549</t>
  </si>
  <si>
    <t>L3559F</t>
  </si>
  <si>
    <t>L3569F</t>
  </si>
  <si>
    <t>L3577F</t>
  </si>
  <si>
    <t>L8287F</t>
  </si>
  <si>
    <t>L8966F</t>
  </si>
  <si>
    <t>LAF1324</t>
  </si>
  <si>
    <t>LAF1447</t>
  </si>
  <si>
    <t>LAF1448</t>
  </si>
  <si>
    <t>LAF1451</t>
  </si>
  <si>
    <t>LAF1453</t>
  </si>
  <si>
    <t>LAF1457</t>
  </si>
  <si>
    <t>LAF1473</t>
  </si>
  <si>
    <t>LAF1731</t>
  </si>
  <si>
    <t>LAF1752</t>
  </si>
  <si>
    <t>LAF1767</t>
  </si>
  <si>
    <t>LAF1776</t>
  </si>
  <si>
    <t>LAF1785</t>
  </si>
  <si>
    <t>LAF1794</t>
  </si>
  <si>
    <t>LAF1836</t>
  </si>
  <si>
    <t>LAF1876</t>
  </si>
  <si>
    <t>LAF1975</t>
  </si>
  <si>
    <t>LAF1983</t>
  </si>
  <si>
    <t>LAF1987</t>
  </si>
  <si>
    <t>LAF1997</t>
  </si>
  <si>
    <t>LAF1999</t>
  </si>
  <si>
    <t>LAF2</t>
  </si>
  <si>
    <t>LAF22022</t>
  </si>
  <si>
    <t>Disposible Air Housing</t>
  </si>
  <si>
    <t>LAF22047</t>
  </si>
  <si>
    <t>LAF22055</t>
  </si>
  <si>
    <t>LAF22057</t>
  </si>
  <si>
    <t>LAF22061</t>
  </si>
  <si>
    <t>LAF22062</t>
  </si>
  <si>
    <t>LAF22080</t>
  </si>
  <si>
    <t>LAF22083</t>
  </si>
  <si>
    <t>LAF22085</t>
  </si>
  <si>
    <t>LAF22087</t>
  </si>
  <si>
    <t>LAF22098</t>
  </si>
  <si>
    <t>LAF22101</t>
  </si>
  <si>
    <t>Round Air Filter with Foam Wrap</t>
  </si>
  <si>
    <t>LAF22107</t>
  </si>
  <si>
    <t>LAF22109</t>
  </si>
  <si>
    <t>LAF22110</t>
  </si>
  <si>
    <t>LAF2503</t>
  </si>
  <si>
    <t>LAF2529</t>
  </si>
  <si>
    <t>LAF2539</t>
  </si>
  <si>
    <t>LAF2605</t>
  </si>
  <si>
    <t>LAF265</t>
  </si>
  <si>
    <t>LAF323</t>
  </si>
  <si>
    <t>LAF3703</t>
  </si>
  <si>
    <t>LAF4131</t>
  </si>
  <si>
    <t>LAF4134</t>
  </si>
  <si>
    <t>LAF4138</t>
  </si>
  <si>
    <t>LAF4145</t>
  </si>
  <si>
    <t>LAF4148</t>
  </si>
  <si>
    <t>LAF4163</t>
  </si>
  <si>
    <t>LAF4165</t>
  </si>
  <si>
    <t>LAF4167</t>
  </si>
  <si>
    <t>LAF4171</t>
  </si>
  <si>
    <t>LAF4176</t>
  </si>
  <si>
    <t>LAF4181</t>
  </si>
  <si>
    <t>LAF4186</t>
  </si>
  <si>
    <t>LAF4187</t>
  </si>
  <si>
    <t>LAF4194</t>
  </si>
  <si>
    <t>LAF4195</t>
  </si>
  <si>
    <t>Tube Type Air Filter</t>
  </si>
  <si>
    <t>LAF4219</t>
  </si>
  <si>
    <t>LAF4222</t>
  </si>
  <si>
    <t>LAF4228</t>
  </si>
  <si>
    <t>LAF4271</t>
  </si>
  <si>
    <t>LAF4276</t>
  </si>
  <si>
    <t>LAF4285</t>
  </si>
  <si>
    <t>HD Round Air with non-woven Batt Media</t>
  </si>
  <si>
    <t>LAF4298</t>
  </si>
  <si>
    <t>LAF4301</t>
  </si>
  <si>
    <t>LAF4311</t>
  </si>
  <si>
    <t>LAF4313</t>
  </si>
  <si>
    <t>LAF4314</t>
  </si>
  <si>
    <t>LAF4329</t>
  </si>
  <si>
    <t>LAF4334</t>
  </si>
  <si>
    <t>LAF4335</t>
  </si>
  <si>
    <t>LAF4339</t>
  </si>
  <si>
    <t>LAF4346</t>
  </si>
  <si>
    <t>LAF4353</t>
  </si>
  <si>
    <t>LAF4366</t>
  </si>
  <si>
    <t>LAF4557</t>
  </si>
  <si>
    <t>LAF5360</t>
  </si>
  <si>
    <t>LAF5744</t>
  </si>
  <si>
    <t>LAF5811</t>
  </si>
  <si>
    <t>LAF5830</t>
  </si>
  <si>
    <t>LAF5836</t>
  </si>
  <si>
    <t>LAF5890</t>
  </si>
  <si>
    <t>LAF5933</t>
  </si>
  <si>
    <t>LAF7482</t>
  </si>
  <si>
    <t>LAF8069</t>
  </si>
  <si>
    <t>LAF8123</t>
  </si>
  <si>
    <t>LAF8165</t>
  </si>
  <si>
    <t>LAF8196</t>
  </si>
  <si>
    <t>LAF8256</t>
  </si>
  <si>
    <t>LAF8272</t>
  </si>
  <si>
    <t>LAF8283</t>
  </si>
  <si>
    <t>LAF8289</t>
  </si>
  <si>
    <t>LAF8303</t>
  </si>
  <si>
    <t>HD Cabin Air Panel</t>
  </si>
  <si>
    <t>LAF8317</t>
  </si>
  <si>
    <t>LAF8360</t>
  </si>
  <si>
    <t>HD Round Air with Flanged End Cap with Integral Studs</t>
  </si>
  <si>
    <t>LAF8385</t>
  </si>
  <si>
    <t>LAF8401</t>
  </si>
  <si>
    <t>LAF8420</t>
  </si>
  <si>
    <t>LAF8425</t>
  </si>
  <si>
    <t>LAF8428</t>
  </si>
  <si>
    <t>LAF8437</t>
  </si>
  <si>
    <t>LAF8473</t>
  </si>
  <si>
    <t>LAF8480</t>
  </si>
  <si>
    <t>LAF8515</t>
  </si>
  <si>
    <t>LAF8575</t>
  </si>
  <si>
    <t>LAF8579</t>
  </si>
  <si>
    <t>LAF8581</t>
  </si>
  <si>
    <t>LAF8612</t>
  </si>
  <si>
    <t>LAF8628</t>
  </si>
  <si>
    <t>Panel Air Filter</t>
  </si>
  <si>
    <t>LAF8646</t>
  </si>
  <si>
    <t>LAF8655</t>
  </si>
  <si>
    <t>LAF8661</t>
  </si>
  <si>
    <t>LAF8667</t>
  </si>
  <si>
    <t>LAF8685</t>
  </si>
  <si>
    <t>LAF8725</t>
  </si>
  <si>
    <t>LAF8800</t>
  </si>
  <si>
    <t>LAF8804</t>
  </si>
  <si>
    <t>LAF8808</t>
  </si>
  <si>
    <t>LAF9180</t>
  </si>
  <si>
    <t>LFF3290</t>
  </si>
  <si>
    <t>LFF3512</t>
  </si>
  <si>
    <t>LFF3584</t>
  </si>
  <si>
    <t>LFH22040</t>
  </si>
  <si>
    <t>LFH22041</t>
  </si>
  <si>
    <t>LFH22042</t>
  </si>
  <si>
    <t>LFH22114</t>
  </si>
  <si>
    <t>LFH22120</t>
  </si>
  <si>
    <t>LFH3653-25</t>
  </si>
  <si>
    <t>LFH3756</t>
  </si>
  <si>
    <t>LFH3882-25</t>
  </si>
  <si>
    <t>LFH4203</t>
  </si>
  <si>
    <t>LFH4425</t>
  </si>
  <si>
    <t>LFH4978</t>
  </si>
  <si>
    <t>LFH5071</t>
  </si>
  <si>
    <t>LFH5718</t>
  </si>
  <si>
    <t>LFH5941</t>
  </si>
  <si>
    <t>LFH8293</t>
  </si>
  <si>
    <t>LFH8342</t>
  </si>
  <si>
    <t>LFH8366</t>
  </si>
  <si>
    <t>LFH8368</t>
  </si>
  <si>
    <t>LFH8454</t>
  </si>
  <si>
    <t>LFP152499B</t>
  </si>
  <si>
    <t>LFP22014</t>
  </si>
  <si>
    <t>LFP22020</t>
  </si>
  <si>
    <t>LFP2270</t>
  </si>
  <si>
    <t>LFP8174</t>
  </si>
  <si>
    <t>LFP8239</t>
  </si>
  <si>
    <t>LFP8250</t>
  </si>
  <si>
    <t>LFP8266</t>
  </si>
  <si>
    <t>LFW22038</t>
  </si>
  <si>
    <t>LH11039V</t>
  </si>
  <si>
    <t>Industrial Hydraulic Filter</t>
  </si>
  <si>
    <t>LH22001</t>
  </si>
  <si>
    <t>LH22117</t>
  </si>
  <si>
    <t>LH22122</t>
  </si>
  <si>
    <t>LH22124</t>
  </si>
  <si>
    <t>LH22129</t>
  </si>
  <si>
    <t>LH4371</t>
  </si>
  <si>
    <t>LH4398</t>
  </si>
  <si>
    <t>LH4406</t>
  </si>
  <si>
    <t>LH4442</t>
  </si>
  <si>
    <t>LH4444</t>
  </si>
  <si>
    <t>LH4466</t>
  </si>
  <si>
    <t>LH4594</t>
  </si>
  <si>
    <t>LH4598</t>
  </si>
  <si>
    <t>LH4742</t>
  </si>
  <si>
    <t>LH4906</t>
  </si>
  <si>
    <t>LH4923</t>
  </si>
  <si>
    <t>LH4983</t>
  </si>
  <si>
    <t>LH5007</t>
  </si>
  <si>
    <t>LH5072</t>
  </si>
  <si>
    <t>LH6147</t>
  </si>
  <si>
    <t>LH8319</t>
  </si>
  <si>
    <t>LH8397</t>
  </si>
  <si>
    <t>LH8539</t>
  </si>
  <si>
    <t>LH8877</t>
  </si>
  <si>
    <t>LK261V</t>
  </si>
  <si>
    <t>Volvo Engine Maintenance Kit</t>
  </si>
  <si>
    <t>LK309DF</t>
  </si>
  <si>
    <t>International Engine Maintenance Kit</t>
  </si>
  <si>
    <t>LMB4862</t>
  </si>
  <si>
    <t>Base for LFH5809</t>
  </si>
  <si>
    <t>LP22130</t>
  </si>
  <si>
    <t>Spin-on By-Pass Oil Filter</t>
  </si>
  <si>
    <t>LP2214X</t>
  </si>
  <si>
    <t>LP2264</t>
  </si>
  <si>
    <t>LP2266</t>
  </si>
  <si>
    <t>LP2278</t>
  </si>
  <si>
    <t>LP2297</t>
  </si>
  <si>
    <t>LP2313</t>
  </si>
  <si>
    <t>LP2314</t>
  </si>
  <si>
    <t>LP2316</t>
  </si>
  <si>
    <t>LP2323</t>
  </si>
  <si>
    <t>LP2325</t>
  </si>
  <si>
    <t>LP4373</t>
  </si>
  <si>
    <t>Cartridge hydraulic filter</t>
  </si>
  <si>
    <t>LP4379</t>
  </si>
  <si>
    <t>LP4389</t>
  </si>
  <si>
    <t>LP4420</t>
  </si>
  <si>
    <t>LP4421</t>
  </si>
  <si>
    <t>LP4467</t>
  </si>
  <si>
    <t>LP4469</t>
  </si>
  <si>
    <t>LP5731</t>
  </si>
  <si>
    <t>LP5777</t>
  </si>
  <si>
    <t>LP5907</t>
  </si>
  <si>
    <t>LP8172</t>
  </si>
  <si>
    <t>LP8178</t>
  </si>
  <si>
    <t>LP8221</t>
  </si>
  <si>
    <t>LP8275</t>
  </si>
  <si>
    <t>LP8285</t>
  </si>
  <si>
    <t>LP8451</t>
  </si>
  <si>
    <t>LP8505</t>
  </si>
  <si>
    <t>LP8735</t>
  </si>
  <si>
    <t>PC810</t>
  </si>
  <si>
    <t>PH2811</t>
  </si>
  <si>
    <t>PH7018</t>
  </si>
  <si>
    <t>PH7025</t>
  </si>
  <si>
    <t>PH7028</t>
  </si>
  <si>
    <t>T110</t>
  </si>
  <si>
    <t>T121</t>
  </si>
  <si>
    <t>T138</t>
  </si>
  <si>
    <t>T140</t>
  </si>
  <si>
    <t>T141</t>
  </si>
  <si>
    <t>T144</t>
  </si>
  <si>
    <t>T157</t>
  </si>
  <si>
    <t>T162</t>
  </si>
  <si>
    <t>T166</t>
  </si>
  <si>
    <t>T170</t>
  </si>
  <si>
    <t>T174</t>
  </si>
  <si>
    <t>T188</t>
  </si>
  <si>
    <t>T236</t>
  </si>
  <si>
    <t>T616</t>
  </si>
  <si>
    <t>T618</t>
  </si>
  <si>
    <t>T628</t>
  </si>
  <si>
    <t>T630</t>
  </si>
  <si>
    <t>T722</t>
  </si>
  <si>
    <t>Estimated VIO</t>
  </si>
  <si>
    <t>LP7183</t>
  </si>
  <si>
    <t>2017/2018  Peterbilt &amp; Kenworth with the MX13 engine</t>
  </si>
  <si>
    <t>2047411PE</t>
  </si>
  <si>
    <t>WL10341</t>
  </si>
  <si>
    <t>LK386M</t>
  </si>
  <si>
    <t>Engine Maintenance Kit - Contains: 2-LFP3236, 1-LFP8642, 1-LFF8897, 1-LFF3358</t>
  </si>
  <si>
    <t>Mack CXU613, GU712, GU713 Trucks,  Volvo Models FL7, FL10, FS10, F16 and FH16.</t>
  </si>
  <si>
    <t>0 38568 74714 3</t>
  </si>
  <si>
    <t>1 00 38568 74714 0</t>
  </si>
  <si>
    <t>6pk</t>
  </si>
  <si>
    <t>038568747327</t>
  </si>
  <si>
    <t>1pk</t>
  </si>
  <si>
    <t>Current Jobber</t>
  </si>
  <si>
    <t>LAF1732</t>
  </si>
  <si>
    <t>LAF1853</t>
  </si>
  <si>
    <t>LK291D</t>
  </si>
  <si>
    <t>LAF1339</t>
  </si>
  <si>
    <t>2432</t>
  </si>
  <si>
    <t>Element for Luberfiner 363 Filter Assembly</t>
  </si>
  <si>
    <t>LP8107</t>
  </si>
  <si>
    <t>LFF4036A</t>
  </si>
  <si>
    <t>LFF15-30</t>
  </si>
  <si>
    <t>LAF8627</t>
  </si>
  <si>
    <t>LAF5054A</t>
  </si>
  <si>
    <t>LAF8617</t>
  </si>
  <si>
    <t>LAF1756</t>
  </si>
  <si>
    <t>LAF2540</t>
  </si>
  <si>
    <t>LAF2484</t>
  </si>
  <si>
    <t>LP229</t>
  </si>
  <si>
    <t>L10F</t>
  </si>
  <si>
    <t>LAF2516</t>
  </si>
  <si>
    <t>LAF5821</t>
  </si>
  <si>
    <t>LAF1831</t>
  </si>
  <si>
    <t>LFP5853</t>
  </si>
  <si>
    <t>LAF6299</t>
  </si>
  <si>
    <t>LAF9548</t>
  </si>
  <si>
    <t>LAF1215HD</t>
  </si>
  <si>
    <t>LFF3510</t>
  </si>
  <si>
    <t>G6346</t>
  </si>
  <si>
    <t>LFF3500</t>
  </si>
  <si>
    <t>LAF22035</t>
  </si>
  <si>
    <t>CAF24034</t>
  </si>
  <si>
    <t>Kenworth T800, Peterbilt 579 with Paccar MX11, MX13, Cummins ISX15, X15 engines</t>
  </si>
  <si>
    <t>W2084001</t>
  </si>
  <si>
    <t>PA30107</t>
  </si>
  <si>
    <t>AF55836</t>
  </si>
  <si>
    <t>0 38568 74702 0</t>
  </si>
  <si>
    <t>1 00 38568 74702 7</t>
  </si>
  <si>
    <t>3pk</t>
  </si>
  <si>
    <t>L5111F</t>
  </si>
  <si>
    <t>2016+ Peterbilt and Kenworth trucks w/Cummins ISX 12 &amp; 15, X15 eng.</t>
  </si>
  <si>
    <t>K37-1011 / K37-1029</t>
  </si>
  <si>
    <t>PF46081</t>
  </si>
  <si>
    <t>038568747068</t>
  </si>
  <si>
    <t>L5113F</t>
  </si>
  <si>
    <t>2018+ Paccar MX-11, Cummins X15 engines</t>
  </si>
  <si>
    <t>K37-1021</t>
  </si>
  <si>
    <t>PF46236</t>
  </si>
  <si>
    <t>CAF24033</t>
  </si>
  <si>
    <t>2010+ Freightliner Cascadia w/C15, Series 60, DD13,15,16; ISX; MBE4000 engines</t>
  </si>
  <si>
    <t>BSM1000295041</t>
  </si>
  <si>
    <t>P636369</t>
  </si>
  <si>
    <t>AF56031</t>
  </si>
  <si>
    <t>038568747266</t>
  </si>
  <si>
    <t>10038568747263</t>
  </si>
  <si>
    <t>234 pieces/39 cases</t>
  </si>
  <si>
    <t>361.69 lbs</t>
  </si>
  <si>
    <t xml:space="preserve">China </t>
  </si>
  <si>
    <t>038568747280</t>
  </si>
  <si>
    <t xml:space="preserve">10038568747287 </t>
  </si>
  <si>
    <t>204 cases/ 612 pieces</t>
  </si>
  <si>
    <t>647.72 lbs</t>
  </si>
  <si>
    <t>AF214</t>
  </si>
  <si>
    <t>AF530</t>
  </si>
  <si>
    <t>FW1</t>
  </si>
  <si>
    <t>Band Wrench with Handle for 4" diameter filters.</t>
  </si>
  <si>
    <t>G8219</t>
  </si>
  <si>
    <t>In Line Fuel Filter</t>
  </si>
  <si>
    <t xml:space="preserve">L1261F </t>
  </si>
  <si>
    <t>Cartridge Fuel Water Separator Coalescer filter</t>
  </si>
  <si>
    <t>L197F</t>
  </si>
  <si>
    <t>L3294F</t>
  </si>
  <si>
    <t>L3919F</t>
  </si>
  <si>
    <t>L632F</t>
  </si>
  <si>
    <t>L877F</t>
  </si>
  <si>
    <t>LAF1136</t>
  </si>
  <si>
    <t>LAF1137</t>
  </si>
  <si>
    <t>LAF203</t>
  </si>
  <si>
    <t>LAF22053</t>
  </si>
  <si>
    <t>Panel Air Filter Metal Framed</t>
  </si>
  <si>
    <t>LAF2586</t>
  </si>
  <si>
    <t>LAF2738</t>
  </si>
  <si>
    <t>LAF3214</t>
  </si>
  <si>
    <t>LAF3344</t>
  </si>
  <si>
    <t>LAF334MXM</t>
  </si>
  <si>
    <t xml:space="preserve">Nano Tech HD Metal-End Air Filter </t>
  </si>
  <si>
    <t>LAF3586</t>
  </si>
  <si>
    <t>LAF3754</t>
  </si>
  <si>
    <t>LAF4490</t>
  </si>
  <si>
    <t>LAF511</t>
  </si>
  <si>
    <t>LAF5757</t>
  </si>
  <si>
    <t>LAF624</t>
  </si>
  <si>
    <t>LAF6442</t>
  </si>
  <si>
    <t>LAF6587MXM</t>
  </si>
  <si>
    <t>LAF6769MXM</t>
  </si>
  <si>
    <t>LAF7092</t>
  </si>
  <si>
    <t>LAF7185</t>
  </si>
  <si>
    <t>Finned Vane Inner Air Filter</t>
  </si>
  <si>
    <t>LAF8171</t>
  </si>
  <si>
    <t>LAF8483MXM</t>
  </si>
  <si>
    <t>LAF8491</t>
  </si>
  <si>
    <t>LAF853</t>
  </si>
  <si>
    <t>LAF8588</t>
  </si>
  <si>
    <t>LAF884</t>
  </si>
  <si>
    <t>LAF8919</t>
  </si>
  <si>
    <t>LAF9029</t>
  </si>
  <si>
    <t>LAF9155MXM</t>
  </si>
  <si>
    <t>LAF9237</t>
  </si>
  <si>
    <t>LAF9513</t>
  </si>
  <si>
    <t>LAF9532</t>
  </si>
  <si>
    <t>LFF8040</t>
  </si>
  <si>
    <t>LFF8101</t>
  </si>
  <si>
    <t>LFF8103</t>
  </si>
  <si>
    <t>LFF8349</t>
  </si>
  <si>
    <t>Spin-on Hydraulic Filter</t>
  </si>
  <si>
    <t>LFH8395G</t>
  </si>
  <si>
    <t>LFH8758</t>
  </si>
  <si>
    <t>LFP3413</t>
  </si>
  <si>
    <t>LFP3583</t>
  </si>
  <si>
    <t>LFP4005TRT</t>
  </si>
  <si>
    <t>LFP5965</t>
  </si>
  <si>
    <t>LFP8096</t>
  </si>
  <si>
    <t>LFP8104</t>
  </si>
  <si>
    <t>LFP8320</t>
  </si>
  <si>
    <t>LFP8796XL</t>
  </si>
  <si>
    <t>Hydraulic Cartridge Filter</t>
  </si>
  <si>
    <t>LH7042V</t>
  </si>
  <si>
    <t>Industrial Cartridge Hydraulic Filter</t>
  </si>
  <si>
    <t>LH9411</t>
  </si>
  <si>
    <t>LH95011V</t>
  </si>
  <si>
    <t>LP7518</t>
  </si>
  <si>
    <t>LP8708</t>
  </si>
  <si>
    <t>PH2878</t>
  </si>
  <si>
    <t>Obsolete - Superceded by PH2840</t>
  </si>
  <si>
    <t xml:space="preserve">ZKIT9750 </t>
  </si>
  <si>
    <t>Filter Kit; 1-LFP9750, 1-LMB451</t>
  </si>
  <si>
    <t>LH4930</t>
  </si>
  <si>
    <t>L5112F</t>
  </si>
  <si>
    <t xml:space="preserve">2016+ Kenworth T660, T680, T700, T800 and W900 w/MX-13 engines </t>
  </si>
  <si>
    <t>D</t>
  </si>
  <si>
    <t>K37-1012</t>
  </si>
  <si>
    <t>PF46082</t>
  </si>
  <si>
    <t>L5115F</t>
  </si>
  <si>
    <t>2016+ Kenworth, Peterbilt w/Paccar MX-11, Cummins ISX engines</t>
  </si>
  <si>
    <t>K37-1022</t>
  </si>
  <si>
    <t>CAF24036</t>
  </si>
  <si>
    <t>F37-1018</t>
  </si>
  <si>
    <t>PA30269</t>
  </si>
  <si>
    <t>038568747259</t>
  </si>
  <si>
    <t>65 cases/ 390 pieces</t>
  </si>
  <si>
    <t>038568747273</t>
  </si>
  <si>
    <t>39 cases/ 234 pieces</t>
  </si>
  <si>
    <t>038568747303</t>
  </si>
  <si>
    <t>10038568747300</t>
  </si>
  <si>
    <t xml:space="preserve">180 cases/ 540 pieces </t>
  </si>
  <si>
    <t>LH4931</t>
  </si>
  <si>
    <t>LFP8986</t>
  </si>
  <si>
    <t>Spin on Oil Filter</t>
  </si>
  <si>
    <t>2017/2018  Peterbilt, Kenworth  T800, T880 trucks</t>
  </si>
  <si>
    <t>CAF24013XL</t>
  </si>
  <si>
    <t>Cabin Air Filter (Extreme Clean)</t>
  </si>
  <si>
    <t>International 9400 Series Trucks (2003-12)</t>
  </si>
  <si>
    <t>1699956-C1</t>
  </si>
  <si>
    <t>PA5637</t>
  </si>
  <si>
    <t>P617005</t>
  </si>
  <si>
    <t>AF55700</t>
  </si>
  <si>
    <t>038568747334</t>
  </si>
  <si>
    <t>Luberfiner (Extreme Clean)</t>
  </si>
  <si>
    <t>90 cases/ 270 pieces</t>
  </si>
  <si>
    <t>CAF24012XL</t>
  </si>
  <si>
    <t>Peterbilt 379, 340-380 Series (2002 - 2006)</t>
  </si>
  <si>
    <t>Peterbilt</t>
  </si>
  <si>
    <t>23-15619 (New)</t>
  </si>
  <si>
    <t>Elixaire</t>
  </si>
  <si>
    <t>5X01007 (Old)</t>
  </si>
  <si>
    <t>PA5320</t>
  </si>
  <si>
    <t>P614223</t>
  </si>
  <si>
    <t>AF26449</t>
  </si>
  <si>
    <t>038568747399</t>
  </si>
  <si>
    <t>88 cases/ 264 pieces</t>
  </si>
  <si>
    <t>L5116F</t>
  </si>
  <si>
    <t>Fuel / Water Separator</t>
  </si>
  <si>
    <t>Peterbilt 365, 520 Trucks and other 2016-Newer Paccar engines with frame mounted filter.</t>
  </si>
  <si>
    <t>K37-1017</t>
  </si>
  <si>
    <t>PF46238</t>
  </si>
  <si>
    <t>No Cross</t>
  </si>
  <si>
    <t xml:space="preserve">55 cases/ 330 pieces </t>
  </si>
  <si>
    <t>038568747440</t>
  </si>
  <si>
    <t>LFF6816</t>
  </si>
  <si>
    <t>LAF1867</t>
  </si>
  <si>
    <t>Secondary HD Air Filter</t>
  </si>
  <si>
    <t>Going obsolete upon inventory use up</t>
  </si>
  <si>
    <t>LAF7456</t>
  </si>
  <si>
    <t>Disposable Air Housing</t>
  </si>
  <si>
    <t>P819</t>
  </si>
  <si>
    <t>LAF9961</t>
  </si>
  <si>
    <t>HD Air Filter</t>
  </si>
  <si>
    <t>HD Air Filter (LAF9155 Still Avaiable)</t>
  </si>
  <si>
    <t>LH8896</t>
  </si>
  <si>
    <t>Cartridge Power Steering Filter</t>
  </si>
  <si>
    <t xml:space="preserve">Freightliner 108SD, 114SD, 122SD, Business Class M2 106, Business Class M2 112, Business Class M2, Cascadia, Cascadia Evolution, Coronado, Coronado SD, M2 106, M2 112, MT45, MT55; Western Star 4700, 4900EX, 4900FA, 4900SA, 5700XE, 6900XD Trucks </t>
  </si>
  <si>
    <t>PT23629</t>
  </si>
  <si>
    <t>P579124</t>
  </si>
  <si>
    <t>HF35387</t>
  </si>
  <si>
    <t>038568745644</t>
  </si>
  <si>
    <t>330 cases/ 1980 pieces</t>
  </si>
  <si>
    <t>L6812F</t>
  </si>
  <si>
    <t xml:space="preserve">DAHL 150 Series Fuel Filter/Water Separator Unit </t>
  </si>
  <si>
    <t>50,000 (Mainly International)</t>
  </si>
  <si>
    <t>Dahl</t>
  </si>
  <si>
    <t>151-W</t>
  </si>
  <si>
    <t>038568747198</t>
  </si>
  <si>
    <t>36 cases/ 432 pieces</t>
  </si>
  <si>
    <t>Indonesia</t>
  </si>
  <si>
    <t>Obsolete - Superceded by LFF6816XL</t>
  </si>
  <si>
    <t>CAF24021XL</t>
  </si>
  <si>
    <t>FREIGHTLINER-(Heavy Duty Trucks); Coronado (w/ Cummins ISX15 eng.), (Heavy Duty Trucks); Coronado (w/ Detroit Diesel DD13,DD15, or DD16 eng.), (Heavy Duty Trucks); Coronado SD (w/ Detroit Diesel DD13,DD15, or DD16 eng.), CORONADO (17--1)</t>
  </si>
  <si>
    <t>BOA91621</t>
  </si>
  <si>
    <t>PA5773</t>
  </si>
  <si>
    <t>P628392</t>
  </si>
  <si>
    <t>AF26429</t>
  </si>
  <si>
    <t>L6048F</t>
  </si>
  <si>
    <t>Detroit Diesel fuel/water separator DDE R61709 used on 2017 Cummins ISB emission engine and the new DD5 Detroit Diesel engine.</t>
  </si>
  <si>
    <t>R61709</t>
  </si>
  <si>
    <t>PF46235</t>
  </si>
  <si>
    <t>FS20176</t>
  </si>
  <si>
    <t>038568747310</t>
  </si>
  <si>
    <t>264 cases/ 792 pieces</t>
  </si>
  <si>
    <t>038568747457</t>
  </si>
  <si>
    <t>55 cases/ 330 pieces</t>
  </si>
  <si>
    <t>LP8232</t>
  </si>
  <si>
    <t>Spin-On Oil Filter</t>
  </si>
  <si>
    <t>LFF8011</t>
  </si>
  <si>
    <t>Spin-On Fuel / Water Separator</t>
  </si>
  <si>
    <t>PH1218R</t>
  </si>
  <si>
    <t>LFP2215</t>
  </si>
  <si>
    <t>PH2809</t>
  </si>
  <si>
    <t>LFF15DPS</t>
  </si>
  <si>
    <t>Spin-On Fuel Filter</t>
  </si>
  <si>
    <t>LFF8093</t>
  </si>
  <si>
    <t>LAF6260A</t>
  </si>
  <si>
    <t>HD AIR FILTER</t>
  </si>
  <si>
    <t>Freightliner Cascadia DD13, 15, 16 (2008-20)                               (Same applications as LAF6260)</t>
  </si>
  <si>
    <t>Same Applications as LAF6260</t>
  </si>
  <si>
    <t>P610260</t>
  </si>
  <si>
    <t>CA5790</t>
  </si>
  <si>
    <t>P618478</t>
  </si>
  <si>
    <t>AF56500</t>
  </si>
  <si>
    <t>CA11249</t>
  </si>
  <si>
    <t>038568746108</t>
  </si>
  <si>
    <t>40 cases/ 40 pieces</t>
  </si>
  <si>
    <t>LAF6725A</t>
  </si>
  <si>
    <t>Kenworth T680, T880 and Peterbilt 567 and 579 Trucks                      (Same applications as LAF6725)</t>
  </si>
  <si>
    <t>Same Applications as LAF6725</t>
  </si>
  <si>
    <t>PACCAR</t>
  </si>
  <si>
    <t>PA32000</t>
  </si>
  <si>
    <t>P637453</t>
  </si>
  <si>
    <t>WA11058</t>
  </si>
  <si>
    <t>038568740359</t>
  </si>
  <si>
    <t>10038568740356</t>
  </si>
  <si>
    <t>30 cases/ 30 pieces</t>
  </si>
  <si>
    <t>Remaining Inventory at Albion DS                                            = / &gt; 5 Pcs</t>
  </si>
  <si>
    <t>LAF6730A</t>
  </si>
  <si>
    <t>Kenworth T680, T880 and Peterbilt 567 w/ PACCAR PX9 engine / Peterbilt 567, 579 w/ Cummins ISX12 engine</t>
  </si>
  <si>
    <t>LP6044</t>
  </si>
  <si>
    <t>PACCAR MX-11 Euro 6 Enginer used on DAF.  2013-On DAF trucks w/ PACCAR MX-11 Euro 6 Engine.</t>
  </si>
  <si>
    <t>L20083F</t>
  </si>
  <si>
    <t>Fuel / Water Separator (DAVCO)</t>
  </si>
  <si>
    <t>Davco Fuel Pro 485 and 487 2017 Detroit DD13, DD15, DD16 and Cummins X15 engines. Fits Davco Fuel Pro 485/487.</t>
  </si>
  <si>
    <t>LK390V</t>
  </si>
  <si>
    <t xml:space="preserve"> Kit contents include: 2- LFP3236, 1-LFP8642 &amp; 1-LFF8897.                  Volvo and Mack 2017 emmision engines.</t>
  </si>
  <si>
    <t>P621730</t>
  </si>
  <si>
    <t>A000905051</t>
  </si>
  <si>
    <t>A485007</t>
  </si>
  <si>
    <t>PA32003</t>
  </si>
  <si>
    <t>P637454</t>
  </si>
  <si>
    <t>P40008</t>
  </si>
  <si>
    <t>P580780</t>
  </si>
  <si>
    <t>LF17527</t>
  </si>
  <si>
    <t>PF46145</t>
  </si>
  <si>
    <t>FS20083</t>
  </si>
  <si>
    <t>038568745750</t>
  </si>
  <si>
    <t>50 cases/ 50 pieces</t>
  </si>
  <si>
    <t>038568747761</t>
  </si>
  <si>
    <t>10038568747768</t>
  </si>
  <si>
    <t>36 cases/ 216 pieces</t>
  </si>
  <si>
    <t>038568747815</t>
  </si>
  <si>
    <t>10038568747812</t>
  </si>
  <si>
    <t>28 cases/ 168 pieces</t>
  </si>
  <si>
    <t>038568748027</t>
  </si>
  <si>
    <t>60 cases/ 60 pieces</t>
  </si>
  <si>
    <t>LAF5838</t>
  </si>
  <si>
    <t>LFW2125</t>
  </si>
  <si>
    <t>Spin-On Coolant Filter</t>
  </si>
  <si>
    <t>L4115F</t>
  </si>
  <si>
    <t>LFP2100K</t>
  </si>
  <si>
    <t>Fuel / Water Separator Kit (Includes Base)</t>
  </si>
  <si>
    <t>LAF9104A</t>
  </si>
  <si>
    <r>
      <rPr>
        <b/>
        <u/>
        <sz val="11"/>
        <color theme="1"/>
        <rFont val="Calibri"/>
        <family val="2"/>
        <scheme val="minor"/>
      </rPr>
      <t xml:space="preserve">(SAME APPLICATIONS AS LAF9104) </t>
    </r>
    <r>
      <rPr>
        <sz val="11"/>
        <color theme="1"/>
        <rFont val="Calibri"/>
        <family val="2"/>
        <scheme val="minor"/>
      </rPr>
      <t xml:space="preserve"> - IC BUS-(Buses); AC Series (w/ International Maxxforce 7 Engine), (Buses); AE Series (w/International Maxxforce 7 Engine), (Buses); INTERNATIONAL-(Heavy Duty Trucks); 4300 Durastar (w/Cummins B6.7L engine),</t>
    </r>
  </si>
  <si>
    <t>Same Applications as LAF9104</t>
  </si>
  <si>
    <t>PA32001</t>
  </si>
  <si>
    <t>P623400</t>
  </si>
  <si>
    <t>AF4222</t>
  </si>
  <si>
    <t>WA10804</t>
  </si>
  <si>
    <t>CAF12004</t>
  </si>
  <si>
    <t>John Deere 6230, 6330, 6430, 6420, 7220, 7320, 7420, 7520 Tractors</t>
  </si>
  <si>
    <t>L156225</t>
  </si>
  <si>
    <t>L209778</t>
  </si>
  <si>
    <t>PA30251</t>
  </si>
  <si>
    <t>AF56022</t>
  </si>
  <si>
    <t>WP10444</t>
  </si>
  <si>
    <t>L20081F</t>
  </si>
  <si>
    <t xml:space="preserve">Davco Fuel/Water Seperator  245 series for 2017 engine models:
--Cummins ISB and ISL
--Detroit DD5 and DD8 </t>
  </si>
  <si>
    <t>A0000904851</t>
  </si>
  <si>
    <t>PF46171</t>
  </si>
  <si>
    <t>FS20081</t>
  </si>
  <si>
    <t>50 cases/ 60 pieces</t>
  </si>
  <si>
    <t>038568747662</t>
  </si>
  <si>
    <t>10038568747669</t>
  </si>
  <si>
    <t>120 cases/ 360 pieces</t>
  </si>
  <si>
    <t>038568747822</t>
  </si>
  <si>
    <t>10038568747829</t>
  </si>
  <si>
    <t>52 cases/ 312 pieces</t>
  </si>
  <si>
    <t>2021 NEW PRODUCT INTRODUCTION</t>
  </si>
  <si>
    <t>LAF9955</t>
  </si>
  <si>
    <t>Thermo King - Precedent series refrigeration units</t>
  </si>
  <si>
    <t>Thermo King</t>
  </si>
  <si>
    <t>11-9955</t>
  </si>
  <si>
    <t>038568747341</t>
  </si>
  <si>
    <t>192 cases/ 192 pieces</t>
  </si>
  <si>
    <t>CAF12003</t>
  </si>
  <si>
    <t>Komatsu Series 10 and 11 excavators</t>
  </si>
  <si>
    <t>2A59791551</t>
  </si>
  <si>
    <t>PA30150</t>
  </si>
  <si>
    <t>AF55884</t>
  </si>
  <si>
    <t>038568747570</t>
  </si>
  <si>
    <t>10038568747577</t>
  </si>
  <si>
    <t>180 cases/ 540 pieces</t>
  </si>
  <si>
    <t>L7420F</t>
  </si>
  <si>
    <t>2018 - 2021 International LT625 with A26 engine.</t>
  </si>
  <si>
    <t>404048C1</t>
  </si>
  <si>
    <t>038568747730</t>
  </si>
  <si>
    <t>10038568747737</t>
  </si>
  <si>
    <t>CAF24037</t>
  </si>
  <si>
    <t xml:space="preserve">Mack LRE Trash truck - LR613 with MP7 Engine (To 2017) </t>
  </si>
  <si>
    <t>PA30330</t>
  </si>
  <si>
    <t>WP10433</t>
  </si>
  <si>
    <t>038568747785</t>
  </si>
  <si>
    <t>216 cases/ 648 pieces</t>
  </si>
  <si>
    <t>Spin-On Hydraulic Filter</t>
  </si>
  <si>
    <t>LFF8898</t>
  </si>
  <si>
    <t>Spin-On Fuel Filter (Bowl Style)</t>
  </si>
  <si>
    <t>Volvo D11, D13, D16 2017 emissions engines</t>
  </si>
  <si>
    <t>21764964</t>
  </si>
  <si>
    <t>BF46182-O</t>
  </si>
  <si>
    <t>FS20132</t>
  </si>
  <si>
    <t>038568747907</t>
  </si>
  <si>
    <t>1"-14 UNS</t>
  </si>
  <si>
    <t>78 cases/ 462 pieces</t>
  </si>
  <si>
    <t>L9905FXL</t>
  </si>
  <si>
    <t>Davco Fuel/Water Separator Element.  Davco 382 and 482 ELE-MAX Plus Series (50 Micron)</t>
  </si>
  <si>
    <t>PF46092</t>
  </si>
  <si>
    <t>P550853</t>
  </si>
  <si>
    <t>FS19905</t>
  </si>
  <si>
    <t>038568747778</t>
  </si>
  <si>
    <t>LK391V</t>
  </si>
  <si>
    <t>038568747983</t>
  </si>
  <si>
    <t>48 cases/ 48 pieces</t>
  </si>
  <si>
    <t xml:space="preserve"> Kit contents include: 2- LFP3236, 1-LFP8642,                                                   1-LFF8897 &amp; 1-LFF8898.                                                                                Volvo and Mack 2017 emision engines.</t>
  </si>
  <si>
    <t>LFF1098</t>
  </si>
  <si>
    <t>Spin-On Fuel Filter (Plastic)</t>
  </si>
  <si>
    <t>Cummins Engine - 2017- Newer / Cummins-ISL8.9-Euro 6 / L9 Engine</t>
  </si>
  <si>
    <t>5319680</t>
  </si>
  <si>
    <t>FS1098</t>
  </si>
  <si>
    <t>LK388V</t>
  </si>
  <si>
    <t xml:space="preserve"> Kit contents include: 2- LFP3236, 1-LFP8642,                                     1-LFF8897 &amp; 1-L9765FXL.                                                                                Volvo and Mack 2017 emision engines w/ Davco Housing</t>
  </si>
  <si>
    <t>LFF6912</t>
  </si>
  <si>
    <t>Fuel Filter (Box Type)</t>
  </si>
  <si>
    <t>M.A.N. Trucks / Volvo Excavators (2016-Newer)</t>
  </si>
  <si>
    <t>14514238</t>
  </si>
  <si>
    <t>Deutz</t>
  </si>
  <si>
    <t>01319822</t>
  </si>
  <si>
    <t>BF7912</t>
  </si>
  <si>
    <t>FS19605</t>
  </si>
  <si>
    <t>LP7184</t>
  </si>
  <si>
    <t>Detroit Diesel A4711800009 oil filter kit for 2020 model year Freightliner Cascadia. Kit includes A4721841725 Filter, A0299978845 Seal, N007603027100 Washer. Used on 2019+ DD13, DD15, DD16 engines with new oil coolant module implemented for GHG17 DD Platform Heavy Duty engines starting with Engine Serial Number 472910S0690711.</t>
  </si>
  <si>
    <t>A4711800009</t>
  </si>
  <si>
    <t>A4711800209</t>
  </si>
  <si>
    <t>038568748072</t>
  </si>
  <si>
    <t>B119-4</t>
  </si>
  <si>
    <t>44 cases/ 264 pieces</t>
  </si>
  <si>
    <t>038568749185</t>
  </si>
  <si>
    <t>39 cases/ 39 pieces</t>
  </si>
  <si>
    <t>038568748065</t>
  </si>
  <si>
    <t>240 cases/ 1440 pieces</t>
  </si>
  <si>
    <t>038568748140</t>
  </si>
  <si>
    <t>10038568748147</t>
  </si>
  <si>
    <t>40 cases/ 240 pieces</t>
  </si>
  <si>
    <t>HISTORICAL RECAP DECEMBER 2012 - JULY 2021</t>
  </si>
  <si>
    <t>LAF3730</t>
  </si>
  <si>
    <t>Bypass Filter</t>
  </si>
  <si>
    <t>3698SC</t>
  </si>
  <si>
    <t>LAF937</t>
  </si>
  <si>
    <t>LFF5510-30</t>
  </si>
  <si>
    <t xml:space="preserve">Fuel Filter </t>
  </si>
  <si>
    <t>LFF3343</t>
  </si>
  <si>
    <t xml:space="preserve"> Kit contents include: 2- LFP3236, 1-LFP8642,                                     1-LFF8897 &amp; 1-L9765FXL.                                                                                Volvo and Mack 2017 emission engines w/ Davco Housing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</si>
</sst>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[$-409]mmmm\ d\,\ yyyy;@"/>
    <numFmt numFmtId="167" formatCode="[$-409]d\-mmm\-yy;@"/>
    <numFmt numFmtId="168" formatCode="000000000000"/>
    <numFmt numFmtId="169" formatCode="[$-409]d\-mmm\-yyyy;@"/>
  </numFmts>
  <fonts count="6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u/>
      <sz val="11"/>
      <color theme="2" tint="-0.749961851863155"/>
      <name val="Calibri"/>
      <family val="2"/>
      <scheme val="minor"/>
    </font>
    <font>
      <b/>
      <u/>
      <sz val="11"/>
      <color theme="2" tint="-0.74999237037263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color rgb="FFFF0000"/>
      <name val="Arial"/>
      <family val="2"/>
    </font>
    <font>
      <b/>
      <i/>
      <sz val="11"/>
      <color theme="2" tint="-0.74999237037263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8"/>
      <color theme="5"/>
      <name val="Arial"/>
      <family val="2"/>
    </font>
    <font>
      <i/>
      <sz val="11"/>
      <color theme="1"/>
      <name val="Calibri"/>
      <family val="2"/>
      <scheme val="minor"/>
    </font>
    <font>
      <b/>
      <i/>
      <u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b/>
      <u/>
      <sz val="11"/>
      <color theme="6" tint="-0.499984740745262"/>
      <name val="Calibri"/>
      <family val="2"/>
      <scheme val="minor"/>
    </font>
    <font>
      <sz val="11"/>
      <color rgb="FF000000"/>
      <name val="Calibri"/>
      <family val="2"/>
    </font>
    <font>
      <sz val="10"/>
      <name val="Tahoma"/>
      <family val="2"/>
    </font>
    <font>
      <b/>
      <sz val="16"/>
      <color rgb="FFC00000"/>
      <name val="Arial"/>
      <family val="2"/>
    </font>
    <font>
      <b/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2" tint="-0.749961851863155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333333"/>
      <name val="Calibri"/>
      <family val="2"/>
    </font>
    <font>
      <u/>
      <sz val="11"/>
      <color rgb="FF0070C0"/>
      <name val="Calibri"/>
      <family val="2"/>
      <scheme val="minor"/>
    </font>
    <font>
      <u/>
      <sz val="11"/>
      <color theme="2" tint="-0.74999237037263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color rgb="FF00B05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rgb="FF000000"/>
      <name val="Verdana"/>
      <family val="2"/>
    </font>
    <font>
      <b/>
      <i/>
      <sz val="11"/>
      <color rgb="FF0070C0"/>
      <name val="Calibri"/>
      <family val="2"/>
      <scheme val="minor"/>
    </font>
    <font>
      <sz val="11"/>
      <color rgb="FF302E31"/>
      <name val="Calibri"/>
      <family val="2"/>
      <scheme val="minor"/>
    </font>
    <font>
      <sz val="12"/>
      <color rgb="FF302E31"/>
      <name val="Arial"/>
      <family val="2"/>
    </font>
    <font>
      <sz val="11"/>
      <color theme="1" tint="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EDB3B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6F6F6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5" fillId="0" borderId="0"/>
    <xf numFmtId="0" fontId="15" fillId="0" borderId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16" borderId="0" applyNumberFormat="0" applyBorder="0" applyAlignment="0" applyProtection="0"/>
  </cellStyleXfs>
  <cellXfs count="606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8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8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66" fontId="22" fillId="0" borderId="0" xfId="0" applyNumberFormat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wrapText="1"/>
    </xf>
    <xf numFmtId="0" fontId="16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65" fontId="0" fillId="7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/>
    </xf>
    <xf numFmtId="0" fontId="0" fillId="2" borderId="0" xfId="0" applyNumberForma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wrapText="1"/>
    </xf>
    <xf numFmtId="165" fontId="0" fillId="0" borderId="1" xfId="0" applyNumberFormat="1" applyFont="1" applyFill="1" applyBorder="1" applyAlignment="1">
      <alignment horizontal="center" wrapText="1"/>
    </xf>
    <xf numFmtId="0" fontId="9" fillId="2" borderId="0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12" fillId="2" borderId="8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 wrapText="1"/>
    </xf>
    <xf numFmtId="49" fontId="32" fillId="2" borderId="8" xfId="0" applyNumberFormat="1" applyFont="1" applyFill="1" applyBorder="1" applyAlignment="1">
      <alignment horizontal="center" vertical="center" wrapText="1"/>
    </xf>
    <xf numFmtId="49" fontId="32" fillId="2" borderId="0" xfId="0" applyNumberFormat="1" applyFont="1" applyFill="1" applyBorder="1" applyAlignment="1">
      <alignment horizontal="center" vertical="center" wrapText="1"/>
    </xf>
    <xf numFmtId="49" fontId="32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33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16" fillId="11" borderId="1" xfId="0" quotePrefix="1" applyNumberFormat="1" applyFont="1" applyFill="1" applyBorder="1" applyAlignment="1">
      <alignment horizontal="center" vertical="center" wrapText="1"/>
    </xf>
    <xf numFmtId="2" fontId="16" fillId="0" borderId="1" xfId="0" quotePrefix="1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2" fontId="16" fillId="11" borderId="1" xfId="0" quotePrefix="1" applyNumberFormat="1" applyFont="1" applyFill="1" applyBorder="1" applyAlignment="1">
      <alignment horizontal="center" vertical="center"/>
    </xf>
    <xf numFmtId="2" fontId="16" fillId="0" borderId="1" xfId="0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34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49" fontId="21" fillId="6" borderId="1" xfId="0" applyNumberFormat="1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" fontId="16" fillId="7" borderId="1" xfId="0" quotePrefix="1" applyNumberFormat="1" applyFont="1" applyFill="1" applyBorder="1" applyAlignment="1">
      <alignment horizontal="center" vertical="center" wrapText="1"/>
    </xf>
    <xf numFmtId="49" fontId="0" fillId="0" borderId="1" xfId="0" quotePrefix="1" applyNumberFormat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0" fontId="33" fillId="0" borderId="1" xfId="0" applyFont="1" applyFill="1" applyBorder="1" applyAlignment="1" applyProtection="1">
      <alignment horizontal="center" wrapText="1"/>
    </xf>
    <xf numFmtId="0" fontId="0" fillId="0" borderId="1" xfId="0" applyNumberFormat="1" applyFill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49" fontId="21" fillId="6" borderId="1" xfId="0" applyNumberFormat="1" applyFont="1" applyFill="1" applyBorder="1" applyAlignment="1"/>
    <xf numFmtId="0" fontId="25" fillId="13" borderId="11" xfId="0" applyNumberFormat="1" applyFont="1" applyFill="1" applyBorder="1" applyAlignment="1">
      <alignment horizontal="center" vertical="center"/>
    </xf>
    <xf numFmtId="0" fontId="36" fillId="13" borderId="11" xfId="0" applyNumberFormat="1" applyFont="1" applyFill="1" applyBorder="1" applyAlignment="1">
      <alignment horizontal="center" vertical="center"/>
    </xf>
    <xf numFmtId="0" fontId="37" fillId="13" borderId="11" xfId="0" applyNumberFormat="1" applyFont="1" applyFill="1" applyBorder="1" applyAlignment="1">
      <alignment horizontal="center" vertical="center"/>
    </xf>
    <xf numFmtId="49" fontId="38" fillId="13" borderId="11" xfId="0" applyNumberFormat="1" applyFont="1" applyFill="1" applyBorder="1" applyAlignment="1">
      <alignment horizontal="center" vertical="center" wrapText="1"/>
    </xf>
    <xf numFmtId="0" fontId="39" fillId="13" borderId="11" xfId="0" applyNumberFormat="1" applyFont="1" applyFill="1" applyBorder="1" applyAlignment="1">
      <alignment horizontal="center" vertical="center"/>
    </xf>
    <xf numFmtId="0" fontId="29" fillId="13" borderId="11" xfId="0" applyNumberFormat="1" applyFont="1" applyFill="1" applyBorder="1" applyAlignment="1">
      <alignment horizontal="center" vertical="center"/>
    </xf>
    <xf numFmtId="0" fontId="40" fillId="13" borderId="11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quotePrefix="1" applyFont="1" applyFill="1" applyBorder="1" applyAlignment="1">
      <alignment horizontal="center" vertical="center"/>
    </xf>
    <xf numFmtId="165" fontId="16" fillId="0" borderId="3" xfId="0" applyNumberFormat="1" applyFont="1" applyFill="1" applyBorder="1" applyAlignment="1">
      <alignment horizontal="center" vertical="center"/>
    </xf>
    <xf numFmtId="165" fontId="16" fillId="0" borderId="4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 wrapText="1"/>
    </xf>
    <xf numFmtId="0" fontId="16" fillId="0" borderId="2" xfId="0" quotePrefix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/>
    </xf>
    <xf numFmtId="0" fontId="34" fillId="0" borderId="11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5" fontId="0" fillId="0" borderId="2" xfId="0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11" borderId="1" xfId="0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16" fillId="0" borderId="9" xfId="4" applyNumberFormat="1" applyFont="1" applyFill="1" applyBorder="1" applyAlignment="1">
      <alignment horizontal="left"/>
    </xf>
    <xf numFmtId="164" fontId="0" fillId="0" borderId="9" xfId="0" applyNumberForma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0" fontId="16" fillId="0" borderId="1" xfId="4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2" fontId="0" fillId="0" borderId="1" xfId="0" applyNumberForma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1" fontId="0" fillId="0" borderId="1" xfId="0" applyNumberFormat="1" applyFill="1" applyBorder="1" applyAlignment="1">
      <alignment horizontal="center" vertical="center"/>
    </xf>
    <xf numFmtId="165" fontId="0" fillId="7" borderId="1" xfId="0" applyNumberFormat="1" applyFont="1" applyFill="1" applyBorder="1" applyAlignment="1">
      <alignment horizontal="center" wrapText="1"/>
    </xf>
    <xf numFmtId="2" fontId="0" fillId="0" borderId="1" xfId="0" quotePrefix="1" applyNumberFormat="1" applyFont="1" applyFill="1" applyBorder="1" applyAlignment="1">
      <alignment horizontal="center" wrapText="1"/>
    </xf>
    <xf numFmtId="165" fontId="0" fillId="0" borderId="1" xfId="0" applyNumberFormat="1" applyFon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165" fontId="16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/>
    </xf>
    <xf numFmtId="2" fontId="0" fillId="0" borderId="1" xfId="0" quotePrefix="1" applyNumberForma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/>
    <xf numFmtId="0" fontId="42" fillId="0" borderId="1" xfId="0" applyFont="1" applyBorder="1"/>
    <xf numFmtId="0" fontId="42" fillId="0" borderId="1" xfId="0" applyFont="1" applyBorder="1" applyAlignment="1">
      <alignment horizontal="center"/>
    </xf>
    <xf numFmtId="0" fontId="0" fillId="0" borderId="1" xfId="0" quotePrefix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 wrapText="1"/>
    </xf>
    <xf numFmtId="0" fontId="0" fillId="0" borderId="2" xfId="0" quotePrefix="1" applyFill="1" applyBorder="1" applyAlignment="1">
      <alignment horizontal="center"/>
    </xf>
    <xf numFmtId="0" fontId="42" fillId="0" borderId="1" xfId="0" applyFont="1" applyFill="1" applyBorder="1" applyAlignment="1" applyProtection="1">
      <alignment horizontal="center" wrapText="1"/>
    </xf>
    <xf numFmtId="164" fontId="0" fillId="0" borderId="1" xfId="0" applyNumberFormat="1" applyFont="1" applyBorder="1" applyAlignment="1">
      <alignment horizontal="center"/>
    </xf>
    <xf numFmtId="49" fontId="43" fillId="0" borderId="1" xfId="0" applyNumberFormat="1" applyFont="1" applyBorder="1" applyAlignment="1">
      <alignment horizontal="center"/>
    </xf>
    <xf numFmtId="1" fontId="43" fillId="0" borderId="1" xfId="0" applyNumberFormat="1" applyFont="1" applyBorder="1" applyAlignment="1">
      <alignment horizontal="center"/>
    </xf>
    <xf numFmtId="165" fontId="0" fillId="11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165" fontId="0" fillId="0" borderId="3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5" fontId="0" fillId="11" borderId="2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65" fontId="0" fillId="0" borderId="3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44" fillId="0" borderId="1" xfId="0" applyNumberFormat="1" applyFont="1" applyBorder="1" applyAlignment="1">
      <alignment horizontal="center" vertical="center"/>
    </xf>
    <xf numFmtId="1" fontId="44" fillId="0" borderId="1" xfId="0" applyNumberFormat="1" applyFont="1" applyBorder="1" applyAlignment="1">
      <alignment horizontal="center" vertical="center"/>
    </xf>
    <xf numFmtId="165" fontId="0" fillId="11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2" fillId="0" borderId="12" xfId="0" applyFont="1" applyFill="1" applyBorder="1" applyAlignment="1" applyProtection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45" fillId="0" borderId="12" xfId="0" applyNumberFormat="1" applyFont="1" applyFill="1" applyBorder="1" applyAlignment="1">
      <alignment horizontal="center"/>
    </xf>
    <xf numFmtId="0" fontId="16" fillId="0" borderId="12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164" fontId="0" fillId="0" borderId="12" xfId="0" applyNumberFormat="1" applyFon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/>
    </xf>
    <xf numFmtId="1" fontId="43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 wrapText="1"/>
    </xf>
    <xf numFmtId="165" fontId="0" fillId="7" borderId="12" xfId="0" applyNumberFormat="1" applyFont="1" applyFill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 wrapText="1"/>
    </xf>
    <xf numFmtId="165" fontId="0" fillId="11" borderId="12" xfId="0" applyNumberFormat="1" applyFont="1" applyFill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2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5" fillId="0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49" fontId="43" fillId="0" borderId="1" xfId="0" applyNumberFormat="1" applyFont="1" applyBorder="1" applyAlignment="1">
      <alignment horizontal="center" vertical="center"/>
    </xf>
    <xf numFmtId="1" fontId="43" fillId="0" borderId="1" xfId="0" applyNumberFormat="1" applyFont="1" applyBorder="1" applyAlignment="1">
      <alignment horizontal="center" vertical="center"/>
    </xf>
    <xf numFmtId="165" fontId="0" fillId="11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168" fontId="47" fillId="0" borderId="1" xfId="2" applyNumberFormat="1" applyFont="1" applyBorder="1" applyAlignment="1">
      <alignment horizontal="center" vertical="center"/>
    </xf>
    <xf numFmtId="1" fontId="47" fillId="0" borderId="1" xfId="2" applyNumberFormat="1" applyFont="1" applyBorder="1" applyAlignment="1">
      <alignment horizontal="center" vertical="center"/>
    </xf>
    <xf numFmtId="0" fontId="48" fillId="0" borderId="1" xfId="0" applyNumberFormat="1" applyFont="1" applyFill="1" applyBorder="1" applyAlignment="1">
      <alignment horizontal="center"/>
    </xf>
    <xf numFmtId="0" fontId="2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8" fontId="0" fillId="0" borderId="1" xfId="0" applyNumberFormat="1" applyFont="1" applyFill="1" applyBorder="1" applyAlignment="1">
      <alignment horizontal="center" vertical="center" wrapText="1"/>
    </xf>
    <xf numFmtId="164" fontId="24" fillId="0" borderId="1" xfId="4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45" fillId="0" borderId="1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49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 wrapText="1"/>
    </xf>
    <xf numFmtId="0" fontId="24" fillId="0" borderId="1" xfId="1" applyFont="1" applyBorder="1" applyAlignment="1">
      <alignment horizontal="center" wrapText="1"/>
    </xf>
    <xf numFmtId="165" fontId="16" fillId="0" borderId="1" xfId="0" applyNumberFormat="1" applyFont="1" applyBorder="1" applyAlignment="1">
      <alignment horizontal="center" wrapText="1"/>
    </xf>
    <xf numFmtId="1" fontId="50" fillId="0" borderId="1" xfId="0" applyNumberFormat="1" applyFont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 wrapText="1"/>
    </xf>
    <xf numFmtId="0" fontId="24" fillId="0" borderId="1" xfId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" fontId="50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" fontId="5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wrapText="1"/>
    </xf>
    <xf numFmtId="0" fontId="16" fillId="0" borderId="1" xfId="0" applyNumberFormat="1" applyFont="1" applyBorder="1" applyAlignment="1">
      <alignment horizontal="center" wrapText="1"/>
    </xf>
    <xf numFmtId="0" fontId="0" fillId="0" borderId="1" xfId="0" quotePrefix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2" fontId="0" fillId="7" borderId="1" xfId="0" applyNumberFormat="1" applyFont="1" applyFill="1" applyBorder="1" applyAlignment="1">
      <alignment horizontal="center" wrapText="1"/>
    </xf>
    <xf numFmtId="2" fontId="16" fillId="11" borderId="1" xfId="0" quotePrefix="1" applyNumberFormat="1" applyFont="1" applyFill="1" applyBorder="1" applyAlignment="1">
      <alignment horizontal="center" wrapText="1"/>
    </xf>
    <xf numFmtId="165" fontId="16" fillId="11" borderId="1" xfId="0" quotePrefix="1" applyNumberFormat="1" applyFont="1" applyFill="1" applyBorder="1" applyAlignment="1">
      <alignment horizontal="center" wrapText="1"/>
    </xf>
    <xf numFmtId="165" fontId="16" fillId="11" borderId="1" xfId="0" applyNumberFormat="1" applyFont="1" applyFill="1" applyBorder="1" applyAlignment="1">
      <alignment horizontal="center" wrapText="1"/>
    </xf>
    <xf numFmtId="165" fontId="16" fillId="11" borderId="1" xfId="0" applyNumberFormat="1" applyFont="1" applyFill="1" applyBorder="1" applyAlignment="1">
      <alignment horizontal="center"/>
    </xf>
    <xf numFmtId="0" fontId="16" fillId="11" borderId="1" xfId="0" quotePrefix="1" applyFont="1" applyFill="1" applyBorder="1" applyAlignment="1">
      <alignment horizontal="center"/>
    </xf>
    <xf numFmtId="1" fontId="16" fillId="11" borderId="1" xfId="0" applyNumberFormat="1" applyFont="1" applyFill="1" applyBorder="1" applyAlignment="1">
      <alignment horizontal="center" wrapText="1"/>
    </xf>
    <xf numFmtId="2" fontId="0" fillId="7" borderId="1" xfId="0" applyNumberFormat="1" applyFill="1" applyBorder="1" applyAlignment="1">
      <alignment horizontal="center" wrapText="1"/>
    </xf>
    <xf numFmtId="2" fontId="16" fillId="11" borderId="1" xfId="0" quotePrefix="1" applyNumberFormat="1" applyFont="1" applyFill="1" applyBorder="1" applyAlignment="1">
      <alignment horizontal="center"/>
    </xf>
    <xf numFmtId="165" fontId="16" fillId="11" borderId="1" xfId="0" applyNumberFormat="1" applyFont="1" applyFill="1" applyBorder="1" applyAlignment="1">
      <alignment horizontal="center" vertical="center"/>
    </xf>
    <xf numFmtId="165" fontId="16" fillId="11" borderId="1" xfId="0" applyNumberFormat="1" applyFont="1" applyFill="1" applyBorder="1" applyAlignment="1">
      <alignment horizontal="center" vertical="center" wrapText="1"/>
    </xf>
    <xf numFmtId="1" fontId="16" fillId="11" borderId="1" xfId="0" applyNumberFormat="1" applyFont="1" applyFill="1" applyBorder="1" applyAlignment="1">
      <alignment horizontal="center" vertical="center" wrapText="1"/>
    </xf>
    <xf numFmtId="165" fontId="16" fillId="11" borderId="1" xfId="0" quotePrefix="1" applyNumberFormat="1" applyFont="1" applyFill="1" applyBorder="1" applyAlignment="1">
      <alignment horizontal="center" vertical="center" wrapText="1"/>
    </xf>
    <xf numFmtId="0" fontId="16" fillId="11" borderId="1" xfId="0" quotePrefix="1" applyFont="1" applyFill="1" applyBorder="1" applyAlignment="1">
      <alignment horizontal="center" vertical="center"/>
    </xf>
    <xf numFmtId="164" fontId="0" fillId="0" borderId="1" xfId="4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4" fontId="53" fillId="0" borderId="1" xfId="0" applyNumberFormat="1" applyFont="1" applyBorder="1" applyAlignment="1">
      <alignment horizontal="center"/>
    </xf>
    <xf numFmtId="0" fontId="54" fillId="0" borderId="1" xfId="0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5" fontId="0" fillId="0" borderId="2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31" fillId="13" borderId="1" xfId="0" applyNumberFormat="1" applyFont="1" applyFill="1" applyBorder="1" applyAlignment="1">
      <alignment horizontal="center" vertical="center" wrapText="1"/>
    </xf>
    <xf numFmtId="0" fontId="31" fillId="0" borderId="5" xfId="0" applyNumberFormat="1" applyFont="1" applyFill="1" applyBorder="1" applyAlignment="1">
      <alignment horizontal="center" vertical="center"/>
    </xf>
    <xf numFmtId="0" fontId="31" fillId="0" borderId="6" xfId="0" applyNumberFormat="1" applyFont="1" applyFill="1" applyBorder="1" applyAlignment="1">
      <alignment horizontal="center" vertical="center"/>
    </xf>
    <xf numFmtId="0" fontId="31" fillId="0" borderId="7" xfId="0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/>
    </xf>
    <xf numFmtId="164" fontId="0" fillId="0" borderId="1" xfId="4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7" fontId="0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/>
    </xf>
    <xf numFmtId="2" fontId="0" fillId="0" borderId="1" xfId="0" quotePrefix="1" applyNumberFormat="1" applyFill="1" applyBorder="1" applyAlignment="1">
      <alignment horizontal="center" vertical="center" wrapText="1"/>
    </xf>
    <xf numFmtId="2" fontId="0" fillId="0" borderId="1" xfId="0" quotePrefix="1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0" fillId="7" borderId="1" xfId="0" quotePrefix="1" applyNumberForma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42" fillId="15" borderId="1" xfId="0" applyFont="1" applyFill="1" applyBorder="1" applyAlignment="1" applyProtection="1">
      <alignment horizontal="center" vertical="center" wrapText="1"/>
    </xf>
    <xf numFmtId="0" fontId="16" fillId="14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165" fontId="24" fillId="11" borderId="1" xfId="5" applyNumberForma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quotePrefix="1" applyNumberFormat="1" applyFill="1" applyBorder="1" applyAlignment="1">
      <alignment horizontal="center" vertical="center"/>
    </xf>
    <xf numFmtId="0" fontId="0" fillId="0" borderId="1" xfId="0" quotePrefix="1" applyNumberFormat="1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 applyProtection="1">
      <alignment horizontal="center" vertical="center" wrapText="1"/>
    </xf>
    <xf numFmtId="1" fontId="0" fillId="0" borderId="1" xfId="0" quotePrefix="1" applyNumberFormat="1" applyFill="1" applyBorder="1" applyAlignment="1">
      <alignment horizontal="center" vertical="center"/>
    </xf>
    <xf numFmtId="8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56" fillId="0" borderId="1" xfId="0" applyFont="1" applyBorder="1" applyAlignment="1">
      <alignment horizontal="center"/>
    </xf>
    <xf numFmtId="3" fontId="24" fillId="0" borderId="1" xfId="3" applyNumberFormat="1" applyFont="1" applyBorder="1" applyAlignment="1">
      <alignment horizontal="center"/>
    </xf>
    <xf numFmtId="1" fontId="0" fillId="0" borderId="1" xfId="0" quotePrefix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2" xfId="0" applyNumberForma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/>
    </xf>
    <xf numFmtId="0" fontId="0" fillId="0" borderId="12" xfId="0" quotePrefix="1" applyNumberFormat="1" applyFill="1" applyBorder="1" applyAlignment="1">
      <alignment horizontal="center" vertical="center"/>
    </xf>
    <xf numFmtId="1" fontId="0" fillId="0" borderId="12" xfId="0" quotePrefix="1" applyNumberFormat="1" applyFont="1" applyFill="1" applyBorder="1" applyAlignment="1">
      <alignment horizontal="center" vertical="center"/>
    </xf>
    <xf numFmtId="2" fontId="0" fillId="7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/>
    </xf>
    <xf numFmtId="2" fontId="0" fillId="7" borderId="12" xfId="0" quotePrefix="1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3" fontId="0" fillId="0" borderId="1" xfId="3" applyNumberFormat="1" applyFont="1" applyBorder="1" applyAlignment="1">
      <alignment horizontal="center"/>
    </xf>
    <xf numFmtId="165" fontId="0" fillId="13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/>
    </xf>
    <xf numFmtId="169" fontId="0" fillId="0" borderId="1" xfId="0" applyNumberFormat="1" applyFont="1" applyBorder="1" applyAlignment="1">
      <alignment horizontal="center" vertical="center"/>
    </xf>
    <xf numFmtId="0" fontId="0" fillId="0" borderId="1" xfId="0" quotePrefix="1" applyNumberFormat="1" applyFill="1" applyBorder="1" applyAlignment="1">
      <alignment horizontal="center"/>
    </xf>
    <xf numFmtId="1" fontId="0" fillId="0" borderId="1" xfId="0" quotePrefix="1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7" borderId="1" xfId="0" quotePrefix="1" applyNumberForma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1" fontId="0" fillId="0" borderId="1" xfId="0" quotePrefix="1" applyNumberFormat="1" applyFill="1" applyBorder="1" applyAlignment="1">
      <alignment horizontal="center"/>
    </xf>
    <xf numFmtId="165" fontId="0" fillId="1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1" fillId="2" borderId="1" xfId="0" applyNumberFormat="1" applyFont="1" applyFill="1" applyBorder="1" applyAlignment="1">
      <alignment horizontal="center" vertical="center" wrapText="1"/>
    </xf>
    <xf numFmtId="164" fontId="0" fillId="0" borderId="1" xfId="3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6" fillId="0" borderId="1" xfId="0" applyFont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/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49" fontId="44" fillId="0" borderId="1" xfId="0" quotePrefix="1" applyNumberFormat="1" applyFont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7" fillId="2" borderId="6" xfId="0" applyNumberFormat="1" applyFont="1" applyFill="1" applyBorder="1" applyAlignment="1">
      <alignment horizontal="center" vertical="center" textRotation="60"/>
    </xf>
    <xf numFmtId="165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4" fontId="24" fillId="0" borderId="1" xfId="3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0" fontId="56" fillId="0" borderId="3" xfId="0" applyFont="1" applyBorder="1" applyAlignment="1">
      <alignment horizontal="center"/>
    </xf>
    <xf numFmtId="0" fontId="56" fillId="0" borderId="2" xfId="0" applyFont="1" applyBorder="1" applyAlignment="1">
      <alignment horizontal="center" wrapText="1"/>
    </xf>
    <xf numFmtId="49" fontId="44" fillId="0" borderId="1" xfId="0" quotePrefix="1" applyNumberFormat="1" applyFont="1" applyBorder="1" applyAlignment="1">
      <alignment horizontal="center"/>
    </xf>
    <xf numFmtId="1" fontId="44" fillId="0" borderId="1" xfId="0" applyNumberFormat="1" applyFont="1" applyBorder="1" applyAlignment="1">
      <alignment horizontal="center"/>
    </xf>
    <xf numFmtId="165" fontId="0" fillId="11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56" fillId="0" borderId="3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56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 wrapText="1"/>
    </xf>
    <xf numFmtId="3" fontId="56" fillId="0" borderId="1" xfId="0" applyNumberFormat="1" applyFont="1" applyBorder="1" applyAlignment="1">
      <alignment horizontal="center" wrapText="1"/>
    </xf>
    <xf numFmtId="0" fontId="30" fillId="12" borderId="3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 wrapText="1"/>
    </xf>
    <xf numFmtId="0" fontId="6" fillId="2" borderId="8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16" fillId="0" borderId="1" xfId="0" applyFont="1" applyBorder="1" applyAlignment="1">
      <alignment horizontal="left"/>
    </xf>
    <xf numFmtId="0" fontId="0" fillId="0" borderId="1" xfId="0" applyFont="1" applyFill="1" applyBorder="1"/>
    <xf numFmtId="0" fontId="0" fillId="0" borderId="0" xfId="0" applyFont="1" applyFill="1" applyBorder="1"/>
    <xf numFmtId="0" fontId="0" fillId="0" borderId="1" xfId="0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center"/>
    </xf>
    <xf numFmtId="0" fontId="58" fillId="0" borderId="1" xfId="0" applyFont="1" applyBorder="1" applyAlignment="1">
      <alignment horizontal="center"/>
    </xf>
    <xf numFmtId="0" fontId="33" fillId="0" borderId="1" xfId="0" applyFont="1" applyFill="1" applyBorder="1" applyAlignment="1" applyProtection="1">
      <alignment horizontal="left" vertical="center" wrapText="1"/>
    </xf>
    <xf numFmtId="0" fontId="0" fillId="0" borderId="3" xfId="0" applyNumberFormat="1" applyFill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0" fontId="58" fillId="17" borderId="1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 applyProtection="1">
      <alignment horizontal="center" wrapText="1"/>
    </xf>
    <xf numFmtId="0" fontId="33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/>
    </xf>
    <xf numFmtId="0" fontId="0" fillId="0" borderId="1" xfId="0" applyNumberFormat="1" applyFill="1" applyBorder="1" applyAlignment="1">
      <alignment horizontal="left" vertical="center"/>
    </xf>
    <xf numFmtId="169" fontId="0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/>
    </xf>
    <xf numFmtId="0" fontId="33" fillId="0" borderId="0" xfId="0" applyFont="1" applyFill="1" applyBorder="1" applyAlignment="1" applyProtection="1">
      <alignment horizontal="center" vertical="center" wrapText="1"/>
    </xf>
    <xf numFmtId="167" fontId="0" fillId="0" borderId="0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59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55" fillId="18" borderId="1" xfId="0" applyNumberFormat="1" applyFont="1" applyFill="1" applyBorder="1" applyAlignment="1">
      <alignment horizontal="center"/>
    </xf>
    <xf numFmtId="49" fontId="0" fillId="0" borderId="1" xfId="0" applyNumberFormat="1" applyBorder="1"/>
    <xf numFmtId="0" fontId="0" fillId="0" borderId="3" xfId="0" applyFont="1" applyBorder="1" applyAlignment="1">
      <alignment horizontal="center"/>
    </xf>
    <xf numFmtId="0" fontId="0" fillId="0" borderId="1" xfId="0" applyNumberFormat="1" applyFill="1" applyBorder="1"/>
    <xf numFmtId="49" fontId="0" fillId="0" borderId="1" xfId="0" applyNumberFormat="1" applyFill="1" applyBorder="1" applyAlignment="1"/>
    <xf numFmtId="0" fontId="0" fillId="0" borderId="1" xfId="0" applyNumberFormat="1" applyFont="1" applyFill="1" applyBorder="1" applyAlignment="1">
      <alignment vertical="center"/>
    </xf>
    <xf numFmtId="169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4" fillId="0" borderId="1" xfId="3" applyNumberFormat="1" applyFont="1" applyBorder="1" applyAlignment="1">
      <alignment horizontal="center" wrapText="1"/>
    </xf>
    <xf numFmtId="164" fontId="0" fillId="0" borderId="1" xfId="0" applyNumberFormat="1" applyFill="1" applyBorder="1" applyAlignment="1">
      <alignment horizontal="center" vertical="center"/>
    </xf>
    <xf numFmtId="164" fontId="60" fillId="18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6" fillId="0" borderId="0" xfId="0" applyFont="1" applyBorder="1" applyAlignment="1">
      <alignment horizontal="center" wrapText="1"/>
    </xf>
    <xf numFmtId="0" fontId="16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49" fontId="44" fillId="0" borderId="0" xfId="0" quotePrefix="1" applyNumberFormat="1" applyFont="1" applyBorder="1" applyAlignment="1">
      <alignment horizontal="center"/>
    </xf>
    <xf numFmtId="1" fontId="44" fillId="0" borderId="0" xfId="0" applyNumberFormat="1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0" fillId="11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3" applyNumberFormat="1" applyFont="1" applyBorder="1" applyAlignment="1">
      <alignment horizontal="center" wrapText="1"/>
    </xf>
    <xf numFmtId="1" fontId="44" fillId="0" borderId="1" xfId="0" quotePrefix="1" applyNumberFormat="1" applyFont="1" applyBorder="1" applyAlignment="1">
      <alignment horizontal="center"/>
    </xf>
    <xf numFmtId="0" fontId="0" fillId="0" borderId="1" xfId="0" applyNumberFormat="1" applyFont="1" applyBorder="1" applyAlignment="1"/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0" xfId="0" applyNumberFormat="1" applyFont="1" applyBorder="1" applyAlignment="1"/>
    <xf numFmtId="0" fontId="6" fillId="0" borderId="0" xfId="0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1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/>
    </xf>
    <xf numFmtId="0" fontId="61" fillId="0" borderId="1" xfId="0" applyFont="1" applyBorder="1" applyAlignment="1">
      <alignment horizontal="center" vertical="center" wrapText="1"/>
    </xf>
    <xf numFmtId="169" fontId="0" fillId="0" borderId="1" xfId="0" applyNumberFormat="1" applyBorder="1" applyAlignment="1">
      <alignment horizontal="center"/>
    </xf>
    <xf numFmtId="0" fontId="24" fillId="0" borderId="1" xfId="3" applyNumberFormat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165" fontId="16" fillId="18" borderId="1" xfId="0" applyNumberFormat="1" applyFont="1" applyFill="1" applyBorder="1" applyAlignment="1">
      <alignment horizontal="center" wrapText="1"/>
    </xf>
    <xf numFmtId="164" fontId="16" fillId="18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 wrapText="1"/>
    </xf>
    <xf numFmtId="165" fontId="0" fillId="18" borderId="1" xfId="0" applyNumberForma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64" fontId="24" fillId="0" borderId="1" xfId="3" applyNumberFormat="1" applyBorder="1" applyAlignment="1">
      <alignment horizontal="center"/>
    </xf>
    <xf numFmtId="0" fontId="0" fillId="0" borderId="0" xfId="0" applyAlignment="1">
      <alignment horizontal="center"/>
    </xf>
    <xf numFmtId="0" fontId="24" fillId="0" borderId="1" xfId="3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165" fontId="16" fillId="0" borderId="2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0" fillId="0" borderId="3" xfId="0" applyNumberFormat="1" applyFont="1" applyBorder="1" applyAlignment="1"/>
    <xf numFmtId="0" fontId="58" fillId="0" borderId="3" xfId="0" applyFont="1" applyBorder="1" applyAlignment="1"/>
    <xf numFmtId="0" fontId="0" fillId="0" borderId="0" xfId="0" applyBorder="1" applyAlignment="1">
      <alignment horizontal="left"/>
    </xf>
    <xf numFmtId="0" fontId="58" fillId="0" borderId="0" xfId="0" applyFont="1" applyBorder="1" applyAlignment="1"/>
    <xf numFmtId="169" fontId="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/>
    <xf numFmtId="169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6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3" fontId="56" fillId="0" borderId="1" xfId="0" applyNumberFormat="1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62" fillId="0" borderId="1" xfId="0" quotePrefix="1" applyNumberFormat="1" applyFont="1" applyBorder="1" applyAlignment="1">
      <alignment horizontal="center"/>
    </xf>
    <xf numFmtId="1" fontId="62" fillId="0" borderId="1" xfId="0" applyNumberFormat="1" applyFont="1" applyBorder="1" applyAlignment="1">
      <alignment horizontal="center"/>
    </xf>
    <xf numFmtId="165" fontId="16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165" fontId="16" fillId="0" borderId="2" xfId="0" applyNumberFormat="1" applyFont="1" applyFill="1" applyBorder="1" applyAlignment="1">
      <alignment horizontal="center" wrapText="1"/>
    </xf>
    <xf numFmtId="169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6" fillId="0" borderId="3" xfId="0" applyFont="1" applyFill="1" applyBorder="1" applyAlignment="1">
      <alignment horizontal="center" vertical="center"/>
    </xf>
    <xf numFmtId="3" fontId="56" fillId="0" borderId="1" xfId="0" applyNumberFormat="1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 wrapText="1"/>
    </xf>
    <xf numFmtId="49" fontId="62" fillId="0" borderId="1" xfId="0" quotePrefix="1" applyNumberFormat="1" applyFont="1" applyFill="1" applyBorder="1" applyAlignment="1">
      <alignment horizontal="center"/>
    </xf>
    <xf numFmtId="1" fontId="62" fillId="0" borderId="1" xfId="0" applyNumberFormat="1" applyFont="1" applyFill="1" applyBorder="1" applyAlignment="1">
      <alignment horizontal="center"/>
    </xf>
    <xf numFmtId="49" fontId="44" fillId="0" borderId="1" xfId="0" quotePrefix="1" applyNumberFormat="1" applyFont="1" applyFill="1" applyBorder="1" applyAlignment="1">
      <alignment horizontal="center"/>
    </xf>
    <xf numFmtId="1" fontId="44" fillId="0" borderId="1" xfId="0" quotePrefix="1" applyNumberFormat="1" applyFont="1" applyFill="1" applyBorder="1" applyAlignment="1">
      <alignment horizontal="center"/>
    </xf>
    <xf numFmtId="0" fontId="56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/>
    </xf>
    <xf numFmtId="164" fontId="24" fillId="0" borderId="1" xfId="3" applyNumberFormat="1" applyFont="1" applyFill="1" applyBorder="1" applyAlignment="1">
      <alignment horizontal="center"/>
    </xf>
    <xf numFmtId="1" fontId="62" fillId="0" borderId="1" xfId="0" quotePrefix="1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20" fillId="4" borderId="3" xfId="0" applyNumberFormat="1" applyFont="1" applyFill="1" applyBorder="1" applyAlignment="1">
      <alignment horizontal="left" vertical="center" wrapText="1"/>
    </xf>
    <xf numFmtId="1" fontId="20" fillId="4" borderId="4" xfId="0" applyNumberFormat="1" applyFont="1" applyFill="1" applyBorder="1" applyAlignment="1">
      <alignment horizontal="left" vertical="center" wrapText="1"/>
    </xf>
    <xf numFmtId="1" fontId="20" fillId="4" borderId="2" xfId="0" applyNumberFormat="1" applyFont="1" applyFill="1" applyBorder="1" applyAlignment="1">
      <alignment horizontal="left" vertical="center" wrapText="1"/>
    </xf>
    <xf numFmtId="165" fontId="18" fillId="4" borderId="3" xfId="0" applyNumberFormat="1" applyFont="1" applyFill="1" applyBorder="1" applyAlignment="1">
      <alignment horizontal="left" vertical="center" wrapText="1"/>
    </xf>
    <xf numFmtId="165" fontId="18" fillId="4" borderId="4" xfId="0" applyNumberFormat="1" applyFont="1" applyFill="1" applyBorder="1" applyAlignment="1">
      <alignment horizontal="left" vertical="center" wrapText="1"/>
    </xf>
    <xf numFmtId="165" fontId="18" fillId="4" borderId="2" xfId="0" applyNumberFormat="1" applyFont="1" applyFill="1" applyBorder="1" applyAlignment="1">
      <alignment horizontal="left" vertical="center" wrapText="1"/>
    </xf>
    <xf numFmtId="165" fontId="19" fillId="5" borderId="3" xfId="0" applyNumberFormat="1" applyFont="1" applyFill="1" applyBorder="1" applyAlignment="1">
      <alignment horizontal="left" vertical="center" wrapText="1"/>
    </xf>
    <xf numFmtId="165" fontId="19" fillId="5" borderId="4" xfId="0" applyNumberFormat="1" applyFont="1" applyFill="1" applyBorder="1" applyAlignment="1">
      <alignment horizontal="left" vertical="center" wrapText="1"/>
    </xf>
    <xf numFmtId="165" fontId="19" fillId="5" borderId="2" xfId="0" applyNumberFormat="1" applyFont="1" applyFill="1" applyBorder="1" applyAlignment="1">
      <alignment horizontal="left" vertical="center" wrapText="1"/>
    </xf>
    <xf numFmtId="0" fontId="30" fillId="12" borderId="1" xfId="0" applyNumberFormat="1" applyFont="1" applyFill="1" applyBorder="1" applyAlignment="1">
      <alignment horizontal="center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4" xfId="0" applyNumberFormat="1" applyFont="1" applyFill="1" applyBorder="1" applyAlignment="1">
      <alignment horizontal="left" vertical="center"/>
    </xf>
    <xf numFmtId="0" fontId="5" fillId="9" borderId="3" xfId="0" applyNumberFormat="1" applyFont="1" applyFill="1" applyBorder="1" applyAlignment="1">
      <alignment horizontal="left" vertical="center"/>
    </xf>
    <xf numFmtId="0" fontId="5" fillId="9" borderId="4" xfId="0" applyNumberFormat="1" applyFont="1" applyFill="1" applyBorder="1" applyAlignment="1">
      <alignment horizontal="left" vertical="center"/>
    </xf>
    <xf numFmtId="0" fontId="5" fillId="9" borderId="2" xfId="0" applyNumberFormat="1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vertical="center" wrapText="1"/>
    </xf>
    <xf numFmtId="49" fontId="23" fillId="10" borderId="1" xfId="0" applyNumberFormat="1" applyFont="1" applyFill="1" applyBorder="1" applyAlignment="1">
      <alignment horizontal="left" vertical="center" wrapText="1"/>
    </xf>
    <xf numFmtId="165" fontId="0" fillId="0" borderId="3" xfId="0" applyNumberForma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wrapText="1"/>
    </xf>
    <xf numFmtId="165" fontId="0" fillId="0" borderId="4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 wrapText="1"/>
    </xf>
    <xf numFmtId="165" fontId="18" fillId="4" borderId="1" xfId="0" applyNumberFormat="1" applyFont="1" applyFill="1" applyBorder="1" applyAlignment="1">
      <alignment horizontal="left" vertical="center" wrapText="1"/>
    </xf>
    <xf numFmtId="165" fontId="19" fillId="5" borderId="1" xfId="0" applyNumberFormat="1" applyFont="1" applyFill="1" applyBorder="1" applyAlignment="1">
      <alignment horizontal="left" vertical="center" wrapText="1"/>
    </xf>
    <xf numFmtId="165" fontId="16" fillId="11" borderId="3" xfId="0" quotePrefix="1" applyNumberFormat="1" applyFont="1" applyFill="1" applyBorder="1" applyAlignment="1">
      <alignment horizontal="center" vertical="center" wrapText="1"/>
    </xf>
    <xf numFmtId="165" fontId="16" fillId="11" borderId="4" xfId="0" quotePrefix="1" applyNumberFormat="1" applyFont="1" applyFill="1" applyBorder="1" applyAlignment="1">
      <alignment horizontal="center" vertical="center" wrapText="1"/>
    </xf>
    <xf numFmtId="165" fontId="16" fillId="11" borderId="2" xfId="0" quotePrefix="1" applyNumberFormat="1" applyFont="1" applyFill="1" applyBorder="1" applyAlignment="1">
      <alignment horizontal="center" vertical="center" wrapText="1"/>
    </xf>
    <xf numFmtId="165" fontId="0" fillId="0" borderId="3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165" fontId="55" fillId="0" borderId="3" xfId="0" applyNumberFormat="1" applyFont="1" applyFill="1" applyBorder="1" applyAlignment="1">
      <alignment horizontal="center" vertical="center"/>
    </xf>
    <xf numFmtId="165" fontId="55" fillId="0" borderId="4" xfId="0" applyNumberFormat="1" applyFont="1" applyFill="1" applyBorder="1" applyAlignment="1">
      <alignment horizontal="center" vertical="center"/>
    </xf>
    <xf numFmtId="165" fontId="55" fillId="0" borderId="2" xfId="0" applyNumberFormat="1" applyFont="1" applyFill="1" applyBorder="1" applyAlignment="1">
      <alignment horizontal="center" vertical="center"/>
    </xf>
    <xf numFmtId="0" fontId="5" fillId="9" borderId="1" xfId="0" applyNumberFormat="1" applyFont="1" applyFill="1" applyBorder="1" applyAlignment="1">
      <alignment horizontal="left" vertical="center"/>
    </xf>
    <xf numFmtId="49" fontId="7" fillId="3" borderId="3" xfId="0" applyNumberFormat="1" applyFont="1" applyFill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horizontal="left" vertical="center" wrapText="1"/>
    </xf>
    <xf numFmtId="49" fontId="23" fillId="10" borderId="3" xfId="0" applyNumberFormat="1" applyFont="1" applyFill="1" applyBorder="1" applyAlignment="1">
      <alignment horizontal="left" vertical="center" wrapText="1"/>
    </xf>
    <xf numFmtId="49" fontId="23" fillId="10" borderId="4" xfId="0" applyNumberFormat="1" applyFont="1" applyFill="1" applyBorder="1" applyAlignment="1">
      <alignment horizontal="left" vertical="center" wrapText="1"/>
    </xf>
    <xf numFmtId="49" fontId="23" fillId="10" borderId="2" xfId="0" applyNumberFormat="1" applyFont="1" applyFill="1" applyBorder="1" applyAlignment="1">
      <alignment horizontal="left" vertical="center" wrapText="1"/>
    </xf>
    <xf numFmtId="0" fontId="55" fillId="0" borderId="3" xfId="0" applyNumberFormat="1" applyFont="1" applyFill="1" applyBorder="1" applyAlignment="1">
      <alignment horizontal="center"/>
    </xf>
    <xf numFmtId="0" fontId="55" fillId="0" borderId="4" xfId="0" applyNumberFormat="1" applyFont="1" applyFill="1" applyBorder="1" applyAlignment="1">
      <alignment horizontal="center"/>
    </xf>
    <xf numFmtId="0" fontId="55" fillId="0" borderId="2" xfId="0" applyNumberFormat="1" applyFont="1" applyFill="1" applyBorder="1" applyAlignment="1">
      <alignment horizontal="center"/>
    </xf>
    <xf numFmtId="0" fontId="55" fillId="0" borderId="5" xfId="0" applyNumberFormat="1" applyFont="1" applyFill="1" applyBorder="1" applyAlignment="1">
      <alignment horizontal="center" vertical="center"/>
    </xf>
    <xf numFmtId="0" fontId="55" fillId="0" borderId="6" xfId="0" applyNumberFormat="1" applyFont="1" applyFill="1" applyBorder="1" applyAlignment="1">
      <alignment horizontal="center" vertical="center"/>
    </xf>
    <xf numFmtId="0" fontId="55" fillId="0" borderId="7" xfId="0" applyNumberFormat="1" applyFont="1" applyFill="1" applyBorder="1" applyAlignment="1">
      <alignment horizontal="center" vertical="center"/>
    </xf>
    <xf numFmtId="0" fontId="55" fillId="0" borderId="3" xfId="0" applyNumberFormat="1" applyFont="1" applyFill="1" applyBorder="1" applyAlignment="1">
      <alignment horizontal="center" vertical="center"/>
    </xf>
    <xf numFmtId="0" fontId="55" fillId="0" borderId="4" xfId="0" applyNumberFormat="1" applyFont="1" applyFill="1" applyBorder="1" applyAlignment="1">
      <alignment horizontal="center" vertical="center"/>
    </xf>
    <xf numFmtId="0" fontId="55" fillId="0" borderId="2" xfId="0" applyNumberFormat="1" applyFont="1" applyFill="1" applyBorder="1" applyAlignment="1">
      <alignment horizontal="center" vertical="center"/>
    </xf>
    <xf numFmtId="165" fontId="55" fillId="0" borderId="3" xfId="0" applyNumberFormat="1" applyFont="1" applyFill="1" applyBorder="1" applyAlignment="1">
      <alignment horizontal="center"/>
    </xf>
    <xf numFmtId="165" fontId="55" fillId="0" borderId="4" xfId="0" applyNumberFormat="1" applyFont="1" applyFill="1" applyBorder="1" applyAlignment="1">
      <alignment horizontal="center"/>
    </xf>
    <xf numFmtId="165" fontId="55" fillId="0" borderId="2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</cellXfs>
  <cellStyles count="6">
    <cellStyle name="20% - Accent1 10 11" xfId="5" xr:uid="{00000000-0005-0000-0000-000000000000}"/>
    <cellStyle name="Currency" xfId="4" builtinId="4"/>
    <cellStyle name="Normal" xfId="0" builtinId="0"/>
    <cellStyle name="Normal 3" xfId="1" xr:uid="{00000000-0005-0000-0000-000003000000}"/>
    <cellStyle name="Normal 9" xfId="2" xr:uid="{00000000-0005-0000-0000-000004000000}"/>
    <cellStyle name="Percent" xfId="3" builtinId="5"/>
  </cellStyles>
  <dxfs count="0"/>
  <tableStyles count="0" defaultTableStyle="TableStyleMedium9" defaultPivotStyle="PivotStyleLight16"/>
  <colors>
    <mruColors>
      <color rgb="FFEDB3B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114300</xdr:rowOff>
    </xdr:from>
    <xdr:to>
      <xdr:col>4</xdr:col>
      <xdr:colOff>357621</xdr:colOff>
      <xdr:row>2</xdr:row>
      <xdr:rowOff>122555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114300</xdr:rowOff>
    </xdr:from>
    <xdr:to>
      <xdr:col>3</xdr:col>
      <xdr:colOff>142875</xdr:colOff>
      <xdr:row>2</xdr:row>
      <xdr:rowOff>17780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336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104775</xdr:rowOff>
    </xdr:from>
    <xdr:to>
      <xdr:col>4</xdr:col>
      <xdr:colOff>342900</xdr:colOff>
      <xdr:row>2</xdr:row>
      <xdr:rowOff>113030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3C4AA088-D008-4E8C-BBB0-CE827A38A53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04775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117"/>
  <sheetViews>
    <sheetView showGridLines="0" tabSelected="1" zoomScaleNormal="100" workbookViewId="0">
      <pane xSplit="5" ySplit="5" topLeftCell="F6" activePane="bottomRight" state="frozen"/>
      <selection pane="topRight" activeCell="E1" sqref="E1"/>
      <selection pane="bottomLeft" activeCell="A6" sqref="A6"/>
      <selection pane="bottomRight" activeCell="F8" sqref="F8"/>
    </sheetView>
  </sheetViews>
  <sheetFormatPr defaultColWidth="9.140625" defaultRowHeight="15" x14ac:dyDescent="0.25"/>
  <cols>
    <col min="1" max="1" width="12.42578125" style="4" customWidth="1"/>
    <col min="2" max="2" width="10.28515625" style="4" customWidth="1"/>
    <col min="3" max="3" width="14.5703125" style="14" customWidth="1"/>
    <col min="4" max="4" width="8.7109375" style="14" customWidth="1"/>
    <col min="5" max="5" width="45.7109375" style="4" bestFit="1" customWidth="1"/>
    <col min="6" max="6" width="54.28515625" style="11" customWidth="1"/>
    <col min="7" max="7" width="17.42578125" style="11" customWidth="1"/>
    <col min="8" max="8" width="9.7109375" style="11" bestFit="1" customWidth="1"/>
    <col min="9" max="9" width="15" style="11" customWidth="1"/>
    <col min="10" max="10" width="13.42578125" style="4" bestFit="1" customWidth="1"/>
    <col min="11" max="11" width="18.42578125" style="4" customWidth="1"/>
    <col min="12" max="12" width="14" style="4" customWidth="1"/>
    <col min="13" max="13" width="14.28515625" style="4" customWidth="1"/>
    <col min="14" max="14" width="21" style="4" customWidth="1"/>
    <col min="15" max="15" width="10.7109375" style="4" customWidth="1"/>
    <col min="16" max="16" width="13.42578125" style="4" customWidth="1"/>
    <col min="17" max="17" width="13.28515625" style="4" customWidth="1"/>
    <col min="18" max="18" width="13.42578125" style="4" customWidth="1"/>
    <col min="19" max="19" width="10.7109375" style="4" customWidth="1"/>
    <col min="20" max="20" width="13.42578125" style="4" customWidth="1"/>
    <col min="21" max="21" width="9.7109375" style="4" customWidth="1"/>
    <col min="22" max="39" width="13.140625" style="4" customWidth="1"/>
    <col min="40" max="40" width="11.42578125" style="4" customWidth="1"/>
    <col min="41" max="41" width="11.7109375" style="4" customWidth="1"/>
    <col min="42" max="42" width="9.7109375" style="4" customWidth="1"/>
    <col min="43" max="43" width="7.140625" style="4" customWidth="1"/>
    <col min="44" max="44" width="11.28515625" style="4" customWidth="1"/>
    <col min="45" max="45" width="9.42578125" style="4" customWidth="1"/>
    <col min="46" max="46" width="10.5703125" style="4" customWidth="1"/>
    <col min="47" max="48" width="8.42578125" style="4" customWidth="1"/>
    <col min="49" max="49" width="12.5703125" style="4" customWidth="1"/>
    <col min="50" max="50" width="7.7109375" style="4" customWidth="1"/>
    <col min="51" max="51" width="15.28515625" style="4" customWidth="1"/>
    <col min="52" max="52" width="10.28515625" style="4" customWidth="1"/>
    <col min="53" max="53" width="15.5703125" style="4" customWidth="1"/>
    <col min="54" max="54" width="9.5703125" style="4" customWidth="1"/>
    <col min="55" max="55" width="10.5703125" style="4" customWidth="1"/>
    <col min="56" max="56" width="8" style="4" customWidth="1"/>
    <col min="57" max="58" width="9.28515625" style="4" customWidth="1"/>
    <col min="59" max="60" width="14.140625" style="4" customWidth="1"/>
    <col min="61" max="61" width="10.28515625" style="4" customWidth="1"/>
    <col min="62" max="62" width="10.42578125" style="4" customWidth="1"/>
    <col min="63" max="63" width="17.7109375" style="4" bestFit="1" customWidth="1"/>
    <col min="64" max="64" width="15.140625" style="4" bestFit="1" customWidth="1"/>
    <col min="65" max="65" width="16.5703125" style="4" bestFit="1" customWidth="1"/>
    <col min="66" max="66" width="15.140625" style="4" bestFit="1" customWidth="1"/>
    <col min="67" max="67" width="6.5703125" style="4" customWidth="1"/>
    <col min="68" max="68" width="6.85546875" style="4" customWidth="1"/>
    <col min="69" max="69" width="7.140625" style="4" customWidth="1"/>
    <col min="70" max="70" width="6.85546875" style="4" customWidth="1"/>
    <col min="71" max="71" width="10.42578125" style="4" customWidth="1"/>
    <col min="72" max="72" width="7" style="4" customWidth="1"/>
    <col min="73" max="73" width="6.5703125" style="4" customWidth="1"/>
    <col min="74" max="74" width="6.85546875" style="4" customWidth="1"/>
    <col min="75" max="75" width="5.5703125" style="4" customWidth="1"/>
    <col min="76" max="76" width="7.5703125" style="4" customWidth="1"/>
    <col min="77" max="77" width="7" style="4" customWidth="1"/>
    <col min="78" max="78" width="6.5703125" style="4" customWidth="1"/>
    <col min="79" max="79" width="6.85546875" style="4" customWidth="1"/>
    <col min="80" max="80" width="6.28515625" style="4" customWidth="1"/>
    <col min="81" max="83" width="7.5703125" style="4" customWidth="1"/>
    <col min="84" max="84" width="17.85546875" style="4" customWidth="1"/>
    <col min="85" max="85" width="10.42578125" style="4" customWidth="1"/>
    <col min="86" max="86" width="12" style="4" customWidth="1"/>
    <col min="87" max="88" width="14.42578125" style="4" customWidth="1"/>
    <col min="89" max="89" width="13.28515625" style="4" customWidth="1"/>
    <col min="90" max="90" width="16.28515625" style="4" customWidth="1"/>
    <col min="91" max="91" width="22.28515625" style="4" customWidth="1"/>
    <col min="92" max="92" width="12.140625" style="4" hidden="1" customWidth="1"/>
    <col min="93" max="93" width="15.42578125" style="4" hidden="1" customWidth="1"/>
    <col min="94" max="94" width="12.42578125" style="4" hidden="1" customWidth="1"/>
    <col min="95" max="95" width="15.85546875" style="4" hidden="1" customWidth="1"/>
    <col min="96" max="100" width="9.140625" style="4" customWidth="1"/>
    <col min="101" max="16384" width="9.140625" style="4"/>
  </cols>
  <sheetData>
    <row r="1" spans="1:95" x14ac:dyDescent="0.25">
      <c r="F1" s="67" t="s">
        <v>83</v>
      </c>
      <c r="G1" s="67"/>
      <c r="H1" s="67"/>
      <c r="I1" s="67"/>
    </row>
    <row r="2" spans="1:95" ht="23.25" x14ac:dyDescent="0.25">
      <c r="F2" s="2" t="s">
        <v>3964</v>
      </c>
      <c r="G2" s="2"/>
      <c r="H2" s="2"/>
      <c r="I2" s="2"/>
      <c r="K2" s="2"/>
      <c r="L2" s="3"/>
    </row>
    <row r="3" spans="1:95" ht="20.25" x14ac:dyDescent="0.25">
      <c r="F3" s="30">
        <v>44393</v>
      </c>
      <c r="G3" s="30"/>
      <c r="H3" s="30"/>
      <c r="I3" s="30"/>
    </row>
    <row r="4" spans="1:95" ht="15.75" customHeight="1" x14ac:dyDescent="0.25">
      <c r="A4" s="551" t="s">
        <v>15</v>
      </c>
      <c r="B4" s="551"/>
      <c r="C4" s="551"/>
      <c r="D4" s="551"/>
      <c r="E4" s="551"/>
      <c r="F4" s="551"/>
      <c r="G4" s="405"/>
      <c r="H4" s="405"/>
      <c r="I4" s="405"/>
      <c r="J4" s="552" t="s">
        <v>13</v>
      </c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553"/>
      <c r="X4" s="553"/>
      <c r="Y4" s="553"/>
      <c r="Z4" s="553"/>
      <c r="AA4" s="553"/>
      <c r="AB4" s="553"/>
      <c r="AC4" s="553"/>
      <c r="AD4" s="553"/>
      <c r="AE4" s="553"/>
      <c r="AF4" s="553"/>
      <c r="AG4" s="553"/>
      <c r="AH4" s="553"/>
      <c r="AI4" s="553"/>
      <c r="AJ4" s="553"/>
      <c r="AK4" s="553"/>
      <c r="AL4" s="553"/>
      <c r="AM4" s="553"/>
      <c r="AN4" s="554" t="s">
        <v>14</v>
      </c>
      <c r="AO4" s="555"/>
      <c r="AP4" s="555"/>
      <c r="AQ4" s="555"/>
      <c r="AR4" s="555"/>
      <c r="AS4" s="555"/>
      <c r="AT4" s="555"/>
      <c r="AU4" s="555"/>
      <c r="AV4" s="555"/>
      <c r="AW4" s="555"/>
      <c r="AX4" s="555"/>
      <c r="AY4" s="555"/>
      <c r="AZ4" s="555"/>
      <c r="BA4" s="555"/>
      <c r="BB4" s="555"/>
      <c r="BC4" s="555"/>
      <c r="BD4" s="555"/>
      <c r="BE4" s="555"/>
      <c r="BF4" s="555"/>
      <c r="BG4" s="555"/>
      <c r="BH4" s="555"/>
      <c r="BI4" s="555"/>
      <c r="BJ4" s="556"/>
      <c r="BK4" s="90" t="s">
        <v>61</v>
      </c>
      <c r="BL4" s="557" t="s">
        <v>17</v>
      </c>
      <c r="BM4" s="557"/>
      <c r="BN4" s="558" t="s">
        <v>63</v>
      </c>
      <c r="BO4" s="558"/>
      <c r="BP4" s="558"/>
      <c r="BQ4" s="558"/>
      <c r="BR4" s="558"/>
      <c r="BS4" s="558"/>
      <c r="BT4" s="545" t="s">
        <v>19</v>
      </c>
      <c r="BU4" s="546"/>
      <c r="BV4" s="546"/>
      <c r="BW4" s="546"/>
      <c r="BX4" s="547"/>
      <c r="BY4" s="548" t="s">
        <v>25</v>
      </c>
      <c r="BZ4" s="549"/>
      <c r="CA4" s="549"/>
      <c r="CB4" s="549"/>
      <c r="CC4" s="550"/>
      <c r="CD4" s="542" t="s">
        <v>31</v>
      </c>
      <c r="CE4" s="543"/>
      <c r="CF4" s="543"/>
      <c r="CG4" s="543"/>
      <c r="CH4" s="543"/>
      <c r="CI4" s="543"/>
      <c r="CJ4" s="543"/>
      <c r="CK4" s="543"/>
      <c r="CL4" s="543"/>
      <c r="CM4" s="544"/>
    </row>
    <row r="5" spans="1:95" ht="48.75" x14ac:dyDescent="0.25">
      <c r="A5" s="55" t="s">
        <v>67</v>
      </c>
      <c r="B5" s="56" t="s">
        <v>68</v>
      </c>
      <c r="C5" s="57" t="s">
        <v>0</v>
      </c>
      <c r="D5" s="58" t="s">
        <v>60</v>
      </c>
      <c r="E5" s="57" t="s">
        <v>2</v>
      </c>
      <c r="F5" s="59" t="s">
        <v>1</v>
      </c>
      <c r="G5" s="368" t="s">
        <v>3630</v>
      </c>
      <c r="H5" s="368" t="s">
        <v>2638</v>
      </c>
      <c r="I5" s="368" t="s">
        <v>2639</v>
      </c>
      <c r="J5" s="60" t="s">
        <v>3</v>
      </c>
      <c r="K5" s="381" t="s">
        <v>2562</v>
      </c>
      <c r="L5" s="61" t="s">
        <v>4</v>
      </c>
      <c r="M5" s="381" t="s">
        <v>2562</v>
      </c>
      <c r="N5" s="61" t="s">
        <v>5</v>
      </c>
      <c r="O5" s="381" t="s">
        <v>2562</v>
      </c>
      <c r="P5" s="61" t="s">
        <v>50</v>
      </c>
      <c r="Q5" s="381" t="s">
        <v>2562</v>
      </c>
      <c r="R5" s="61" t="s">
        <v>52</v>
      </c>
      <c r="S5" s="381" t="s">
        <v>2562</v>
      </c>
      <c r="T5" s="61" t="s">
        <v>53</v>
      </c>
      <c r="U5" s="381" t="s">
        <v>2562</v>
      </c>
      <c r="V5" s="61" t="s">
        <v>58</v>
      </c>
      <c r="W5" s="381" t="s">
        <v>2562</v>
      </c>
      <c r="X5" s="378" t="s">
        <v>2563</v>
      </c>
      <c r="Y5" s="381" t="s">
        <v>2562</v>
      </c>
      <c r="Z5" s="378" t="s">
        <v>2564</v>
      </c>
      <c r="AA5" s="381" t="s">
        <v>2562</v>
      </c>
      <c r="AB5" s="378" t="s">
        <v>2565</v>
      </c>
      <c r="AC5" s="381" t="s">
        <v>2562</v>
      </c>
      <c r="AD5" s="378" t="s">
        <v>2566</v>
      </c>
      <c r="AE5" s="381" t="s">
        <v>2562</v>
      </c>
      <c r="AF5" s="378" t="s">
        <v>2567</v>
      </c>
      <c r="AG5" s="381" t="s">
        <v>2562</v>
      </c>
      <c r="AH5" s="378" t="s">
        <v>2568</v>
      </c>
      <c r="AI5" s="381" t="s">
        <v>2562</v>
      </c>
      <c r="AJ5" s="378" t="s">
        <v>2569</v>
      </c>
      <c r="AK5" s="381" t="s">
        <v>2562</v>
      </c>
      <c r="AL5" s="378" t="s">
        <v>2570</v>
      </c>
      <c r="AM5" s="381" t="s">
        <v>2562</v>
      </c>
      <c r="AN5" s="52" t="s">
        <v>6</v>
      </c>
      <c r="AO5" s="53" t="s">
        <v>44</v>
      </c>
      <c r="AP5" s="53" t="s">
        <v>7</v>
      </c>
      <c r="AQ5" s="53" t="s">
        <v>33</v>
      </c>
      <c r="AR5" s="53" t="s">
        <v>8</v>
      </c>
      <c r="AS5" s="53" t="s">
        <v>45</v>
      </c>
      <c r="AT5" s="53" t="s">
        <v>9</v>
      </c>
      <c r="AU5" s="53" t="s">
        <v>49</v>
      </c>
      <c r="AV5" s="53" t="s">
        <v>10</v>
      </c>
      <c r="AW5" s="53" t="s">
        <v>48</v>
      </c>
      <c r="AX5" s="53" t="s">
        <v>46</v>
      </c>
      <c r="AY5" s="53" t="s">
        <v>85</v>
      </c>
      <c r="AZ5" s="53" t="s">
        <v>12</v>
      </c>
      <c r="BA5" s="53" t="s">
        <v>34</v>
      </c>
      <c r="BB5" s="53" t="s">
        <v>69</v>
      </c>
      <c r="BC5" s="53" t="s">
        <v>47</v>
      </c>
      <c r="BD5" s="53" t="s">
        <v>43</v>
      </c>
      <c r="BE5" s="53" t="s">
        <v>35</v>
      </c>
      <c r="BF5" s="53" t="s">
        <v>62</v>
      </c>
      <c r="BG5" s="53" t="s">
        <v>36</v>
      </c>
      <c r="BH5" s="53" t="s">
        <v>74</v>
      </c>
      <c r="BI5" s="53" t="s">
        <v>37</v>
      </c>
      <c r="BJ5" s="54" t="s">
        <v>11</v>
      </c>
      <c r="BK5" s="62" t="s">
        <v>18</v>
      </c>
      <c r="BL5" s="63" t="s">
        <v>16</v>
      </c>
      <c r="BM5" s="64" t="s">
        <v>51</v>
      </c>
      <c r="BN5" s="68" t="s">
        <v>20</v>
      </c>
      <c r="BO5" s="69" t="s">
        <v>21</v>
      </c>
      <c r="BP5" s="69" t="s">
        <v>22</v>
      </c>
      <c r="BQ5" s="69" t="s">
        <v>64</v>
      </c>
      <c r="BR5" s="69" t="s">
        <v>22</v>
      </c>
      <c r="BS5" s="70" t="s">
        <v>65</v>
      </c>
      <c r="BT5" s="65" t="s">
        <v>20</v>
      </c>
      <c r="BU5" s="48" t="s">
        <v>21</v>
      </c>
      <c r="BV5" s="48" t="s">
        <v>22</v>
      </c>
      <c r="BW5" s="48" t="s">
        <v>23</v>
      </c>
      <c r="BX5" s="66" t="s">
        <v>24</v>
      </c>
      <c r="BY5" s="49" t="s">
        <v>20</v>
      </c>
      <c r="BZ5" s="50" t="s">
        <v>21</v>
      </c>
      <c r="CA5" s="50" t="s">
        <v>22</v>
      </c>
      <c r="CB5" s="50" t="s">
        <v>23</v>
      </c>
      <c r="CC5" s="51" t="s">
        <v>24</v>
      </c>
      <c r="CD5" s="306" t="s">
        <v>2257</v>
      </c>
      <c r="CE5" s="306" t="s">
        <v>2258</v>
      </c>
      <c r="CF5" s="307" t="s">
        <v>42</v>
      </c>
      <c r="CG5" s="308" t="s">
        <v>26</v>
      </c>
      <c r="CH5" s="308" t="s">
        <v>27</v>
      </c>
      <c r="CI5" s="308" t="s">
        <v>28</v>
      </c>
      <c r="CJ5" s="308" t="s">
        <v>29</v>
      </c>
      <c r="CK5" s="308" t="s">
        <v>30</v>
      </c>
      <c r="CL5" s="308" t="s">
        <v>32</v>
      </c>
      <c r="CM5" s="309" t="s">
        <v>41</v>
      </c>
      <c r="CN5" s="8" t="s">
        <v>38</v>
      </c>
      <c r="CO5" s="8" t="s">
        <v>39</v>
      </c>
      <c r="CP5" s="8" t="s">
        <v>40</v>
      </c>
    </row>
    <row r="6" spans="1:95" ht="33" customHeight="1" x14ac:dyDescent="0.25">
      <c r="A6" s="512">
        <v>44393</v>
      </c>
      <c r="B6" s="513" t="s">
        <v>12</v>
      </c>
      <c r="C6" s="512" t="s">
        <v>4010</v>
      </c>
      <c r="D6" s="72" t="s">
        <v>54</v>
      </c>
      <c r="E6" s="514" t="s">
        <v>4011</v>
      </c>
      <c r="F6" s="28" t="s">
        <v>4012</v>
      </c>
      <c r="G6" s="516">
        <v>50000</v>
      </c>
      <c r="H6" s="517" t="s">
        <v>3307</v>
      </c>
      <c r="I6" s="517" t="s">
        <v>134</v>
      </c>
      <c r="J6" s="72" t="s">
        <v>894</v>
      </c>
      <c r="K6" s="540" t="s">
        <v>4013</v>
      </c>
      <c r="L6" s="72"/>
      <c r="M6" s="72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25" t="s">
        <v>3826</v>
      </c>
      <c r="AO6" s="25"/>
      <c r="AP6" s="25"/>
      <c r="AQ6" s="25"/>
      <c r="AR6" s="25" t="s">
        <v>3826</v>
      </c>
      <c r="AS6" s="25"/>
      <c r="AT6" s="75" t="s">
        <v>4014</v>
      </c>
      <c r="AU6" s="25"/>
      <c r="AV6" s="75"/>
      <c r="AW6" s="2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498" t="s">
        <v>3826</v>
      </c>
      <c r="BK6" s="485">
        <v>89.31</v>
      </c>
      <c r="BL6" s="520" t="s">
        <v>4029</v>
      </c>
      <c r="BM6" s="521">
        <v>10038568748079</v>
      </c>
      <c r="BN6" s="490" t="s">
        <v>916</v>
      </c>
      <c r="BO6" s="490" t="s">
        <v>916</v>
      </c>
      <c r="BP6" s="491" t="s">
        <v>916</v>
      </c>
      <c r="BQ6" s="248">
        <v>4.7249999999999996</v>
      </c>
      <c r="BR6" s="248">
        <v>8.1300000000000008</v>
      </c>
      <c r="BS6" s="248" t="s">
        <v>4030</v>
      </c>
      <c r="BT6" s="490" t="s">
        <v>916</v>
      </c>
      <c r="BU6" s="490" t="s">
        <v>916</v>
      </c>
      <c r="BV6" s="491" t="s">
        <v>916</v>
      </c>
      <c r="BW6" s="491" t="s">
        <v>916</v>
      </c>
      <c r="BX6" s="491" t="s">
        <v>916</v>
      </c>
      <c r="BY6" s="492">
        <v>14.961</v>
      </c>
      <c r="BZ6" s="492">
        <v>10.157</v>
      </c>
      <c r="CA6" s="492">
        <v>9.843</v>
      </c>
      <c r="CB6" s="441"/>
      <c r="CC6" s="441"/>
      <c r="CD6" s="489">
        <v>1.58</v>
      </c>
      <c r="CE6" s="489">
        <v>10.23</v>
      </c>
      <c r="CF6" s="494" t="s">
        <v>12</v>
      </c>
      <c r="CG6" s="75">
        <v>6</v>
      </c>
      <c r="CH6" s="75">
        <v>11</v>
      </c>
      <c r="CI6" s="75">
        <v>4</v>
      </c>
      <c r="CJ6" s="495" t="s">
        <v>4031</v>
      </c>
      <c r="CK6" s="495">
        <v>500</v>
      </c>
      <c r="CL6" s="75" t="s">
        <v>164</v>
      </c>
      <c r="CM6" s="79" t="s">
        <v>150</v>
      </c>
      <c r="CN6" s="8"/>
      <c r="CO6" s="8"/>
      <c r="CP6" s="8"/>
    </row>
    <row r="7" spans="1:95" ht="45" x14ac:dyDescent="0.25">
      <c r="A7" s="512">
        <v>44393</v>
      </c>
      <c r="B7" s="513" t="s">
        <v>12</v>
      </c>
      <c r="C7" s="512" t="s">
        <v>4015</v>
      </c>
      <c r="D7" s="72" t="s">
        <v>54</v>
      </c>
      <c r="E7" s="518" t="s">
        <v>2381</v>
      </c>
      <c r="F7" s="28" t="s">
        <v>4047</v>
      </c>
      <c r="G7" s="516" t="s">
        <v>916</v>
      </c>
      <c r="H7" s="517" t="s">
        <v>3780</v>
      </c>
      <c r="I7" s="517" t="s">
        <v>134</v>
      </c>
      <c r="J7" s="72" t="s">
        <v>916</v>
      </c>
      <c r="K7" s="72" t="s">
        <v>916</v>
      </c>
      <c r="L7" s="72"/>
      <c r="M7" s="72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25" t="s">
        <v>3826</v>
      </c>
      <c r="AO7" s="75"/>
      <c r="AP7" s="75"/>
      <c r="AQ7" s="25"/>
      <c r="AR7" s="25" t="s">
        <v>3826</v>
      </c>
      <c r="AS7" s="25"/>
      <c r="AT7" s="25" t="s">
        <v>3826</v>
      </c>
      <c r="AU7" s="25"/>
      <c r="AV7" s="75"/>
      <c r="AW7" s="2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498" t="s">
        <v>3826</v>
      </c>
      <c r="BK7" s="485">
        <v>123.33</v>
      </c>
      <c r="BL7" s="393" t="s">
        <v>4032</v>
      </c>
      <c r="BM7" s="474">
        <v>10038568749182</v>
      </c>
      <c r="BN7" s="490" t="s">
        <v>916</v>
      </c>
      <c r="BO7" s="490" t="s">
        <v>916</v>
      </c>
      <c r="BP7" s="491" t="s">
        <v>916</v>
      </c>
      <c r="BQ7" s="490" t="s">
        <v>916</v>
      </c>
      <c r="BR7" s="490" t="s">
        <v>916</v>
      </c>
      <c r="BS7" s="491" t="s">
        <v>916</v>
      </c>
      <c r="BT7" s="490" t="s">
        <v>916</v>
      </c>
      <c r="BU7" s="490" t="s">
        <v>916</v>
      </c>
      <c r="BV7" s="491" t="s">
        <v>916</v>
      </c>
      <c r="BW7" s="491" t="s">
        <v>916</v>
      </c>
      <c r="BX7" s="491" t="s">
        <v>916</v>
      </c>
      <c r="BY7" s="396">
        <v>13.375</v>
      </c>
      <c r="BZ7" s="396">
        <v>8.875</v>
      </c>
      <c r="CA7" s="396">
        <v>10.625</v>
      </c>
      <c r="CB7" s="441"/>
      <c r="CC7" s="441"/>
      <c r="CD7" s="396">
        <v>10.5</v>
      </c>
      <c r="CE7" s="396">
        <v>10.5</v>
      </c>
      <c r="CF7" s="494" t="s">
        <v>12</v>
      </c>
      <c r="CG7" s="75">
        <v>1</v>
      </c>
      <c r="CH7" s="75">
        <v>13</v>
      </c>
      <c r="CI7" s="75">
        <v>3</v>
      </c>
      <c r="CJ7" s="495" t="s">
        <v>4033</v>
      </c>
      <c r="CK7" s="495">
        <v>488</v>
      </c>
      <c r="CL7" s="75" t="s">
        <v>256</v>
      </c>
      <c r="CM7" s="79" t="s">
        <v>150</v>
      </c>
      <c r="CN7" s="8"/>
      <c r="CO7" s="8"/>
      <c r="CP7" s="8"/>
    </row>
    <row r="8" spans="1:95" ht="30" x14ac:dyDescent="0.25">
      <c r="A8" s="512">
        <v>44393</v>
      </c>
      <c r="B8" s="513" t="s">
        <v>12</v>
      </c>
      <c r="C8" s="512" t="s">
        <v>4017</v>
      </c>
      <c r="D8" s="72" t="s">
        <v>54</v>
      </c>
      <c r="E8" s="371" t="s">
        <v>4018</v>
      </c>
      <c r="F8" s="28" t="s">
        <v>4019</v>
      </c>
      <c r="G8" s="516">
        <v>15000</v>
      </c>
      <c r="H8" s="517" t="s">
        <v>3780</v>
      </c>
      <c r="I8" s="517" t="s">
        <v>134</v>
      </c>
      <c r="J8" s="72" t="s">
        <v>1893</v>
      </c>
      <c r="K8" s="540" t="s">
        <v>4020</v>
      </c>
      <c r="L8" s="72" t="s">
        <v>4021</v>
      </c>
      <c r="M8" s="540" t="s">
        <v>4022</v>
      </c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25" t="s">
        <v>4023</v>
      </c>
      <c r="AO8" s="25"/>
      <c r="AP8" s="25"/>
      <c r="AQ8" s="25"/>
      <c r="AR8" s="25" t="s">
        <v>3826</v>
      </c>
      <c r="AS8" s="25"/>
      <c r="AT8" s="75" t="s">
        <v>4024</v>
      </c>
      <c r="AU8" s="25"/>
      <c r="AV8" s="75"/>
      <c r="AW8" s="2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498" t="s">
        <v>3826</v>
      </c>
      <c r="BK8" s="485">
        <v>36.130000000000003</v>
      </c>
      <c r="BL8" s="520" t="s">
        <v>4034</v>
      </c>
      <c r="BM8" s="521">
        <v>10038568748062</v>
      </c>
      <c r="BN8" s="248">
        <v>3.48</v>
      </c>
      <c r="BO8" s="248">
        <v>3.504</v>
      </c>
      <c r="BP8" s="248">
        <v>2.157</v>
      </c>
      <c r="BQ8" s="490" t="s">
        <v>916</v>
      </c>
      <c r="BR8" s="490" t="s">
        <v>916</v>
      </c>
      <c r="BS8" s="491" t="s">
        <v>916</v>
      </c>
      <c r="BT8" s="492">
        <v>3.74</v>
      </c>
      <c r="BU8" s="492">
        <v>3.74</v>
      </c>
      <c r="BV8" s="492">
        <v>2.7559999999999998</v>
      </c>
      <c r="BW8" s="491" t="s">
        <v>916</v>
      </c>
      <c r="BX8" s="492">
        <v>0.19600000000000001</v>
      </c>
      <c r="BY8" s="492">
        <v>11.535</v>
      </c>
      <c r="BZ8" s="492">
        <v>7.7949999999999999</v>
      </c>
      <c r="CA8" s="492">
        <v>3.2280000000000002</v>
      </c>
      <c r="CB8" s="441"/>
      <c r="CC8" s="441"/>
      <c r="CD8" s="489">
        <v>0.35699999999999998</v>
      </c>
      <c r="CE8" s="489">
        <v>2.8919999999999999</v>
      </c>
      <c r="CF8" s="494" t="s">
        <v>12</v>
      </c>
      <c r="CG8" s="75">
        <v>6</v>
      </c>
      <c r="CH8" s="75">
        <v>20</v>
      </c>
      <c r="CI8" s="75">
        <v>12</v>
      </c>
      <c r="CJ8" s="495" t="s">
        <v>4035</v>
      </c>
      <c r="CK8" s="495">
        <v>744</v>
      </c>
      <c r="CL8" s="75" t="s">
        <v>164</v>
      </c>
      <c r="CM8" s="79" t="s">
        <v>150</v>
      </c>
    </row>
    <row r="9" spans="1:95" ht="90" x14ac:dyDescent="0.25">
      <c r="A9" s="512">
        <v>44393</v>
      </c>
      <c r="B9" s="513" t="s">
        <v>12</v>
      </c>
      <c r="C9" s="512" t="s">
        <v>4025</v>
      </c>
      <c r="D9" s="72" t="s">
        <v>54</v>
      </c>
      <c r="E9" s="371" t="s">
        <v>2641</v>
      </c>
      <c r="F9" s="28" t="s">
        <v>4026</v>
      </c>
      <c r="G9" s="516">
        <v>150000</v>
      </c>
      <c r="H9" s="517" t="s">
        <v>3307</v>
      </c>
      <c r="I9" s="517" t="s">
        <v>134</v>
      </c>
      <c r="J9" s="72" t="s">
        <v>739</v>
      </c>
      <c r="K9" s="540" t="s">
        <v>4027</v>
      </c>
      <c r="L9" s="72" t="s">
        <v>739</v>
      </c>
      <c r="M9" s="72" t="s">
        <v>4028</v>
      </c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 t="s">
        <v>3826</v>
      </c>
      <c r="AO9" s="75"/>
      <c r="AP9" s="75"/>
      <c r="AQ9" s="25"/>
      <c r="AR9" s="75" t="s">
        <v>3826</v>
      </c>
      <c r="AS9" s="25"/>
      <c r="AT9" s="75" t="s">
        <v>3826</v>
      </c>
      <c r="AU9" s="25"/>
      <c r="AV9" s="75"/>
      <c r="AW9" s="2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498" t="s">
        <v>3826</v>
      </c>
      <c r="BK9" s="485">
        <v>39.24</v>
      </c>
      <c r="BL9" s="315" t="s">
        <v>4036</v>
      </c>
      <c r="BM9" s="315" t="s">
        <v>4037</v>
      </c>
      <c r="BN9" s="490" t="s">
        <v>916</v>
      </c>
      <c r="BO9" s="490" t="s">
        <v>916</v>
      </c>
      <c r="BP9" s="491" t="s">
        <v>916</v>
      </c>
      <c r="BQ9" s="248">
        <v>4.7640000000000002</v>
      </c>
      <c r="BR9" s="248">
        <v>10.945</v>
      </c>
      <c r="BS9" s="248">
        <v>2.5470000000000002</v>
      </c>
      <c r="BT9" s="396">
        <v>4.9210000000000003</v>
      </c>
      <c r="BU9" s="396">
        <v>4.9210000000000003</v>
      </c>
      <c r="BV9" s="396">
        <v>11.417</v>
      </c>
      <c r="BW9" s="491" t="s">
        <v>916</v>
      </c>
      <c r="BX9" s="396">
        <v>0.19400000000000001</v>
      </c>
      <c r="BY9" s="396">
        <v>15.079000000000001</v>
      </c>
      <c r="BZ9" s="396">
        <v>11.731999999999999</v>
      </c>
      <c r="CA9" s="396">
        <v>10.315</v>
      </c>
      <c r="CB9" s="441"/>
      <c r="CC9" s="441"/>
      <c r="CD9" s="396">
        <v>1.093</v>
      </c>
      <c r="CE9" s="396">
        <v>7.3079999999999998</v>
      </c>
      <c r="CF9" s="494" t="s">
        <v>12</v>
      </c>
      <c r="CG9" s="75">
        <v>6</v>
      </c>
      <c r="CH9" s="75">
        <v>10</v>
      </c>
      <c r="CI9" s="75">
        <v>4</v>
      </c>
      <c r="CJ9" s="495" t="s">
        <v>4038</v>
      </c>
      <c r="CK9" s="75">
        <v>345</v>
      </c>
      <c r="CL9" s="75" t="s">
        <v>164</v>
      </c>
      <c r="CM9" s="25" t="s">
        <v>150</v>
      </c>
    </row>
    <row r="10" spans="1:95" ht="27" customHeight="1" x14ac:dyDescent="0.25">
      <c r="A10" s="526"/>
      <c r="B10" s="527"/>
      <c r="C10" s="526"/>
      <c r="D10" s="74"/>
      <c r="E10" s="535"/>
      <c r="F10" s="15"/>
      <c r="G10" s="529"/>
      <c r="H10" s="530"/>
      <c r="I10" s="530"/>
      <c r="J10" s="74"/>
      <c r="K10" s="74"/>
      <c r="L10" s="74"/>
      <c r="M10" s="7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41"/>
      <c r="AR10" s="41"/>
      <c r="AS10" s="41"/>
      <c r="AT10" s="24"/>
      <c r="AU10" s="41"/>
      <c r="AV10" s="24"/>
      <c r="AW10" s="41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537"/>
      <c r="BK10" s="485"/>
      <c r="BL10" s="531"/>
      <c r="BM10" s="538"/>
      <c r="BN10" s="525"/>
      <c r="BO10" s="152"/>
      <c r="BP10" s="522"/>
      <c r="BQ10" s="490"/>
      <c r="BR10" s="490"/>
      <c r="BS10" s="491"/>
      <c r="BT10" s="490"/>
      <c r="BU10" s="490"/>
      <c r="BV10" s="491"/>
      <c r="BW10" s="491"/>
      <c r="BX10" s="491"/>
      <c r="BY10" s="156"/>
      <c r="BZ10" s="156"/>
      <c r="CA10" s="156"/>
      <c r="CB10" s="441"/>
      <c r="CC10" s="441"/>
      <c r="CD10" s="156"/>
      <c r="CE10" s="156"/>
      <c r="CF10" s="84"/>
      <c r="CG10" s="24"/>
      <c r="CH10" s="24"/>
      <c r="CI10" s="24"/>
      <c r="CJ10" s="523"/>
      <c r="CK10" s="523"/>
      <c r="CL10" s="24"/>
      <c r="CM10" s="41"/>
      <c r="CN10" s="14"/>
      <c r="CO10" s="14"/>
      <c r="CP10" s="14"/>
    </row>
    <row r="11" spans="1:95" x14ac:dyDescent="0.25">
      <c r="A11" s="447"/>
      <c r="B11" s="184"/>
      <c r="C11" s="452"/>
      <c r="D11" s="184"/>
      <c r="E11" s="453"/>
      <c r="F11" s="453"/>
      <c r="G11" s="12"/>
      <c r="H11" s="453"/>
      <c r="I11" s="453"/>
      <c r="J11" s="12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452"/>
      <c r="AO11" s="452"/>
      <c r="AP11" s="452"/>
      <c r="AQ11" s="454"/>
      <c r="AR11" s="454"/>
      <c r="AS11" s="454"/>
      <c r="AT11" s="158"/>
      <c r="AU11" s="182"/>
      <c r="AV11" s="184"/>
      <c r="AW11" s="182"/>
      <c r="AX11" s="184"/>
      <c r="AY11" s="184"/>
      <c r="AZ11" s="184"/>
      <c r="BA11" s="184"/>
      <c r="BB11" s="184"/>
      <c r="BC11" s="184"/>
      <c r="BD11" s="184"/>
      <c r="BE11" s="452"/>
      <c r="BF11" s="184"/>
      <c r="BG11" s="184"/>
      <c r="BH11" s="184"/>
      <c r="BI11" s="184"/>
      <c r="BJ11" s="158"/>
      <c r="BK11" s="455"/>
      <c r="BL11" s="456"/>
      <c r="BM11" s="457"/>
      <c r="BN11" s="458"/>
      <c r="BO11" s="458"/>
      <c r="BP11" s="458"/>
      <c r="BR11" s="458"/>
      <c r="BT11" s="459"/>
      <c r="BU11" s="459"/>
      <c r="BV11" s="459"/>
      <c r="BW11" s="459"/>
      <c r="BX11" s="459"/>
      <c r="BY11" s="460"/>
      <c r="BZ11" s="460"/>
      <c r="CA11" s="460"/>
      <c r="CB11" s="461"/>
      <c r="CC11" s="461"/>
      <c r="CD11" s="461"/>
      <c r="CE11" s="461"/>
      <c r="CF11" s="462"/>
      <c r="CG11" s="462"/>
      <c r="CH11" s="462"/>
      <c r="CI11" s="462"/>
      <c r="CJ11" s="463"/>
      <c r="CK11" s="463"/>
      <c r="CL11" s="462"/>
      <c r="CM11" s="158"/>
      <c r="CN11" s="10"/>
      <c r="CO11" s="14"/>
      <c r="CP11" s="14"/>
      <c r="CQ11" s="14"/>
    </row>
    <row r="12" spans="1:95" s="14" customFormat="1" x14ac:dyDescent="0.25">
      <c r="C12" s="11"/>
      <c r="D12" s="12"/>
      <c r="E12" s="12"/>
      <c r="F12" s="12"/>
      <c r="G12" s="12"/>
      <c r="H12" s="12"/>
      <c r="I12" s="12"/>
      <c r="J12" s="12"/>
      <c r="K12" s="1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13"/>
      <c r="BL12" s="4"/>
      <c r="BM12" s="4"/>
      <c r="BN12" s="4"/>
      <c r="BO12" s="4"/>
      <c r="BP12" s="4"/>
      <c r="BQ12" s="4"/>
      <c r="BR12" s="4"/>
      <c r="BS12" s="4"/>
      <c r="BT12" s="9"/>
      <c r="BU12" s="9"/>
      <c r="BV12" s="9"/>
      <c r="BW12" s="4"/>
      <c r="BX12" s="9"/>
      <c r="BY12" s="9"/>
      <c r="BZ12" s="9"/>
      <c r="CA12" s="9"/>
      <c r="CB12" s="4"/>
      <c r="CC12" s="9"/>
      <c r="CD12" s="9"/>
      <c r="CE12" s="9"/>
      <c r="CF12" s="4"/>
      <c r="CG12" s="4"/>
      <c r="CH12" s="4"/>
      <c r="CI12" s="4"/>
      <c r="CL12" s="4"/>
      <c r="CM12" s="10"/>
      <c r="CN12" s="4"/>
      <c r="CO12" s="4"/>
      <c r="CP12" s="4"/>
    </row>
    <row r="13" spans="1:95" ht="15" customHeight="1" x14ac:dyDescent="0.25">
      <c r="A13" s="55" t="s">
        <v>67</v>
      </c>
      <c r="B13" s="56" t="s">
        <v>68</v>
      </c>
      <c r="C13" s="57" t="s">
        <v>0</v>
      </c>
      <c r="D13" s="58" t="s">
        <v>60</v>
      </c>
      <c r="E13" s="57" t="s">
        <v>2</v>
      </c>
      <c r="F13" s="406" t="s">
        <v>55</v>
      </c>
      <c r="G13" s="7" t="s">
        <v>3643</v>
      </c>
      <c r="H13" s="7" t="s">
        <v>75</v>
      </c>
      <c r="I13" s="5"/>
      <c r="BJ13" s="14"/>
      <c r="BK13" s="13"/>
      <c r="BL13" s="13"/>
      <c r="BU13" s="9"/>
      <c r="BV13" s="9"/>
      <c r="BW13" s="9"/>
      <c r="BY13" s="9"/>
      <c r="BZ13" s="9"/>
      <c r="CA13" s="9"/>
      <c r="CB13" s="9"/>
      <c r="CD13" s="9"/>
      <c r="CE13" s="9"/>
      <c r="CF13" s="9"/>
      <c r="CK13" s="14"/>
      <c r="CL13" s="14"/>
      <c r="CN13" s="10"/>
    </row>
    <row r="14" spans="1:95" ht="15" customHeight="1" x14ac:dyDescent="0.25">
      <c r="A14" s="390"/>
      <c r="B14" s="448"/>
      <c r="C14" s="31"/>
      <c r="D14" s="213"/>
      <c r="E14" s="213"/>
      <c r="F14" s="37"/>
      <c r="G14" s="289"/>
      <c r="H14" s="369"/>
      <c r="I14" s="5"/>
      <c r="BK14" s="13"/>
      <c r="BL14" s="13"/>
      <c r="BU14" s="9"/>
      <c r="BV14" s="9"/>
      <c r="BW14" s="9"/>
      <c r="BY14" s="9"/>
      <c r="BZ14" s="9"/>
      <c r="CA14" s="9"/>
      <c r="CB14" s="9"/>
      <c r="CD14" s="9"/>
      <c r="CE14" s="9"/>
      <c r="CF14" s="9"/>
      <c r="CK14" s="14"/>
      <c r="CL14" s="14"/>
      <c r="CN14" s="10"/>
    </row>
    <row r="15" spans="1:95" ht="15" customHeight="1" x14ac:dyDescent="0.25">
      <c r="A15" s="390"/>
      <c r="B15" s="448"/>
      <c r="C15" s="75"/>
      <c r="D15" s="15"/>
      <c r="E15" s="73"/>
      <c r="F15" s="37"/>
      <c r="G15" s="289"/>
      <c r="H15" s="369"/>
      <c r="I15" s="5"/>
      <c r="BK15" s="13"/>
      <c r="BL15" s="13"/>
      <c r="BU15" s="9"/>
      <c r="BV15" s="9"/>
      <c r="BW15" s="9"/>
      <c r="BY15" s="9"/>
      <c r="BZ15" s="9"/>
      <c r="CA15" s="9"/>
      <c r="CB15" s="9"/>
      <c r="CD15" s="9"/>
      <c r="CE15" s="9"/>
      <c r="CF15" s="9"/>
      <c r="CK15" s="14"/>
      <c r="CL15" s="14"/>
      <c r="CN15" s="10"/>
    </row>
    <row r="16" spans="1:95" ht="15" customHeight="1" x14ac:dyDescent="0.25">
      <c r="A16" s="87"/>
      <c r="B16" s="73"/>
      <c r="C16" s="29"/>
      <c r="D16" s="15"/>
      <c r="E16" s="28"/>
      <c r="F16" s="37"/>
      <c r="G16" s="76"/>
      <c r="H16" s="32"/>
      <c r="I16" s="5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O16" s="14"/>
      <c r="AP16" s="14"/>
      <c r="AQ16" s="14"/>
      <c r="AR16" s="14"/>
      <c r="AS16" s="14"/>
      <c r="AX16" s="14"/>
      <c r="AY16" s="14"/>
      <c r="AZ16" s="14"/>
      <c r="BA16" s="14"/>
      <c r="BB16" s="14"/>
      <c r="BC16" s="14"/>
      <c r="BD16" s="14"/>
      <c r="BG16" s="14"/>
      <c r="BH16" s="14"/>
      <c r="BI16" s="14"/>
      <c r="BJ16" s="14"/>
      <c r="BK16" s="13"/>
      <c r="BL16" s="13"/>
      <c r="BN16" s="14"/>
      <c r="BO16" s="14"/>
      <c r="BP16" s="14"/>
      <c r="BQ16" s="14"/>
      <c r="BR16" s="14"/>
      <c r="BS16" s="14"/>
      <c r="BT16" s="14"/>
      <c r="BU16" s="9"/>
      <c r="BV16" s="9"/>
      <c r="BW16" s="9"/>
      <c r="BY16" s="9"/>
      <c r="BZ16" s="9"/>
      <c r="CA16" s="9"/>
      <c r="CB16" s="9"/>
      <c r="CD16" s="9"/>
      <c r="CE16" s="9"/>
      <c r="CF16" s="9"/>
      <c r="CI16" s="14"/>
      <c r="CJ16" s="14"/>
      <c r="CK16" s="14"/>
      <c r="CL16" s="14"/>
      <c r="CN16" s="10"/>
      <c r="CO16" s="14"/>
      <c r="CP16" s="14"/>
      <c r="CQ16" s="14"/>
    </row>
    <row r="17" spans="1:94" x14ac:dyDescent="0.25">
      <c r="A17" s="431"/>
      <c r="B17" s="432"/>
      <c r="C17" s="11"/>
      <c r="D17" s="12"/>
      <c r="E17" s="464"/>
      <c r="F17" s="465"/>
      <c r="G17" s="465"/>
      <c r="H17" s="465"/>
      <c r="I17" s="465"/>
      <c r="J17" s="466"/>
      <c r="K17" s="467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O17" s="14"/>
      <c r="AP17" s="14"/>
      <c r="AQ17" s="14"/>
      <c r="AR17" s="14"/>
      <c r="AS17" s="14"/>
      <c r="AX17" s="14"/>
      <c r="AY17" s="14"/>
      <c r="AZ17" s="14"/>
      <c r="BA17" s="14"/>
      <c r="BB17" s="14"/>
      <c r="BC17" s="14"/>
      <c r="BD17" s="14"/>
      <c r="BG17" s="14"/>
      <c r="BH17" s="14"/>
      <c r="BI17" s="14"/>
      <c r="BJ17" s="14"/>
      <c r="BK17" s="13"/>
      <c r="BM17" s="14"/>
      <c r="BN17" s="14"/>
      <c r="BO17" s="14"/>
      <c r="BP17" s="14"/>
      <c r="BQ17" s="14"/>
      <c r="BR17" s="14"/>
      <c r="BS17" s="14"/>
      <c r="BT17" s="9"/>
      <c r="BU17" s="9"/>
      <c r="BV17" s="9"/>
      <c r="BX17" s="9"/>
      <c r="BY17" s="9"/>
      <c r="BZ17" s="9"/>
      <c r="CA17" s="9"/>
      <c r="CC17" s="9"/>
      <c r="CD17" s="9"/>
      <c r="CE17" s="9"/>
      <c r="CH17" s="14"/>
      <c r="CI17" s="14"/>
      <c r="CJ17" s="14"/>
      <c r="CK17" s="14"/>
      <c r="CM17" s="10"/>
      <c r="CN17" s="14"/>
      <c r="CO17" s="14"/>
      <c r="CP17" s="14"/>
    </row>
    <row r="18" spans="1:94" x14ac:dyDescent="0.25">
      <c r="C18" s="11"/>
      <c r="D18" s="12"/>
      <c r="E18" s="12"/>
      <c r="F18" s="12"/>
      <c r="G18" s="12"/>
      <c r="H18" s="12"/>
      <c r="I18" s="12"/>
      <c r="J18" s="12"/>
      <c r="K18" s="12"/>
      <c r="BL18" s="14"/>
      <c r="CK18" s="14"/>
      <c r="CM18" s="10"/>
    </row>
    <row r="19" spans="1:94" ht="7.5" customHeight="1" x14ac:dyDescent="0.25">
      <c r="A19" s="40"/>
      <c r="B19" s="40"/>
      <c r="C19" s="40"/>
      <c r="D19" s="18"/>
      <c r="E19" s="18"/>
      <c r="F19" s="18"/>
      <c r="G19" s="18"/>
      <c r="H19" s="18"/>
      <c r="I19" s="18"/>
      <c r="J19" s="18"/>
      <c r="K19" s="18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19"/>
      <c r="AO19" s="20"/>
      <c r="AP19" s="20"/>
      <c r="AQ19" s="20"/>
      <c r="AR19" s="20"/>
      <c r="AS19" s="20"/>
      <c r="AT19" s="19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1"/>
      <c r="BL19" s="19"/>
      <c r="BM19" s="20"/>
      <c r="BN19" s="20"/>
      <c r="BO19" s="20"/>
      <c r="BP19" s="20"/>
      <c r="BQ19" s="20"/>
      <c r="BR19" s="20"/>
      <c r="BS19" s="20"/>
      <c r="BT19" s="22"/>
      <c r="BU19" s="22"/>
      <c r="BV19" s="22"/>
      <c r="BW19" s="19"/>
      <c r="BX19" s="22"/>
      <c r="BY19" s="22"/>
      <c r="BZ19" s="22"/>
      <c r="CA19" s="22"/>
      <c r="CB19" s="19"/>
      <c r="CC19" s="22"/>
      <c r="CD19" s="22"/>
      <c r="CE19" s="22"/>
      <c r="CF19" s="19"/>
      <c r="CG19" s="19"/>
      <c r="CH19" s="20"/>
      <c r="CI19" s="20"/>
      <c r="CJ19" s="20"/>
      <c r="CK19" s="20"/>
      <c r="CL19" s="19"/>
      <c r="CM19" s="23"/>
      <c r="CN19" s="20"/>
      <c r="CO19" s="14"/>
      <c r="CP19" s="14"/>
    </row>
    <row r="20" spans="1:94" ht="7.5" customHeight="1" x14ac:dyDescent="0.25">
      <c r="C20" s="11"/>
      <c r="D20" s="12"/>
      <c r="E20" s="12"/>
      <c r="F20" s="12"/>
      <c r="G20" s="12"/>
      <c r="H20" s="12"/>
      <c r="I20" s="12"/>
      <c r="J20" s="12"/>
      <c r="K20" s="12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O20" s="14"/>
      <c r="AP20" s="14"/>
      <c r="AQ20" s="14"/>
      <c r="AR20" s="14"/>
      <c r="AS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3"/>
      <c r="BM20" s="14"/>
      <c r="BN20" s="14"/>
      <c r="BO20" s="14"/>
      <c r="BP20" s="14"/>
      <c r="BQ20" s="14"/>
      <c r="BR20" s="14"/>
      <c r="BS20" s="14"/>
      <c r="BT20" s="9"/>
      <c r="BU20" s="9"/>
      <c r="BV20" s="9"/>
      <c r="BX20" s="9"/>
      <c r="BY20" s="9"/>
      <c r="BZ20" s="9"/>
      <c r="CA20" s="9"/>
      <c r="CC20" s="9"/>
      <c r="CD20" s="9"/>
      <c r="CE20" s="9"/>
      <c r="CH20" s="14"/>
      <c r="CI20" s="14"/>
      <c r="CJ20" s="14"/>
      <c r="CK20" s="14"/>
      <c r="CM20" s="10"/>
      <c r="CN20" s="14"/>
      <c r="CO20" s="14"/>
      <c r="CP20" s="14"/>
    </row>
    <row r="21" spans="1:94" ht="23.25" x14ac:dyDescent="0.25">
      <c r="C21" s="11"/>
      <c r="D21" s="12"/>
      <c r="E21" s="12"/>
      <c r="F21" s="42" t="s">
        <v>57</v>
      </c>
      <c r="G21" s="42"/>
      <c r="H21" s="42"/>
      <c r="I21" s="42"/>
      <c r="K21" s="12"/>
      <c r="BL21" s="14"/>
      <c r="CK21" s="14"/>
      <c r="CM21" s="10"/>
    </row>
    <row r="22" spans="1:94" ht="16.5" customHeight="1" x14ac:dyDescent="0.25">
      <c r="C22" s="11"/>
      <c r="D22" s="12"/>
      <c r="E22" s="12"/>
      <c r="F22" s="12"/>
      <c r="G22" s="12"/>
      <c r="H22" s="12"/>
      <c r="I22" s="12"/>
      <c r="J22" s="17"/>
      <c r="K22" s="12"/>
      <c r="BL22" s="14"/>
      <c r="CK22" s="14"/>
      <c r="CM22" s="10"/>
    </row>
    <row r="23" spans="1:94" s="11" customFormat="1" ht="60" x14ac:dyDescent="0.25">
      <c r="A23" s="55" t="s">
        <v>2510</v>
      </c>
      <c r="B23" s="56" t="s">
        <v>68</v>
      </c>
      <c r="C23" s="57" t="s">
        <v>0</v>
      </c>
      <c r="D23" s="58" t="s">
        <v>60</v>
      </c>
      <c r="E23" s="57" t="s">
        <v>2</v>
      </c>
      <c r="F23" s="406" t="s">
        <v>56</v>
      </c>
      <c r="G23" s="504" t="s">
        <v>3902</v>
      </c>
      <c r="H23" s="86"/>
      <c r="I23" s="5"/>
      <c r="J23" s="5"/>
      <c r="K23" s="5"/>
      <c r="L23" s="6"/>
      <c r="M23" s="44"/>
      <c r="N23" s="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13"/>
      <c r="BI23" s="338"/>
      <c r="BJ23" s="1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14"/>
      <c r="CJ23" s="4"/>
      <c r="CK23" s="4"/>
      <c r="CL23" s="4"/>
      <c r="CM23" s="4"/>
      <c r="CN23" s="4"/>
    </row>
    <row r="24" spans="1:94" s="11" customFormat="1" x14ac:dyDescent="0.25">
      <c r="A24" s="487">
        <v>44393</v>
      </c>
      <c r="B24" s="75" t="s">
        <v>12</v>
      </c>
      <c r="C24" s="75" t="s">
        <v>4040</v>
      </c>
      <c r="D24" s="75" t="s">
        <v>54</v>
      </c>
      <c r="E24" s="341" t="s">
        <v>71</v>
      </c>
      <c r="F24" s="75" t="s">
        <v>3832</v>
      </c>
      <c r="G24" s="503">
        <v>1</v>
      </c>
      <c r="H24" s="86"/>
      <c r="J24" s="86"/>
      <c r="K24" s="418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</row>
    <row r="25" spans="1:94" s="11" customFormat="1" x14ac:dyDescent="0.25">
      <c r="A25" s="487">
        <v>44393</v>
      </c>
      <c r="B25" s="75" t="s">
        <v>12</v>
      </c>
      <c r="C25" s="75">
        <v>3299</v>
      </c>
      <c r="D25" s="75" t="s">
        <v>54</v>
      </c>
      <c r="E25" s="341" t="s">
        <v>4041</v>
      </c>
      <c r="F25" s="75" t="s">
        <v>66</v>
      </c>
      <c r="G25" s="503"/>
      <c r="H25" s="86"/>
      <c r="J25" s="86"/>
      <c r="K25" s="418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</row>
    <row r="26" spans="1:94" x14ac:dyDescent="0.25">
      <c r="A26" s="487">
        <v>44393</v>
      </c>
      <c r="B26" s="75" t="s">
        <v>12</v>
      </c>
      <c r="C26" s="75">
        <v>2765</v>
      </c>
      <c r="D26" s="75" t="s">
        <v>54</v>
      </c>
      <c r="E26" s="341" t="s">
        <v>4041</v>
      </c>
      <c r="F26" s="75" t="s">
        <v>66</v>
      </c>
      <c r="G26" s="503"/>
      <c r="I26" s="4"/>
    </row>
    <row r="27" spans="1:94" x14ac:dyDescent="0.25">
      <c r="A27" s="487">
        <v>44393</v>
      </c>
      <c r="B27" s="75" t="s">
        <v>12</v>
      </c>
      <c r="C27" s="75">
        <v>21221</v>
      </c>
      <c r="D27" s="75" t="s">
        <v>54</v>
      </c>
      <c r="E27" s="341" t="s">
        <v>4041</v>
      </c>
      <c r="F27" s="75" t="s">
        <v>66</v>
      </c>
      <c r="G27" s="503"/>
      <c r="I27" s="4"/>
    </row>
    <row r="28" spans="1:94" x14ac:dyDescent="0.25">
      <c r="A28" s="487">
        <v>44393</v>
      </c>
      <c r="B28" s="75" t="s">
        <v>12</v>
      </c>
      <c r="C28" s="75">
        <v>3131</v>
      </c>
      <c r="D28" s="75" t="s">
        <v>54</v>
      </c>
      <c r="E28" s="341" t="s">
        <v>4041</v>
      </c>
      <c r="F28" s="75" t="s">
        <v>66</v>
      </c>
      <c r="G28" s="503"/>
      <c r="I28" s="4"/>
    </row>
    <row r="29" spans="1:94" x14ac:dyDescent="0.25">
      <c r="A29" s="487">
        <v>44393</v>
      </c>
      <c r="B29" s="75" t="s">
        <v>12</v>
      </c>
      <c r="C29" s="75">
        <v>2763</v>
      </c>
      <c r="D29" s="75" t="s">
        <v>54</v>
      </c>
      <c r="E29" s="341" t="s">
        <v>4041</v>
      </c>
      <c r="F29" s="75" t="s">
        <v>66</v>
      </c>
      <c r="G29" s="541"/>
      <c r="I29" s="4"/>
    </row>
    <row r="30" spans="1:94" x14ac:dyDescent="0.25">
      <c r="A30" s="487">
        <v>44393</v>
      </c>
      <c r="B30" s="75" t="s">
        <v>12</v>
      </c>
      <c r="C30" s="75">
        <v>2707</v>
      </c>
      <c r="D30" s="75" t="s">
        <v>54</v>
      </c>
      <c r="E30" s="341" t="s">
        <v>4041</v>
      </c>
      <c r="F30" s="75" t="s">
        <v>66</v>
      </c>
      <c r="G30" s="541"/>
      <c r="I30" s="4"/>
    </row>
    <row r="31" spans="1:94" x14ac:dyDescent="0.25">
      <c r="A31" s="487">
        <v>44393</v>
      </c>
      <c r="B31" s="75" t="s">
        <v>12</v>
      </c>
      <c r="C31" s="75">
        <v>2690</v>
      </c>
      <c r="D31" s="75" t="s">
        <v>54</v>
      </c>
      <c r="E31" s="341" t="s">
        <v>4041</v>
      </c>
      <c r="F31" s="75" t="s">
        <v>66</v>
      </c>
      <c r="G31" s="541"/>
      <c r="I31" s="4"/>
    </row>
    <row r="32" spans="1:94" x14ac:dyDescent="0.25">
      <c r="A32" s="487">
        <v>44393</v>
      </c>
      <c r="B32" s="75" t="s">
        <v>12</v>
      </c>
      <c r="C32" s="75" t="s">
        <v>4042</v>
      </c>
      <c r="D32" s="75" t="s">
        <v>54</v>
      </c>
      <c r="E32" s="341" t="s">
        <v>4041</v>
      </c>
      <c r="F32" s="75" t="s">
        <v>66</v>
      </c>
      <c r="G32" s="541"/>
      <c r="H32" s="4"/>
    </row>
    <row r="33" spans="1:8" x14ac:dyDescent="0.25">
      <c r="A33" s="487">
        <v>44393</v>
      </c>
      <c r="B33" s="75" t="s">
        <v>12</v>
      </c>
      <c r="C33" s="75">
        <v>4643</v>
      </c>
      <c r="D33" s="75" t="s">
        <v>54</v>
      </c>
      <c r="E33" s="341" t="s">
        <v>4041</v>
      </c>
      <c r="F33" s="75" t="s">
        <v>66</v>
      </c>
      <c r="G33" s="28"/>
      <c r="H33" s="4"/>
    </row>
    <row r="34" spans="1:8" x14ac:dyDescent="0.25">
      <c r="A34" s="487">
        <v>44393</v>
      </c>
      <c r="B34" s="75" t="s">
        <v>12</v>
      </c>
      <c r="C34" s="75">
        <v>3132</v>
      </c>
      <c r="D34" s="75" t="s">
        <v>54</v>
      </c>
      <c r="E34" s="341" t="s">
        <v>4041</v>
      </c>
      <c r="F34" s="75" t="s">
        <v>66</v>
      </c>
      <c r="G34" s="28"/>
      <c r="H34" s="4"/>
    </row>
    <row r="35" spans="1:8" x14ac:dyDescent="0.25">
      <c r="A35" s="487">
        <v>44393</v>
      </c>
      <c r="B35" s="75" t="s">
        <v>12</v>
      </c>
      <c r="C35" s="75" t="s">
        <v>4043</v>
      </c>
      <c r="D35" s="75" t="s">
        <v>54</v>
      </c>
      <c r="E35" s="72" t="s">
        <v>71</v>
      </c>
      <c r="F35" s="75" t="s">
        <v>3832</v>
      </c>
      <c r="G35" s="28">
        <v>20</v>
      </c>
      <c r="H35" s="4"/>
    </row>
    <row r="36" spans="1:8" x14ac:dyDescent="0.25">
      <c r="A36" s="487">
        <v>44393</v>
      </c>
      <c r="B36" s="75" t="s">
        <v>12</v>
      </c>
      <c r="C36" s="75" t="s">
        <v>4044</v>
      </c>
      <c r="D36" s="75" t="s">
        <v>54</v>
      </c>
      <c r="E36" s="72" t="s">
        <v>4045</v>
      </c>
      <c r="F36" s="75" t="s">
        <v>3832</v>
      </c>
      <c r="G36" s="28">
        <v>25</v>
      </c>
      <c r="H36" s="4"/>
    </row>
    <row r="37" spans="1:8" x14ac:dyDescent="0.25">
      <c r="A37" s="487">
        <v>44393</v>
      </c>
      <c r="B37" s="75" t="s">
        <v>12</v>
      </c>
      <c r="C37" s="75" t="s">
        <v>4046</v>
      </c>
      <c r="D37" s="75" t="s">
        <v>54</v>
      </c>
      <c r="E37" s="72" t="s">
        <v>4045</v>
      </c>
      <c r="F37" s="75" t="s">
        <v>3832</v>
      </c>
      <c r="G37" s="28">
        <v>11</v>
      </c>
      <c r="H37" s="4"/>
    </row>
    <row r="38" spans="1:8" x14ac:dyDescent="0.25">
      <c r="A38" s="390"/>
      <c r="B38" s="443"/>
      <c r="C38" s="419"/>
      <c r="D38" s="470"/>
      <c r="E38" s="505"/>
      <c r="F38" s="31"/>
      <c r="G38" s="15"/>
      <c r="H38" s="4"/>
    </row>
    <row r="39" spans="1:8" x14ac:dyDescent="0.25">
      <c r="A39" s="390"/>
      <c r="B39" s="443"/>
      <c r="C39" s="477"/>
      <c r="D39" s="470"/>
      <c r="E39" s="506"/>
      <c r="F39" s="31"/>
      <c r="G39" s="15"/>
      <c r="H39" s="4"/>
    </row>
    <row r="40" spans="1:8" x14ac:dyDescent="0.25">
      <c r="A40" s="390"/>
      <c r="B40" s="443"/>
      <c r="C40" s="477"/>
      <c r="D40" s="470"/>
      <c r="E40" s="505"/>
      <c r="F40" s="31"/>
      <c r="G40" s="15"/>
      <c r="H40" s="4"/>
    </row>
    <row r="41" spans="1:8" x14ac:dyDescent="0.25">
      <c r="A41" s="390"/>
      <c r="B41" s="443"/>
      <c r="C41" s="477"/>
      <c r="D41" s="470"/>
      <c r="E41" s="505"/>
      <c r="F41" s="31"/>
      <c r="G41" s="15"/>
      <c r="H41" s="4"/>
    </row>
    <row r="42" spans="1:8" x14ac:dyDescent="0.25">
      <c r="A42" s="390"/>
      <c r="B42" s="443"/>
      <c r="C42" s="477"/>
      <c r="D42" s="470"/>
      <c r="E42" s="505"/>
      <c r="F42" s="31"/>
      <c r="G42" s="15"/>
      <c r="H42" s="4"/>
    </row>
    <row r="43" spans="1:8" x14ac:dyDescent="0.25">
      <c r="A43" s="390"/>
      <c r="B43" s="443"/>
      <c r="C43" s="477"/>
      <c r="D43" s="470"/>
      <c r="E43" s="505"/>
      <c r="F43" s="31"/>
      <c r="G43" s="15"/>
      <c r="H43" s="4"/>
    </row>
    <row r="44" spans="1:8" x14ac:dyDescent="0.25">
      <c r="A44" s="390"/>
      <c r="B44" s="443"/>
      <c r="C44" s="477"/>
      <c r="D44" s="470"/>
      <c r="E44" s="505"/>
      <c r="F44" s="31"/>
      <c r="G44" s="15"/>
      <c r="H44" s="4"/>
    </row>
    <row r="45" spans="1:8" x14ac:dyDescent="0.25">
      <c r="A45" s="390"/>
      <c r="B45" s="443"/>
      <c r="C45" s="477"/>
      <c r="D45" s="470"/>
      <c r="E45" s="505"/>
      <c r="F45" s="31"/>
      <c r="G45" s="15"/>
      <c r="H45" s="4"/>
    </row>
    <row r="46" spans="1:8" x14ac:dyDescent="0.25">
      <c r="A46" s="390"/>
      <c r="B46" s="443"/>
      <c r="C46" s="477"/>
      <c r="D46" s="470"/>
      <c r="E46" s="505"/>
      <c r="F46" s="31"/>
      <c r="G46" s="15"/>
      <c r="H46" s="4"/>
    </row>
    <row r="47" spans="1:8" x14ac:dyDescent="0.25">
      <c r="A47" s="390"/>
      <c r="B47" s="443"/>
      <c r="C47" s="477"/>
      <c r="D47" s="470"/>
      <c r="E47" s="505"/>
      <c r="F47" s="31"/>
      <c r="G47" s="15"/>
    </row>
    <row r="48" spans="1:8" x14ac:dyDescent="0.25">
      <c r="A48" s="390"/>
      <c r="B48" s="443"/>
      <c r="C48" s="477"/>
      <c r="D48" s="470"/>
      <c r="E48" s="505"/>
      <c r="F48" s="31"/>
      <c r="G48" s="15"/>
    </row>
    <row r="49" spans="1:7" x14ac:dyDescent="0.25">
      <c r="A49" s="390"/>
      <c r="B49" s="443"/>
      <c r="C49" s="477"/>
      <c r="D49" s="470"/>
      <c r="E49" s="505"/>
      <c r="F49" s="31"/>
      <c r="G49" s="15"/>
    </row>
    <row r="50" spans="1:7" x14ac:dyDescent="0.25">
      <c r="A50" s="390"/>
      <c r="B50" s="443"/>
      <c r="C50" s="477"/>
      <c r="D50" s="470"/>
      <c r="E50" s="505"/>
      <c r="F50" s="31"/>
      <c r="G50" s="15"/>
    </row>
    <row r="51" spans="1:7" x14ac:dyDescent="0.25">
      <c r="A51" s="390"/>
      <c r="B51" s="443"/>
      <c r="C51" s="477"/>
      <c r="D51" s="470"/>
      <c r="E51" s="505"/>
      <c r="F51" s="31"/>
      <c r="G51" s="15"/>
    </row>
    <row r="52" spans="1:7" x14ac:dyDescent="0.25">
      <c r="A52" s="390"/>
      <c r="B52" s="443"/>
      <c r="C52" s="477"/>
      <c r="D52" s="470"/>
      <c r="E52" s="505"/>
      <c r="F52" s="31"/>
      <c r="G52" s="15"/>
    </row>
    <row r="53" spans="1:7" x14ac:dyDescent="0.25">
      <c r="A53" s="390"/>
      <c r="B53" s="443"/>
      <c r="C53" s="477"/>
      <c r="D53" s="470"/>
      <c r="E53" s="505"/>
      <c r="F53" s="31"/>
      <c r="G53" s="15"/>
    </row>
    <row r="54" spans="1:7" x14ac:dyDescent="0.25">
      <c r="A54" s="390"/>
      <c r="B54" s="443"/>
      <c r="C54" s="419"/>
      <c r="D54" s="470"/>
      <c r="E54" s="505"/>
      <c r="F54" s="31"/>
      <c r="G54" s="15"/>
    </row>
    <row r="55" spans="1:7" x14ac:dyDescent="0.25">
      <c r="A55" s="390"/>
      <c r="B55" s="443"/>
      <c r="C55" s="477"/>
      <c r="D55" s="470"/>
      <c r="E55" s="505"/>
      <c r="F55" s="31"/>
      <c r="G55" s="15"/>
    </row>
    <row r="56" spans="1:7" x14ac:dyDescent="0.25">
      <c r="A56" s="390"/>
      <c r="B56" s="443"/>
      <c r="C56" s="477"/>
      <c r="D56" s="470"/>
      <c r="E56" s="505"/>
      <c r="F56" s="31"/>
      <c r="G56" s="15"/>
    </row>
    <row r="57" spans="1:7" x14ac:dyDescent="0.25">
      <c r="A57" s="390"/>
      <c r="B57" s="443"/>
      <c r="C57" s="477"/>
      <c r="D57" s="470"/>
      <c r="E57" s="506"/>
      <c r="F57" s="31"/>
      <c r="G57" s="15"/>
    </row>
    <row r="58" spans="1:7" x14ac:dyDescent="0.25">
      <c r="A58" s="390"/>
      <c r="B58" s="443"/>
      <c r="C58" s="477"/>
      <c r="D58" s="470"/>
      <c r="E58" s="505"/>
      <c r="F58" s="31"/>
      <c r="G58" s="15"/>
    </row>
    <row r="59" spans="1:7" x14ac:dyDescent="0.25">
      <c r="A59" s="390"/>
      <c r="B59" s="443"/>
      <c r="C59" s="477"/>
      <c r="D59" s="470"/>
      <c r="E59" s="505"/>
      <c r="F59" s="31"/>
      <c r="G59" s="15"/>
    </row>
    <row r="60" spans="1:7" x14ac:dyDescent="0.25">
      <c r="A60" s="390"/>
      <c r="B60" s="443"/>
      <c r="C60" s="477"/>
      <c r="D60" s="470"/>
      <c r="E60" s="505"/>
      <c r="F60" s="31"/>
      <c r="G60" s="15"/>
    </row>
    <row r="61" spans="1:7" x14ac:dyDescent="0.25">
      <c r="A61" s="390"/>
      <c r="B61" s="443"/>
      <c r="C61" s="477"/>
      <c r="D61" s="470"/>
      <c r="E61" s="505"/>
      <c r="F61" s="31"/>
      <c r="G61" s="15"/>
    </row>
    <row r="62" spans="1:7" x14ac:dyDescent="0.25">
      <c r="A62" s="390"/>
      <c r="B62" s="443"/>
      <c r="C62" s="477"/>
      <c r="D62" s="470"/>
      <c r="E62" s="505"/>
      <c r="F62" s="31"/>
      <c r="G62" s="15"/>
    </row>
    <row r="63" spans="1:7" x14ac:dyDescent="0.25">
      <c r="A63" s="390"/>
      <c r="B63" s="443"/>
      <c r="C63" s="477"/>
      <c r="D63" s="470"/>
      <c r="E63" s="505"/>
      <c r="F63" s="31"/>
      <c r="G63" s="15"/>
    </row>
    <row r="64" spans="1:7" x14ac:dyDescent="0.25">
      <c r="A64" s="390"/>
      <c r="B64" s="443"/>
      <c r="C64" s="477"/>
      <c r="D64" s="470"/>
      <c r="E64" s="505"/>
      <c r="F64" s="31"/>
      <c r="G64" s="15"/>
    </row>
    <row r="65" spans="1:7" x14ac:dyDescent="0.25">
      <c r="A65" s="390"/>
      <c r="B65" s="443"/>
      <c r="C65" s="477"/>
      <c r="D65" s="470"/>
      <c r="E65" s="506"/>
      <c r="F65" s="31"/>
      <c r="G65" s="15"/>
    </row>
    <row r="66" spans="1:7" x14ac:dyDescent="0.25">
      <c r="A66" s="390"/>
      <c r="B66" s="443"/>
      <c r="C66" s="477"/>
      <c r="D66" s="470"/>
      <c r="E66" s="506"/>
      <c r="F66" s="31"/>
      <c r="G66" s="15"/>
    </row>
    <row r="67" spans="1:7" x14ac:dyDescent="0.25">
      <c r="A67" s="390"/>
      <c r="B67" s="443"/>
      <c r="C67" s="477"/>
      <c r="D67" s="470"/>
      <c r="E67" s="505"/>
      <c r="F67" s="31"/>
      <c r="G67" s="15"/>
    </row>
    <row r="68" spans="1:7" x14ac:dyDescent="0.25">
      <c r="A68" s="390"/>
      <c r="B68" s="443"/>
      <c r="C68" s="477"/>
      <c r="D68" s="470"/>
      <c r="E68" s="505"/>
      <c r="F68" s="31"/>
      <c r="G68" s="15"/>
    </row>
    <row r="69" spans="1:7" x14ac:dyDescent="0.25">
      <c r="A69" s="390"/>
      <c r="B69" s="443"/>
      <c r="C69" s="477"/>
      <c r="D69" s="470"/>
      <c r="E69" s="505"/>
      <c r="F69" s="31"/>
      <c r="G69" s="15"/>
    </row>
    <row r="70" spans="1:7" x14ac:dyDescent="0.25">
      <c r="A70" s="390"/>
      <c r="B70" s="443"/>
      <c r="C70" s="419"/>
      <c r="D70" s="470"/>
      <c r="E70" s="505"/>
      <c r="F70" s="31"/>
      <c r="G70" s="15"/>
    </row>
    <row r="71" spans="1:7" x14ac:dyDescent="0.25">
      <c r="A71" s="390"/>
      <c r="B71" s="443"/>
      <c r="C71" s="419"/>
      <c r="D71" s="470"/>
      <c r="E71" s="505"/>
      <c r="F71" s="31"/>
      <c r="G71" s="15"/>
    </row>
    <row r="72" spans="1:7" x14ac:dyDescent="0.25">
      <c r="A72" s="390"/>
      <c r="B72" s="443"/>
      <c r="C72" s="477"/>
      <c r="D72" s="470"/>
      <c r="E72" s="505"/>
      <c r="F72" s="31"/>
      <c r="G72" s="15"/>
    </row>
    <row r="73" spans="1:7" x14ac:dyDescent="0.25">
      <c r="A73" s="390"/>
      <c r="B73" s="443"/>
      <c r="C73" s="477"/>
      <c r="D73" s="470"/>
      <c r="E73" s="505"/>
      <c r="F73" s="31"/>
      <c r="G73" s="15"/>
    </row>
    <row r="74" spans="1:7" x14ac:dyDescent="0.25">
      <c r="A74" s="390"/>
      <c r="B74" s="443"/>
      <c r="C74" s="477"/>
      <c r="D74" s="470"/>
      <c r="E74" s="505"/>
      <c r="F74" s="31"/>
      <c r="G74" s="15"/>
    </row>
    <row r="75" spans="1:7" x14ac:dyDescent="0.25">
      <c r="A75" s="390"/>
      <c r="B75" s="443"/>
      <c r="C75" s="477"/>
      <c r="D75" s="470"/>
      <c r="E75" s="505"/>
      <c r="F75" s="31"/>
      <c r="G75" s="15"/>
    </row>
    <row r="76" spans="1:7" x14ac:dyDescent="0.25">
      <c r="A76" s="390"/>
      <c r="B76" s="443"/>
      <c r="C76" s="477"/>
      <c r="D76" s="470"/>
      <c r="E76" s="505"/>
      <c r="F76" s="31"/>
      <c r="G76" s="15"/>
    </row>
    <row r="77" spans="1:7" x14ac:dyDescent="0.25">
      <c r="A77" s="390"/>
      <c r="B77" s="443"/>
      <c r="C77" s="477"/>
      <c r="D77" s="470"/>
      <c r="E77" s="505"/>
      <c r="F77" s="31"/>
      <c r="G77" s="15"/>
    </row>
    <row r="78" spans="1:7" x14ac:dyDescent="0.25">
      <c r="A78" s="390"/>
      <c r="B78" s="443"/>
      <c r="C78" s="477"/>
      <c r="D78" s="470"/>
      <c r="E78" s="505"/>
      <c r="F78" s="31"/>
      <c r="G78" s="15"/>
    </row>
    <row r="79" spans="1:7" x14ac:dyDescent="0.25">
      <c r="A79" s="390"/>
      <c r="B79" s="443"/>
      <c r="C79" s="477"/>
      <c r="D79" s="470"/>
      <c r="E79" s="505"/>
      <c r="F79" s="31"/>
      <c r="G79" s="15"/>
    </row>
    <row r="80" spans="1:7" x14ac:dyDescent="0.25">
      <c r="A80" s="390"/>
      <c r="B80" s="443"/>
      <c r="C80" s="419"/>
      <c r="D80" s="470"/>
      <c r="E80" s="505"/>
      <c r="F80" s="31"/>
      <c r="G80" s="15"/>
    </row>
    <row r="81" spans="1:7" x14ac:dyDescent="0.25">
      <c r="A81" s="390"/>
      <c r="B81" s="500"/>
      <c r="C81" s="419"/>
      <c r="D81" s="500"/>
      <c r="E81" s="475"/>
      <c r="F81" s="31"/>
      <c r="G81" s="15"/>
    </row>
    <row r="82" spans="1:7" x14ac:dyDescent="0.25">
      <c r="A82" s="447"/>
      <c r="B82" s="184"/>
      <c r="C82" s="507"/>
      <c r="D82" s="184"/>
      <c r="E82" s="478"/>
      <c r="F82" s="452"/>
      <c r="G82" s="12"/>
    </row>
    <row r="83" spans="1:7" x14ac:dyDescent="0.25">
      <c r="A83" s="447"/>
      <c r="B83" s="184"/>
      <c r="C83" s="507"/>
      <c r="D83" s="184"/>
      <c r="E83" s="478"/>
      <c r="F83" s="452"/>
      <c r="G83" s="12"/>
    </row>
    <row r="84" spans="1:7" x14ac:dyDescent="0.25">
      <c r="A84" s="447"/>
      <c r="B84" s="184"/>
      <c r="C84" s="507"/>
      <c r="D84" s="184"/>
      <c r="E84" s="508"/>
      <c r="F84" s="452"/>
    </row>
    <row r="85" spans="1:7" x14ac:dyDescent="0.25">
      <c r="A85" s="447"/>
      <c r="B85" s="184"/>
      <c r="C85" s="507"/>
      <c r="D85" s="184"/>
      <c r="E85" s="478"/>
      <c r="F85" s="452"/>
    </row>
    <row r="86" spans="1:7" x14ac:dyDescent="0.25">
      <c r="A86" s="447"/>
      <c r="B86" s="184"/>
      <c r="C86" s="507"/>
      <c r="D86" s="184"/>
      <c r="E86" s="508"/>
      <c r="F86" s="452"/>
    </row>
    <row r="87" spans="1:7" x14ac:dyDescent="0.25">
      <c r="A87" s="447"/>
      <c r="B87" s="184"/>
      <c r="C87" s="507"/>
      <c r="D87" s="184"/>
      <c r="E87" s="478"/>
      <c r="F87" s="452"/>
    </row>
    <row r="88" spans="1:7" x14ac:dyDescent="0.25">
      <c r="A88" s="447"/>
      <c r="B88" s="184"/>
      <c r="C88" s="507"/>
      <c r="D88" s="184"/>
      <c r="E88" s="508"/>
      <c r="F88" s="452"/>
    </row>
    <row r="89" spans="1:7" x14ac:dyDescent="0.25">
      <c r="A89" s="447"/>
      <c r="B89" s="184"/>
      <c r="C89" s="507"/>
      <c r="D89" s="184"/>
      <c r="E89" s="478"/>
      <c r="F89" s="452"/>
    </row>
    <row r="90" spans="1:7" x14ac:dyDescent="0.25">
      <c r="A90" s="447"/>
      <c r="B90" s="184"/>
      <c r="C90" s="507"/>
      <c r="D90" s="184"/>
      <c r="E90" s="478"/>
      <c r="F90" s="452"/>
    </row>
    <row r="91" spans="1:7" x14ac:dyDescent="0.25">
      <c r="A91" s="447"/>
      <c r="B91" s="184"/>
      <c r="C91" s="507"/>
      <c r="D91" s="184"/>
      <c r="E91" s="478"/>
      <c r="F91" s="452"/>
    </row>
    <row r="92" spans="1:7" x14ac:dyDescent="0.25">
      <c r="A92" s="447"/>
      <c r="B92" s="184"/>
      <c r="C92" s="507"/>
      <c r="D92" s="184"/>
      <c r="E92" s="478"/>
      <c r="F92" s="452"/>
    </row>
    <row r="93" spans="1:7" x14ac:dyDescent="0.25">
      <c r="A93" s="447"/>
      <c r="B93" s="184"/>
      <c r="C93" s="507"/>
      <c r="D93" s="184"/>
      <c r="E93" s="478"/>
      <c r="F93" s="452"/>
    </row>
    <row r="94" spans="1:7" x14ac:dyDescent="0.25">
      <c r="A94" s="447"/>
      <c r="B94" s="184"/>
      <c r="C94" s="507"/>
      <c r="D94" s="184"/>
      <c r="E94" s="478"/>
      <c r="F94" s="452"/>
    </row>
    <row r="95" spans="1:7" x14ac:dyDescent="0.25">
      <c r="A95" s="447"/>
      <c r="B95" s="184"/>
      <c r="C95" s="507"/>
      <c r="D95" s="184"/>
      <c r="E95" s="478"/>
      <c r="F95" s="452"/>
    </row>
    <row r="96" spans="1:7" x14ac:dyDescent="0.25">
      <c r="A96" s="447"/>
      <c r="B96" s="184"/>
      <c r="C96" s="507"/>
      <c r="D96" s="184"/>
      <c r="E96" s="478"/>
      <c r="F96" s="452"/>
    </row>
    <row r="97" spans="1:6" x14ac:dyDescent="0.25">
      <c r="A97" s="447"/>
      <c r="B97" s="184"/>
      <c r="C97" s="507"/>
      <c r="D97" s="184"/>
      <c r="E97" s="478"/>
      <c r="F97" s="452"/>
    </row>
    <row r="98" spans="1:6" x14ac:dyDescent="0.25">
      <c r="A98" s="447"/>
      <c r="B98" s="184"/>
      <c r="C98" s="507"/>
      <c r="D98" s="184"/>
      <c r="E98" s="478"/>
      <c r="F98" s="452"/>
    </row>
    <row r="99" spans="1:6" x14ac:dyDescent="0.25">
      <c r="A99" s="447"/>
      <c r="B99" s="184"/>
      <c r="C99" s="507"/>
      <c r="D99" s="184"/>
      <c r="E99" s="478"/>
      <c r="F99" s="452"/>
    </row>
    <row r="100" spans="1:6" x14ac:dyDescent="0.25">
      <c r="A100" s="447"/>
      <c r="B100" s="184"/>
      <c r="C100" s="507"/>
      <c r="D100" s="184"/>
      <c r="E100" s="478"/>
      <c r="F100" s="452"/>
    </row>
    <row r="101" spans="1:6" x14ac:dyDescent="0.25">
      <c r="A101" s="447"/>
      <c r="B101" s="184"/>
      <c r="C101" s="507"/>
      <c r="D101" s="184"/>
      <c r="E101" s="508"/>
      <c r="F101" s="452"/>
    </row>
    <row r="102" spans="1:6" x14ac:dyDescent="0.25">
      <c r="A102" s="447"/>
      <c r="B102" s="184"/>
      <c r="C102" s="507"/>
      <c r="D102" s="184"/>
      <c r="E102" s="508"/>
      <c r="F102" s="452"/>
    </row>
    <row r="103" spans="1:6" x14ac:dyDescent="0.25">
      <c r="A103" s="447"/>
      <c r="B103" s="184"/>
      <c r="C103" s="507"/>
      <c r="D103" s="184"/>
      <c r="E103" s="478"/>
      <c r="F103" s="452"/>
    </row>
    <row r="104" spans="1:6" x14ac:dyDescent="0.25">
      <c r="A104" s="447"/>
      <c r="B104" s="184"/>
      <c r="C104" s="507"/>
      <c r="D104" s="184"/>
      <c r="E104" s="478"/>
      <c r="F104" s="452"/>
    </row>
    <row r="105" spans="1:6" x14ac:dyDescent="0.25">
      <c r="A105" s="447"/>
      <c r="B105" s="184"/>
      <c r="C105" s="507"/>
      <c r="D105" s="184"/>
      <c r="E105" s="508"/>
      <c r="F105" s="452"/>
    </row>
    <row r="106" spans="1:6" x14ac:dyDescent="0.25">
      <c r="A106" s="447"/>
      <c r="B106" s="184"/>
      <c r="C106" s="507"/>
      <c r="D106" s="184"/>
      <c r="E106" s="508"/>
      <c r="F106" s="452"/>
    </row>
    <row r="107" spans="1:6" x14ac:dyDescent="0.25">
      <c r="A107" s="447"/>
      <c r="B107" s="184"/>
      <c r="C107" s="507"/>
      <c r="D107" s="184"/>
      <c r="E107" s="478"/>
      <c r="F107" s="452"/>
    </row>
    <row r="108" spans="1:6" x14ac:dyDescent="0.25">
      <c r="A108" s="447"/>
      <c r="B108" s="184"/>
      <c r="C108" s="507"/>
      <c r="D108" s="184"/>
      <c r="E108" s="478"/>
      <c r="F108" s="452"/>
    </row>
    <row r="109" spans="1:6" x14ac:dyDescent="0.25">
      <c r="A109" s="447"/>
      <c r="B109" s="184"/>
      <c r="C109" s="507"/>
      <c r="D109" s="184"/>
      <c r="E109" s="478"/>
      <c r="F109" s="452"/>
    </row>
    <row r="110" spans="1:6" x14ac:dyDescent="0.25">
      <c r="A110" s="447"/>
      <c r="B110" s="184"/>
      <c r="C110" s="507"/>
      <c r="D110" s="184"/>
      <c r="E110" s="508"/>
      <c r="F110" s="452"/>
    </row>
    <row r="111" spans="1:6" x14ac:dyDescent="0.25">
      <c r="A111" s="447"/>
      <c r="B111" s="184"/>
      <c r="C111" s="507"/>
      <c r="D111" s="184"/>
      <c r="E111" s="478"/>
      <c r="F111" s="452"/>
    </row>
    <row r="112" spans="1:6" x14ac:dyDescent="0.25">
      <c r="A112" s="447"/>
      <c r="B112" s="184"/>
      <c r="C112" s="507"/>
      <c r="D112" s="184"/>
      <c r="E112" s="478"/>
      <c r="F112" s="452"/>
    </row>
    <row r="113" spans="1:6" x14ac:dyDescent="0.25">
      <c r="A113" s="447"/>
      <c r="B113" s="184"/>
      <c r="C113" s="507"/>
      <c r="D113" s="184"/>
      <c r="E113" s="478"/>
      <c r="F113" s="452"/>
    </row>
    <row r="114" spans="1:6" x14ac:dyDescent="0.25">
      <c r="A114" s="447"/>
      <c r="B114" s="184"/>
      <c r="C114" s="507"/>
      <c r="D114" s="184"/>
      <c r="E114" s="478"/>
      <c r="F114" s="452"/>
    </row>
    <row r="115" spans="1:6" x14ac:dyDescent="0.25">
      <c r="A115" s="447"/>
      <c r="B115" s="184"/>
      <c r="C115" s="507"/>
      <c r="D115" s="184"/>
      <c r="E115" s="478"/>
      <c r="F115" s="452"/>
    </row>
    <row r="116" spans="1:6" x14ac:dyDescent="0.25">
      <c r="A116" s="509"/>
      <c r="B116" s="452"/>
      <c r="C116" s="510"/>
      <c r="E116" s="511"/>
      <c r="F116" s="479"/>
    </row>
    <row r="117" spans="1:6" x14ac:dyDescent="0.25">
      <c r="A117" s="447"/>
      <c r="B117" s="184"/>
      <c r="C117" s="507"/>
      <c r="D117" s="184"/>
      <c r="E117" s="508"/>
      <c r="F117" s="452"/>
    </row>
  </sheetData>
  <mergeCells count="8">
    <mergeCell ref="CD4:CM4"/>
    <mergeCell ref="BT4:BX4"/>
    <mergeCell ref="BY4:CC4"/>
    <mergeCell ref="A4:F4"/>
    <mergeCell ref="J4:AM4"/>
    <mergeCell ref="AN4:BJ4"/>
    <mergeCell ref="BL4:BM4"/>
    <mergeCell ref="BN4:BS4"/>
  </mergeCells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  <pageSetUpPr fitToPage="1"/>
  </sheetPr>
  <dimension ref="A1:CU391"/>
  <sheetViews>
    <sheetView showGridLines="0" zoomScaleNormal="100"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E7" sqref="E7"/>
    </sheetView>
  </sheetViews>
  <sheetFormatPr defaultRowHeight="15" x14ac:dyDescent="0.25"/>
  <cols>
    <col min="1" max="1" width="17.42578125" style="4" bestFit="1" customWidth="1"/>
    <col min="2" max="2" width="17.42578125" style="4" customWidth="1"/>
    <col min="3" max="3" width="26.42578125" style="14" bestFit="1" customWidth="1"/>
    <col min="4" max="4" width="8.7109375" style="14" bestFit="1" customWidth="1"/>
    <col min="5" max="5" width="39.5703125" style="4" customWidth="1"/>
    <col min="6" max="6" width="53.85546875" style="11" customWidth="1"/>
    <col min="7" max="7" width="17.85546875" style="11" customWidth="1"/>
    <col min="8" max="8" width="9.7109375" style="11" bestFit="1" customWidth="1"/>
    <col min="9" max="9" width="14.5703125" style="11" customWidth="1"/>
    <col min="10" max="10" width="23.85546875" style="4" customWidth="1"/>
    <col min="11" max="11" width="18.42578125" style="4" customWidth="1"/>
    <col min="12" max="12" width="16" style="4" bestFit="1" customWidth="1"/>
    <col min="13" max="14" width="14.5703125" style="4" bestFit="1" customWidth="1"/>
    <col min="15" max="15" width="12.5703125" style="4" bestFit="1" customWidth="1"/>
    <col min="16" max="16" width="13.42578125" style="4" customWidth="1"/>
    <col min="17" max="17" width="14" style="4" bestFit="1" customWidth="1"/>
    <col min="18" max="18" width="13.42578125" style="4" customWidth="1"/>
    <col min="19" max="19" width="14" style="4" bestFit="1" customWidth="1"/>
    <col min="20" max="20" width="13.42578125" style="4" customWidth="1"/>
    <col min="21" max="21" width="9" style="4" bestFit="1" customWidth="1"/>
    <col min="22" max="22" width="13.42578125" style="4" bestFit="1" customWidth="1"/>
    <col min="23" max="23" width="9" style="4" bestFit="1" customWidth="1"/>
    <col min="24" max="24" width="13.42578125" style="4" bestFit="1" customWidth="1"/>
    <col min="25" max="25" width="8" style="4" bestFit="1" customWidth="1"/>
    <col min="26" max="26" width="13.42578125" style="4" bestFit="1" customWidth="1"/>
    <col min="27" max="27" width="11.5703125" style="4" bestFit="1" customWidth="1"/>
    <col min="28" max="28" width="14.42578125" style="4" bestFit="1" customWidth="1"/>
    <col min="29" max="29" width="9" style="4" bestFit="1" customWidth="1"/>
    <col min="30" max="30" width="14.42578125" style="4" bestFit="1" customWidth="1"/>
    <col min="31" max="31" width="9" style="4" bestFit="1" customWidth="1"/>
    <col min="32" max="32" width="14.42578125" style="4" bestFit="1" customWidth="1"/>
    <col min="33" max="33" width="9.140625" style="4" bestFit="1" customWidth="1"/>
    <col min="34" max="34" width="14.42578125" style="4" bestFit="1" customWidth="1"/>
    <col min="35" max="35" width="11.42578125" style="4" bestFit="1" customWidth="1"/>
    <col min="36" max="36" width="14.42578125" style="4" bestFit="1" customWidth="1"/>
    <col min="37" max="37" width="9.42578125" style="4" bestFit="1" customWidth="1"/>
    <col min="38" max="38" width="14.42578125" style="4" bestFit="1" customWidth="1"/>
    <col min="39" max="39" width="8.42578125" style="4" bestFit="1" customWidth="1"/>
    <col min="40" max="40" width="11.42578125" style="4" customWidth="1"/>
    <col min="41" max="41" width="12.28515625" style="4" bestFit="1" customWidth="1"/>
    <col min="42" max="42" width="9.7109375" style="4" customWidth="1"/>
    <col min="43" max="43" width="7.140625" style="4" customWidth="1"/>
    <col min="44" max="44" width="11.28515625" style="4" customWidth="1"/>
    <col min="45" max="45" width="9.42578125" style="4" customWidth="1"/>
    <col min="46" max="46" width="10.5703125" style="4" customWidth="1"/>
    <col min="47" max="48" width="8.42578125" style="4" customWidth="1"/>
    <col min="49" max="49" width="12.5703125" style="4" customWidth="1"/>
    <col min="50" max="50" width="7.7109375" style="4" customWidth="1"/>
    <col min="51" max="51" width="15.28515625" style="4" customWidth="1"/>
    <col min="52" max="52" width="10.28515625" style="4" customWidth="1"/>
    <col min="53" max="53" width="15.5703125" style="4" customWidth="1"/>
    <col min="54" max="54" width="9.5703125" style="4" customWidth="1"/>
    <col min="55" max="55" width="10.5703125" style="4" customWidth="1"/>
    <col min="56" max="56" width="7" style="4" customWidth="1"/>
    <col min="57" max="57" width="9.28515625" style="4" customWidth="1"/>
    <col min="58" max="58" width="9.5703125" style="4" customWidth="1"/>
    <col min="59" max="59" width="14.140625" style="4" customWidth="1"/>
    <col min="60" max="60" width="9.42578125" style="4" customWidth="1"/>
    <col min="61" max="61" width="10.28515625" style="4" customWidth="1"/>
    <col min="62" max="62" width="11.42578125" style="4" customWidth="1"/>
    <col min="63" max="63" width="17.7109375" style="4" bestFit="1" customWidth="1"/>
    <col min="64" max="64" width="15.140625" style="4" customWidth="1"/>
    <col min="65" max="65" width="16.140625" style="4" customWidth="1"/>
    <col min="66" max="66" width="15.140625" style="4" bestFit="1" customWidth="1"/>
    <col min="67" max="67" width="6.5703125" style="4" customWidth="1"/>
    <col min="68" max="68" width="6.85546875" style="4" customWidth="1"/>
    <col min="69" max="69" width="7" style="4" customWidth="1"/>
    <col min="70" max="70" width="6.85546875" style="4" customWidth="1"/>
    <col min="71" max="71" width="5.5703125" style="4" customWidth="1"/>
    <col min="72" max="72" width="13" style="4" customWidth="1"/>
    <col min="73" max="74" width="7" style="4" customWidth="1"/>
    <col min="75" max="75" width="12" style="4" customWidth="1"/>
    <col min="76" max="76" width="7.5703125" style="4" customWidth="1"/>
    <col min="77" max="79" width="7" style="4" customWidth="1"/>
    <col min="80" max="80" width="12" style="4" customWidth="1"/>
    <col min="81" max="83" width="7.5703125" style="4" customWidth="1"/>
    <col min="84" max="84" width="17.85546875" style="4" customWidth="1"/>
    <col min="85" max="85" width="10.42578125" style="4" customWidth="1"/>
    <col min="86" max="86" width="12" style="4" customWidth="1"/>
    <col min="87" max="88" width="14.42578125" style="4" customWidth="1"/>
    <col min="89" max="89" width="13.28515625" style="4" customWidth="1"/>
    <col min="90" max="90" width="16.28515625" style="4" customWidth="1"/>
    <col min="91" max="91" width="22.28515625" style="4" customWidth="1"/>
    <col min="92" max="92" width="12.140625" style="4" hidden="1" customWidth="1"/>
    <col min="93" max="93" width="15.42578125" style="4" hidden="1" customWidth="1"/>
    <col min="94" max="95" width="9.140625" style="4" customWidth="1"/>
    <col min="96" max="16384" width="9.140625" style="4"/>
  </cols>
  <sheetData>
    <row r="1" spans="1:93" ht="23.25" x14ac:dyDescent="0.25">
      <c r="C1" s="105"/>
      <c r="F1" s="2" t="s">
        <v>151</v>
      </c>
      <c r="G1" s="2"/>
      <c r="H1" s="2"/>
      <c r="I1" s="2"/>
    </row>
    <row r="2" spans="1:93" ht="23.25" x14ac:dyDescent="0.25">
      <c r="F2" s="106" t="s">
        <v>4039</v>
      </c>
      <c r="G2" s="106"/>
      <c r="H2" s="106"/>
      <c r="I2" s="106"/>
      <c r="K2" s="2"/>
      <c r="L2" s="3"/>
    </row>
    <row r="3" spans="1:93" ht="20.25" x14ac:dyDescent="0.25">
      <c r="F3" s="30"/>
      <c r="G3" s="30"/>
      <c r="H3" s="30"/>
      <c r="I3" s="30"/>
    </row>
    <row r="4" spans="1:93" ht="15.75" customHeight="1" x14ac:dyDescent="0.25">
      <c r="A4" s="551" t="s">
        <v>15</v>
      </c>
      <c r="B4" s="551"/>
      <c r="C4" s="551"/>
      <c r="D4" s="551"/>
      <c r="E4" s="551"/>
      <c r="F4" s="551"/>
      <c r="G4" s="405"/>
      <c r="H4" s="405"/>
      <c r="I4" s="405"/>
      <c r="J4" s="552" t="s">
        <v>13</v>
      </c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553"/>
      <c r="X4" s="553"/>
      <c r="Y4" s="553"/>
      <c r="Z4" s="553"/>
      <c r="AA4" s="553"/>
      <c r="AB4" s="553"/>
      <c r="AC4" s="553"/>
      <c r="AD4" s="553"/>
      <c r="AE4" s="553"/>
      <c r="AF4" s="553"/>
      <c r="AG4" s="553"/>
      <c r="AH4" s="553"/>
      <c r="AI4" s="553"/>
      <c r="AJ4" s="553"/>
      <c r="AK4" s="553"/>
      <c r="AL4" s="553"/>
      <c r="AM4" s="553"/>
      <c r="AN4" s="579" t="s">
        <v>14</v>
      </c>
      <c r="AO4" s="579"/>
      <c r="AP4" s="579"/>
      <c r="AQ4" s="579"/>
      <c r="AR4" s="579"/>
      <c r="AS4" s="579"/>
      <c r="AT4" s="579"/>
      <c r="AU4" s="579"/>
      <c r="AV4" s="579"/>
      <c r="AW4" s="579"/>
      <c r="AX4" s="579"/>
      <c r="AY4" s="579"/>
      <c r="AZ4" s="579"/>
      <c r="BA4" s="579"/>
      <c r="BB4" s="579"/>
      <c r="BC4" s="579"/>
      <c r="BD4" s="579"/>
      <c r="BE4" s="579"/>
      <c r="BF4" s="579"/>
      <c r="BG4" s="579"/>
      <c r="BH4" s="579"/>
      <c r="BI4" s="579"/>
      <c r="BJ4" s="579"/>
      <c r="BK4" s="107" t="s">
        <v>61</v>
      </c>
      <c r="BL4" s="580" t="s">
        <v>17</v>
      </c>
      <c r="BM4" s="581"/>
      <c r="BN4" s="582" t="s">
        <v>63</v>
      </c>
      <c r="BO4" s="583"/>
      <c r="BP4" s="583"/>
      <c r="BQ4" s="583"/>
      <c r="BR4" s="583"/>
      <c r="BS4" s="584"/>
      <c r="BT4" s="565" t="s">
        <v>19</v>
      </c>
      <c r="BU4" s="565"/>
      <c r="BV4" s="565"/>
      <c r="BW4" s="565"/>
      <c r="BX4" s="565"/>
      <c r="BY4" s="566" t="s">
        <v>25</v>
      </c>
      <c r="BZ4" s="566"/>
      <c r="CA4" s="566"/>
      <c r="CB4" s="566"/>
      <c r="CC4" s="566"/>
      <c r="CD4" s="542" t="s">
        <v>31</v>
      </c>
      <c r="CE4" s="543"/>
      <c r="CF4" s="543"/>
      <c r="CG4" s="543"/>
      <c r="CH4" s="543"/>
      <c r="CI4" s="543"/>
      <c r="CJ4" s="543"/>
      <c r="CK4" s="543"/>
      <c r="CL4" s="543"/>
      <c r="CM4" s="544"/>
    </row>
    <row r="5" spans="1:93" s="105" customFormat="1" ht="48.75" x14ac:dyDescent="0.25">
      <c r="A5" s="55" t="s">
        <v>67</v>
      </c>
      <c r="B5" s="56" t="s">
        <v>68</v>
      </c>
      <c r="C5" s="57" t="s">
        <v>0</v>
      </c>
      <c r="D5" s="58" t="s">
        <v>60</v>
      </c>
      <c r="E5" s="57" t="s">
        <v>2</v>
      </c>
      <c r="F5" s="59" t="s">
        <v>1</v>
      </c>
      <c r="G5" s="368" t="s">
        <v>3630</v>
      </c>
      <c r="H5" s="368" t="s">
        <v>2638</v>
      </c>
      <c r="I5" s="368" t="s">
        <v>2639</v>
      </c>
      <c r="J5" s="60" t="s">
        <v>3</v>
      </c>
      <c r="K5" s="381" t="s">
        <v>2562</v>
      </c>
      <c r="L5" s="61" t="s">
        <v>4</v>
      </c>
      <c r="M5" s="381" t="s">
        <v>2562</v>
      </c>
      <c r="N5" s="61" t="s">
        <v>5</v>
      </c>
      <c r="O5" s="381" t="s">
        <v>2562</v>
      </c>
      <c r="P5" s="61" t="s">
        <v>50</v>
      </c>
      <c r="Q5" s="381" t="s">
        <v>2562</v>
      </c>
      <c r="R5" s="61" t="s">
        <v>52</v>
      </c>
      <c r="S5" s="381" t="s">
        <v>2562</v>
      </c>
      <c r="T5" s="61" t="s">
        <v>53</v>
      </c>
      <c r="U5" s="381" t="s">
        <v>2562</v>
      </c>
      <c r="V5" s="61" t="s">
        <v>58</v>
      </c>
      <c r="W5" s="381" t="s">
        <v>2562</v>
      </c>
      <c r="X5" s="378" t="s">
        <v>2563</v>
      </c>
      <c r="Y5" s="381" t="s">
        <v>2562</v>
      </c>
      <c r="Z5" s="378" t="s">
        <v>2564</v>
      </c>
      <c r="AA5" s="381" t="s">
        <v>2562</v>
      </c>
      <c r="AB5" s="378" t="s">
        <v>2565</v>
      </c>
      <c r="AC5" s="381" t="s">
        <v>2562</v>
      </c>
      <c r="AD5" s="378" t="s">
        <v>2566</v>
      </c>
      <c r="AE5" s="381" t="s">
        <v>2562</v>
      </c>
      <c r="AF5" s="378" t="s">
        <v>2567</v>
      </c>
      <c r="AG5" s="381" t="s">
        <v>2562</v>
      </c>
      <c r="AH5" s="378" t="s">
        <v>2568</v>
      </c>
      <c r="AI5" s="381" t="s">
        <v>2562</v>
      </c>
      <c r="AJ5" s="378" t="s">
        <v>2569</v>
      </c>
      <c r="AK5" s="381" t="s">
        <v>2562</v>
      </c>
      <c r="AL5" s="378" t="s">
        <v>2570</v>
      </c>
      <c r="AM5" s="381" t="s">
        <v>2562</v>
      </c>
      <c r="AN5" s="108" t="s">
        <v>6</v>
      </c>
      <c r="AO5" s="108" t="s">
        <v>44</v>
      </c>
      <c r="AP5" s="108" t="s">
        <v>7</v>
      </c>
      <c r="AQ5" s="108" t="s">
        <v>33</v>
      </c>
      <c r="AR5" s="108" t="s">
        <v>8</v>
      </c>
      <c r="AS5" s="108" t="s">
        <v>45</v>
      </c>
      <c r="AT5" s="108" t="s">
        <v>9</v>
      </c>
      <c r="AU5" s="108" t="s">
        <v>49</v>
      </c>
      <c r="AV5" s="108" t="s">
        <v>10</v>
      </c>
      <c r="AW5" s="108" t="s">
        <v>48</v>
      </c>
      <c r="AX5" s="108" t="s">
        <v>46</v>
      </c>
      <c r="AY5" s="372" t="s">
        <v>85</v>
      </c>
      <c r="AZ5" s="108" t="s">
        <v>12</v>
      </c>
      <c r="BA5" s="108" t="s">
        <v>34</v>
      </c>
      <c r="BB5" s="108" t="s">
        <v>152</v>
      </c>
      <c r="BC5" s="108" t="s">
        <v>47</v>
      </c>
      <c r="BD5" s="108" t="s">
        <v>43</v>
      </c>
      <c r="BE5" s="108" t="s">
        <v>35</v>
      </c>
      <c r="BF5" s="108" t="s">
        <v>62</v>
      </c>
      <c r="BG5" s="108" t="s">
        <v>36</v>
      </c>
      <c r="BH5" s="108" t="s">
        <v>74</v>
      </c>
      <c r="BI5" s="108" t="s">
        <v>37</v>
      </c>
      <c r="BJ5" s="108" t="s">
        <v>11</v>
      </c>
      <c r="BK5" s="109" t="s">
        <v>18</v>
      </c>
      <c r="BL5" s="110" t="s">
        <v>16</v>
      </c>
      <c r="BM5" s="110" t="s">
        <v>51</v>
      </c>
      <c r="BN5" s="111" t="s">
        <v>20</v>
      </c>
      <c r="BO5" s="111" t="s">
        <v>21</v>
      </c>
      <c r="BP5" s="111" t="s">
        <v>22</v>
      </c>
      <c r="BQ5" s="111" t="s">
        <v>64</v>
      </c>
      <c r="BR5" s="111" t="s">
        <v>22</v>
      </c>
      <c r="BS5" s="111" t="s">
        <v>65</v>
      </c>
      <c r="BT5" s="112" t="s">
        <v>20</v>
      </c>
      <c r="BU5" s="112" t="s">
        <v>21</v>
      </c>
      <c r="BV5" s="112" t="s">
        <v>22</v>
      </c>
      <c r="BW5" s="112" t="s">
        <v>23</v>
      </c>
      <c r="BX5" s="112" t="s">
        <v>24</v>
      </c>
      <c r="BY5" s="113" t="s">
        <v>20</v>
      </c>
      <c r="BZ5" s="113" t="s">
        <v>21</v>
      </c>
      <c r="CA5" s="113" t="s">
        <v>22</v>
      </c>
      <c r="CB5" s="113" t="s">
        <v>23</v>
      </c>
      <c r="CC5" s="113" t="s">
        <v>24</v>
      </c>
      <c r="CD5" s="306" t="s">
        <v>2257</v>
      </c>
      <c r="CE5" s="306" t="s">
        <v>2258</v>
      </c>
      <c r="CF5" s="114" t="s">
        <v>42</v>
      </c>
      <c r="CG5" s="114" t="s">
        <v>26</v>
      </c>
      <c r="CH5" s="114" t="s">
        <v>27</v>
      </c>
      <c r="CI5" s="114" t="s">
        <v>28</v>
      </c>
      <c r="CJ5" s="114" t="s">
        <v>29</v>
      </c>
      <c r="CK5" s="114" t="s">
        <v>30</v>
      </c>
      <c r="CL5" s="114" t="s">
        <v>32</v>
      </c>
      <c r="CM5" s="114" t="s">
        <v>41</v>
      </c>
      <c r="CN5" s="115" t="s">
        <v>38</v>
      </c>
      <c r="CO5" s="115" t="s">
        <v>39</v>
      </c>
    </row>
    <row r="6" spans="1:93" s="105" customFormat="1" ht="30" x14ac:dyDescent="0.25">
      <c r="A6" s="512">
        <v>44393</v>
      </c>
      <c r="B6" s="513" t="s">
        <v>12</v>
      </c>
      <c r="C6" s="512" t="s">
        <v>4010</v>
      </c>
      <c r="D6" s="72" t="s">
        <v>54</v>
      </c>
      <c r="E6" s="514" t="s">
        <v>4011</v>
      </c>
      <c r="F6" s="28" t="s">
        <v>4012</v>
      </c>
      <c r="G6" s="516">
        <v>50000</v>
      </c>
      <c r="H6" s="517" t="s">
        <v>3307</v>
      </c>
      <c r="I6" s="517" t="s">
        <v>134</v>
      </c>
      <c r="J6" s="72" t="s">
        <v>894</v>
      </c>
      <c r="K6" s="540" t="s">
        <v>4013</v>
      </c>
      <c r="L6" s="72"/>
      <c r="M6" s="72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25" t="s">
        <v>3826</v>
      </c>
      <c r="AO6" s="25"/>
      <c r="AP6" s="25"/>
      <c r="AQ6" s="25"/>
      <c r="AR6" s="25" t="s">
        <v>3826</v>
      </c>
      <c r="AS6" s="25"/>
      <c r="AT6" s="75" t="s">
        <v>4014</v>
      </c>
      <c r="AU6" s="25"/>
      <c r="AV6" s="75"/>
      <c r="AW6" s="2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498" t="s">
        <v>3826</v>
      </c>
      <c r="BK6" s="485">
        <v>89.31</v>
      </c>
      <c r="BL6" s="520" t="s">
        <v>4029</v>
      </c>
      <c r="BM6" s="521">
        <v>10038568748079</v>
      </c>
      <c r="BN6" s="490" t="s">
        <v>916</v>
      </c>
      <c r="BO6" s="490" t="s">
        <v>916</v>
      </c>
      <c r="BP6" s="491" t="s">
        <v>916</v>
      </c>
      <c r="BQ6" s="248">
        <v>4.7249999999999996</v>
      </c>
      <c r="BR6" s="248">
        <v>8.1300000000000008</v>
      </c>
      <c r="BS6" s="248" t="s">
        <v>4030</v>
      </c>
      <c r="BT6" s="490" t="s">
        <v>916</v>
      </c>
      <c r="BU6" s="490" t="s">
        <v>916</v>
      </c>
      <c r="BV6" s="491" t="s">
        <v>916</v>
      </c>
      <c r="BW6" s="491" t="s">
        <v>916</v>
      </c>
      <c r="BX6" s="491" t="s">
        <v>916</v>
      </c>
      <c r="BY6" s="492">
        <v>14.961</v>
      </c>
      <c r="BZ6" s="492">
        <v>10.157</v>
      </c>
      <c r="CA6" s="492">
        <v>9.843</v>
      </c>
      <c r="CB6" s="441"/>
      <c r="CC6" s="441"/>
      <c r="CD6" s="489">
        <v>1.58</v>
      </c>
      <c r="CE6" s="489">
        <v>10.23</v>
      </c>
      <c r="CF6" s="494" t="s">
        <v>12</v>
      </c>
      <c r="CG6" s="75">
        <v>6</v>
      </c>
      <c r="CH6" s="75">
        <v>11</v>
      </c>
      <c r="CI6" s="75">
        <v>4</v>
      </c>
      <c r="CJ6" s="495" t="s">
        <v>4031</v>
      </c>
      <c r="CK6" s="495">
        <v>500</v>
      </c>
      <c r="CL6" s="75" t="s">
        <v>164</v>
      </c>
      <c r="CM6" s="79" t="s">
        <v>150</v>
      </c>
      <c r="CN6" s="115"/>
      <c r="CO6" s="115"/>
    </row>
    <row r="7" spans="1:93" s="105" customFormat="1" ht="45" x14ac:dyDescent="0.25">
      <c r="A7" s="512">
        <v>44393</v>
      </c>
      <c r="B7" s="513" t="s">
        <v>12</v>
      </c>
      <c r="C7" s="512" t="s">
        <v>4015</v>
      </c>
      <c r="D7" s="72" t="s">
        <v>54</v>
      </c>
      <c r="E7" s="518" t="s">
        <v>2381</v>
      </c>
      <c r="F7" s="28" t="s">
        <v>4016</v>
      </c>
      <c r="G7" s="516" t="s">
        <v>916</v>
      </c>
      <c r="H7" s="517" t="s">
        <v>3780</v>
      </c>
      <c r="I7" s="517" t="s">
        <v>134</v>
      </c>
      <c r="J7" s="72" t="s">
        <v>916</v>
      </c>
      <c r="K7" s="72" t="s">
        <v>916</v>
      </c>
      <c r="L7" s="72"/>
      <c r="M7" s="72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25" t="s">
        <v>3826</v>
      </c>
      <c r="AO7" s="75"/>
      <c r="AP7" s="75"/>
      <c r="AQ7" s="25"/>
      <c r="AR7" s="25" t="s">
        <v>3826</v>
      </c>
      <c r="AS7" s="25"/>
      <c r="AT7" s="25" t="s">
        <v>3826</v>
      </c>
      <c r="AU7" s="25"/>
      <c r="AV7" s="75"/>
      <c r="AW7" s="2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498" t="s">
        <v>3826</v>
      </c>
      <c r="BK7" s="485">
        <v>123.33</v>
      </c>
      <c r="BL7" s="393" t="s">
        <v>4032</v>
      </c>
      <c r="BM7" s="474">
        <v>10038568749182</v>
      </c>
      <c r="BN7" s="490" t="s">
        <v>916</v>
      </c>
      <c r="BO7" s="490" t="s">
        <v>916</v>
      </c>
      <c r="BP7" s="491" t="s">
        <v>916</v>
      </c>
      <c r="BQ7" s="490" t="s">
        <v>916</v>
      </c>
      <c r="BR7" s="490" t="s">
        <v>916</v>
      </c>
      <c r="BS7" s="491" t="s">
        <v>916</v>
      </c>
      <c r="BT7" s="490" t="s">
        <v>916</v>
      </c>
      <c r="BU7" s="490" t="s">
        <v>916</v>
      </c>
      <c r="BV7" s="491" t="s">
        <v>916</v>
      </c>
      <c r="BW7" s="491" t="s">
        <v>916</v>
      </c>
      <c r="BX7" s="491" t="s">
        <v>916</v>
      </c>
      <c r="BY7" s="396">
        <v>13.375</v>
      </c>
      <c r="BZ7" s="396">
        <v>8.875</v>
      </c>
      <c r="CA7" s="396">
        <v>10.625</v>
      </c>
      <c r="CB7" s="441"/>
      <c r="CC7" s="441"/>
      <c r="CD7" s="396">
        <v>10.5</v>
      </c>
      <c r="CE7" s="396">
        <v>10.5</v>
      </c>
      <c r="CF7" s="494" t="s">
        <v>12</v>
      </c>
      <c r="CG7" s="75">
        <v>1</v>
      </c>
      <c r="CH7" s="75">
        <v>13</v>
      </c>
      <c r="CI7" s="75">
        <v>3</v>
      </c>
      <c r="CJ7" s="495" t="s">
        <v>4033</v>
      </c>
      <c r="CK7" s="495">
        <v>488</v>
      </c>
      <c r="CL7" s="75" t="s">
        <v>256</v>
      </c>
      <c r="CM7" s="79" t="s">
        <v>150</v>
      </c>
      <c r="CN7" s="115"/>
      <c r="CO7" s="115"/>
    </row>
    <row r="8" spans="1:93" s="105" customFormat="1" ht="30" x14ac:dyDescent="0.25">
      <c r="A8" s="512">
        <v>44393</v>
      </c>
      <c r="B8" s="513" t="s">
        <v>12</v>
      </c>
      <c r="C8" s="512" t="s">
        <v>4017</v>
      </c>
      <c r="D8" s="72" t="s">
        <v>54</v>
      </c>
      <c r="E8" s="371" t="s">
        <v>4018</v>
      </c>
      <c r="F8" s="28" t="s">
        <v>4019</v>
      </c>
      <c r="G8" s="516">
        <v>15000</v>
      </c>
      <c r="H8" s="517" t="s">
        <v>3780</v>
      </c>
      <c r="I8" s="517" t="s">
        <v>134</v>
      </c>
      <c r="J8" s="72" t="s">
        <v>1893</v>
      </c>
      <c r="K8" s="540" t="s">
        <v>4020</v>
      </c>
      <c r="L8" s="72" t="s">
        <v>4021</v>
      </c>
      <c r="M8" s="540" t="s">
        <v>4022</v>
      </c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25" t="s">
        <v>4023</v>
      </c>
      <c r="AO8" s="25"/>
      <c r="AP8" s="25"/>
      <c r="AQ8" s="25"/>
      <c r="AR8" s="25" t="s">
        <v>3826</v>
      </c>
      <c r="AS8" s="25"/>
      <c r="AT8" s="75" t="s">
        <v>4024</v>
      </c>
      <c r="AU8" s="25"/>
      <c r="AV8" s="75"/>
      <c r="AW8" s="2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498" t="s">
        <v>3826</v>
      </c>
      <c r="BK8" s="485">
        <v>36.130000000000003</v>
      </c>
      <c r="BL8" s="520" t="s">
        <v>4034</v>
      </c>
      <c r="BM8" s="521">
        <v>10038568748062</v>
      </c>
      <c r="BN8" s="248">
        <v>3.48</v>
      </c>
      <c r="BO8" s="248">
        <v>3.504</v>
      </c>
      <c r="BP8" s="248">
        <v>2.157</v>
      </c>
      <c r="BQ8" s="490" t="s">
        <v>916</v>
      </c>
      <c r="BR8" s="490" t="s">
        <v>916</v>
      </c>
      <c r="BS8" s="491" t="s">
        <v>916</v>
      </c>
      <c r="BT8" s="492">
        <v>3.74</v>
      </c>
      <c r="BU8" s="492">
        <v>3.74</v>
      </c>
      <c r="BV8" s="492">
        <v>2.7559999999999998</v>
      </c>
      <c r="BW8" s="491" t="s">
        <v>916</v>
      </c>
      <c r="BX8" s="492">
        <v>0.19600000000000001</v>
      </c>
      <c r="BY8" s="492">
        <v>11.535</v>
      </c>
      <c r="BZ8" s="492">
        <v>7.7949999999999999</v>
      </c>
      <c r="CA8" s="492">
        <v>3.2280000000000002</v>
      </c>
      <c r="CB8" s="441"/>
      <c r="CC8" s="441"/>
      <c r="CD8" s="489">
        <v>0.35699999999999998</v>
      </c>
      <c r="CE8" s="489">
        <v>2.8919999999999999</v>
      </c>
      <c r="CF8" s="494" t="s">
        <v>12</v>
      </c>
      <c r="CG8" s="75">
        <v>6</v>
      </c>
      <c r="CH8" s="75">
        <v>20</v>
      </c>
      <c r="CI8" s="75">
        <v>12</v>
      </c>
      <c r="CJ8" s="495" t="s">
        <v>4035</v>
      </c>
      <c r="CK8" s="495">
        <v>744</v>
      </c>
      <c r="CL8" s="75" t="s">
        <v>164</v>
      </c>
      <c r="CM8" s="79" t="s">
        <v>150</v>
      </c>
      <c r="CN8" s="115"/>
      <c r="CO8" s="115"/>
    </row>
    <row r="9" spans="1:93" s="105" customFormat="1" ht="90" x14ac:dyDescent="0.25">
      <c r="A9" s="512">
        <v>44393</v>
      </c>
      <c r="B9" s="513" t="s">
        <v>12</v>
      </c>
      <c r="C9" s="512" t="s">
        <v>4025</v>
      </c>
      <c r="D9" s="72" t="s">
        <v>54</v>
      </c>
      <c r="E9" s="371" t="s">
        <v>2641</v>
      </c>
      <c r="F9" s="28" t="s">
        <v>4026</v>
      </c>
      <c r="G9" s="516">
        <v>150000</v>
      </c>
      <c r="H9" s="517" t="s">
        <v>3307</v>
      </c>
      <c r="I9" s="517" t="s">
        <v>134</v>
      </c>
      <c r="J9" s="72" t="s">
        <v>739</v>
      </c>
      <c r="K9" s="540" t="s">
        <v>4027</v>
      </c>
      <c r="L9" s="72" t="s">
        <v>739</v>
      </c>
      <c r="M9" s="72" t="s">
        <v>4028</v>
      </c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 t="s">
        <v>3826</v>
      </c>
      <c r="AO9" s="75"/>
      <c r="AP9" s="75"/>
      <c r="AQ9" s="25"/>
      <c r="AR9" s="75" t="s">
        <v>3826</v>
      </c>
      <c r="AS9" s="25"/>
      <c r="AT9" s="75" t="s">
        <v>3826</v>
      </c>
      <c r="AU9" s="25"/>
      <c r="AV9" s="75"/>
      <c r="AW9" s="2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498" t="s">
        <v>3826</v>
      </c>
      <c r="BK9" s="485">
        <v>39.24</v>
      </c>
      <c r="BL9" s="315" t="s">
        <v>4036</v>
      </c>
      <c r="BM9" s="315" t="s">
        <v>4037</v>
      </c>
      <c r="BN9" s="490" t="s">
        <v>916</v>
      </c>
      <c r="BO9" s="490" t="s">
        <v>916</v>
      </c>
      <c r="BP9" s="491" t="s">
        <v>916</v>
      </c>
      <c r="BQ9" s="248">
        <v>4.7640000000000002</v>
      </c>
      <c r="BR9" s="248">
        <v>10.945</v>
      </c>
      <c r="BS9" s="248">
        <v>2.5470000000000002</v>
      </c>
      <c r="BT9" s="396">
        <v>4.9210000000000003</v>
      </c>
      <c r="BU9" s="396">
        <v>4.9210000000000003</v>
      </c>
      <c r="BV9" s="396">
        <v>11.417</v>
      </c>
      <c r="BW9" s="491" t="s">
        <v>916</v>
      </c>
      <c r="BX9" s="396">
        <v>0.19400000000000001</v>
      </c>
      <c r="BY9" s="396">
        <v>15.079000000000001</v>
      </c>
      <c r="BZ9" s="396">
        <v>11.731999999999999</v>
      </c>
      <c r="CA9" s="396">
        <v>10.315</v>
      </c>
      <c r="CB9" s="441"/>
      <c r="CC9" s="441"/>
      <c r="CD9" s="396">
        <v>1.093</v>
      </c>
      <c r="CE9" s="396">
        <v>7.3079999999999998</v>
      </c>
      <c r="CF9" s="494" t="s">
        <v>12</v>
      </c>
      <c r="CG9" s="75">
        <v>6</v>
      </c>
      <c r="CH9" s="75">
        <v>10</v>
      </c>
      <c r="CI9" s="75">
        <v>4</v>
      </c>
      <c r="CJ9" s="495" t="s">
        <v>4038</v>
      </c>
      <c r="CK9" s="75">
        <v>345</v>
      </c>
      <c r="CL9" s="75" t="s">
        <v>164</v>
      </c>
      <c r="CM9" s="25" t="s">
        <v>150</v>
      </c>
      <c r="CN9" s="115"/>
      <c r="CO9" s="115"/>
    </row>
    <row r="10" spans="1:93" s="105" customFormat="1" ht="30" x14ac:dyDescent="0.25">
      <c r="A10" s="526">
        <v>44218</v>
      </c>
      <c r="B10" s="527" t="s">
        <v>12</v>
      </c>
      <c r="C10" s="526" t="s">
        <v>3991</v>
      </c>
      <c r="D10" s="74" t="s">
        <v>54</v>
      </c>
      <c r="E10" s="528" t="s">
        <v>3992</v>
      </c>
      <c r="F10" s="15" t="s">
        <v>3993</v>
      </c>
      <c r="G10" s="529">
        <v>75000</v>
      </c>
      <c r="H10" s="530" t="s">
        <v>3307</v>
      </c>
      <c r="I10" s="530" t="s">
        <v>134</v>
      </c>
      <c r="J10" s="74" t="s">
        <v>721</v>
      </c>
      <c r="K10" s="83" t="s">
        <v>3994</v>
      </c>
      <c r="L10" s="74" t="s">
        <v>1972</v>
      </c>
      <c r="M10" s="74">
        <v>22094987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41" t="s">
        <v>3995</v>
      </c>
      <c r="AO10" s="41"/>
      <c r="AP10" s="41"/>
      <c r="AQ10" s="41"/>
      <c r="AR10" s="41" t="s">
        <v>3826</v>
      </c>
      <c r="AS10" s="41"/>
      <c r="AT10" s="24" t="s">
        <v>3996</v>
      </c>
      <c r="AU10" s="41"/>
      <c r="AV10" s="24"/>
      <c r="AW10" s="41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498" t="s">
        <v>3826</v>
      </c>
      <c r="BK10" s="485">
        <v>45.81</v>
      </c>
      <c r="BL10" s="531" t="s">
        <v>3997</v>
      </c>
      <c r="BM10" s="532">
        <v>10038568747904</v>
      </c>
      <c r="BN10" s="490" t="s">
        <v>916</v>
      </c>
      <c r="BO10" s="490" t="s">
        <v>916</v>
      </c>
      <c r="BP10" s="491" t="s">
        <v>916</v>
      </c>
      <c r="BQ10" s="152">
        <v>4.28</v>
      </c>
      <c r="BR10" s="152">
        <v>5.0599999999999996</v>
      </c>
      <c r="BS10" s="152" t="s">
        <v>3998</v>
      </c>
      <c r="BT10" s="490" t="s">
        <v>916</v>
      </c>
      <c r="BU10" s="490" t="s">
        <v>916</v>
      </c>
      <c r="BV10" s="491" t="s">
        <v>916</v>
      </c>
      <c r="BW10" s="491" t="s">
        <v>916</v>
      </c>
      <c r="BX10" s="491" t="s">
        <v>916</v>
      </c>
      <c r="BY10" s="524">
        <v>13.583</v>
      </c>
      <c r="BZ10" s="524">
        <v>9.2520000000000007</v>
      </c>
      <c r="CA10" s="524">
        <v>5.9059999999999997</v>
      </c>
      <c r="CB10" s="441"/>
      <c r="CC10" s="441"/>
      <c r="CD10" s="522">
        <v>1.57</v>
      </c>
      <c r="CE10" s="522">
        <v>11.18</v>
      </c>
      <c r="CF10" s="84" t="s">
        <v>12</v>
      </c>
      <c r="CG10" s="24">
        <v>6</v>
      </c>
      <c r="CH10" s="24">
        <v>13</v>
      </c>
      <c r="CI10" s="24">
        <v>6</v>
      </c>
      <c r="CJ10" s="523" t="s">
        <v>3999</v>
      </c>
      <c r="CK10" s="523">
        <v>922</v>
      </c>
      <c r="CL10" s="24" t="s">
        <v>164</v>
      </c>
      <c r="CM10" s="88" t="s">
        <v>150</v>
      </c>
      <c r="CN10" s="115"/>
      <c r="CO10" s="115"/>
    </row>
    <row r="11" spans="1:93" s="105" customFormat="1" ht="45" x14ac:dyDescent="0.25">
      <c r="A11" s="526">
        <v>44218</v>
      </c>
      <c r="B11" s="527" t="s">
        <v>12</v>
      </c>
      <c r="C11" s="526" t="s">
        <v>4006</v>
      </c>
      <c r="D11" s="74" t="s">
        <v>54</v>
      </c>
      <c r="E11" s="246" t="s">
        <v>2381</v>
      </c>
      <c r="F11" s="15" t="s">
        <v>4009</v>
      </c>
      <c r="G11" s="529" t="s">
        <v>916</v>
      </c>
      <c r="H11" s="530" t="s">
        <v>3780</v>
      </c>
      <c r="I11" s="530" t="s">
        <v>134</v>
      </c>
      <c r="J11" s="74" t="s">
        <v>916</v>
      </c>
      <c r="K11" s="74" t="s">
        <v>916</v>
      </c>
      <c r="L11" s="74"/>
      <c r="M11" s="7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41" t="s">
        <v>3826</v>
      </c>
      <c r="AO11" s="24"/>
      <c r="AP11" s="24"/>
      <c r="AQ11" s="41"/>
      <c r="AR11" s="41" t="s">
        <v>3826</v>
      </c>
      <c r="AS11" s="41"/>
      <c r="AT11" s="41" t="s">
        <v>3826</v>
      </c>
      <c r="AU11" s="41"/>
      <c r="AV11" s="24"/>
      <c r="AW11" s="41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498" t="s">
        <v>3826</v>
      </c>
      <c r="BK11" s="485">
        <v>145.5</v>
      </c>
      <c r="BL11" s="533" t="s">
        <v>4007</v>
      </c>
      <c r="BM11" s="534">
        <v>10038568747980</v>
      </c>
      <c r="BN11" s="490" t="s">
        <v>916</v>
      </c>
      <c r="BO11" s="490" t="s">
        <v>916</v>
      </c>
      <c r="BP11" s="491" t="s">
        <v>916</v>
      </c>
      <c r="BQ11" s="490" t="s">
        <v>916</v>
      </c>
      <c r="BR11" s="490" t="s">
        <v>916</v>
      </c>
      <c r="BS11" s="491" t="s">
        <v>916</v>
      </c>
      <c r="BT11" s="490" t="s">
        <v>916</v>
      </c>
      <c r="BU11" s="490" t="s">
        <v>916</v>
      </c>
      <c r="BV11" s="491" t="s">
        <v>916</v>
      </c>
      <c r="BW11" s="491" t="s">
        <v>916</v>
      </c>
      <c r="BX11" s="491" t="s">
        <v>916</v>
      </c>
      <c r="BY11" s="156">
        <v>12.75</v>
      </c>
      <c r="BZ11" s="156">
        <v>8.625</v>
      </c>
      <c r="CA11" s="156">
        <v>11.5</v>
      </c>
      <c r="CB11" s="441"/>
      <c r="CC11" s="441"/>
      <c r="CD11" s="156">
        <v>12.13</v>
      </c>
      <c r="CE11" s="156">
        <v>12.13</v>
      </c>
      <c r="CF11" s="84" t="s">
        <v>12</v>
      </c>
      <c r="CG11" s="24">
        <v>1</v>
      </c>
      <c r="CH11" s="24">
        <v>16</v>
      </c>
      <c r="CI11" s="24">
        <v>3</v>
      </c>
      <c r="CJ11" s="523" t="s">
        <v>4008</v>
      </c>
      <c r="CK11" s="523">
        <v>632</v>
      </c>
      <c r="CL11" s="24" t="s">
        <v>256</v>
      </c>
      <c r="CM11" s="88" t="s">
        <v>150</v>
      </c>
      <c r="CN11" s="115"/>
      <c r="CO11" s="115"/>
    </row>
    <row r="12" spans="1:93" s="105" customFormat="1" ht="30" x14ac:dyDescent="0.25">
      <c r="A12" s="526">
        <v>44218</v>
      </c>
      <c r="B12" s="527" t="s">
        <v>12</v>
      </c>
      <c r="C12" s="526" t="s">
        <v>3965</v>
      </c>
      <c r="D12" s="74" t="s">
        <v>54</v>
      </c>
      <c r="E12" s="528" t="s">
        <v>3837</v>
      </c>
      <c r="F12" s="15" t="s">
        <v>3966</v>
      </c>
      <c r="G12" s="529">
        <v>25000</v>
      </c>
      <c r="H12" s="530" t="s">
        <v>3780</v>
      </c>
      <c r="I12" s="530" t="s">
        <v>134</v>
      </c>
      <c r="J12" s="74" t="s">
        <v>3967</v>
      </c>
      <c r="K12" s="83" t="s">
        <v>3968</v>
      </c>
      <c r="L12" s="74"/>
      <c r="M12" s="7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1" t="s">
        <v>3826</v>
      </c>
      <c r="AO12" s="41"/>
      <c r="AP12" s="41"/>
      <c r="AQ12" s="41"/>
      <c r="AR12" s="41" t="s">
        <v>3826</v>
      </c>
      <c r="AS12" s="41"/>
      <c r="AT12" s="24" t="s">
        <v>3826</v>
      </c>
      <c r="AU12" s="41"/>
      <c r="AV12" s="24"/>
      <c r="AW12" s="41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498" t="s">
        <v>3826</v>
      </c>
      <c r="BK12" s="485">
        <v>40.79</v>
      </c>
      <c r="BL12" s="531" t="s">
        <v>3969</v>
      </c>
      <c r="BM12" s="532">
        <v>10038568747348</v>
      </c>
      <c r="BN12" s="490" t="s">
        <v>916</v>
      </c>
      <c r="BO12" s="490" t="s">
        <v>916</v>
      </c>
      <c r="BP12" s="491" t="s">
        <v>916</v>
      </c>
      <c r="BQ12" s="152">
        <v>5.21</v>
      </c>
      <c r="BR12" s="152">
        <v>9.42</v>
      </c>
      <c r="BS12" s="152">
        <v>1.82</v>
      </c>
      <c r="BT12" s="524">
        <v>5.75</v>
      </c>
      <c r="BU12" s="524">
        <v>5.75</v>
      </c>
      <c r="BV12" s="524">
        <v>10</v>
      </c>
      <c r="BW12" s="491" t="s">
        <v>916</v>
      </c>
      <c r="BX12" s="524">
        <v>0.05</v>
      </c>
      <c r="BY12" s="524">
        <v>5.75</v>
      </c>
      <c r="BZ12" s="524">
        <v>5.75</v>
      </c>
      <c r="CA12" s="524">
        <v>10</v>
      </c>
      <c r="CB12" s="441"/>
      <c r="CC12" s="441"/>
      <c r="CD12" s="522">
        <v>0.9</v>
      </c>
      <c r="CE12" s="522">
        <v>0.9</v>
      </c>
      <c r="CF12" s="84" t="s">
        <v>12</v>
      </c>
      <c r="CG12" s="24">
        <v>1</v>
      </c>
      <c r="CH12" s="24">
        <v>48</v>
      </c>
      <c r="CI12" s="24">
        <v>4</v>
      </c>
      <c r="CJ12" s="523" t="s">
        <v>3970</v>
      </c>
      <c r="CK12" s="523">
        <v>223</v>
      </c>
      <c r="CL12" s="24" t="s">
        <v>256</v>
      </c>
      <c r="CM12" s="41" t="s">
        <v>136</v>
      </c>
      <c r="CN12" s="115"/>
      <c r="CO12" s="115"/>
    </row>
    <row r="13" spans="1:93" s="105" customFormat="1" ht="30" x14ac:dyDescent="0.25">
      <c r="A13" s="526">
        <v>44218</v>
      </c>
      <c r="B13" s="527" t="s">
        <v>12</v>
      </c>
      <c r="C13" s="526" t="s">
        <v>3971</v>
      </c>
      <c r="D13" s="74" t="s">
        <v>54</v>
      </c>
      <c r="E13" s="535" t="s">
        <v>1785</v>
      </c>
      <c r="F13" s="539" t="s">
        <v>3972</v>
      </c>
      <c r="G13" s="529">
        <v>25000</v>
      </c>
      <c r="H13" s="530" t="s">
        <v>3780</v>
      </c>
      <c r="I13" s="530" t="s">
        <v>134</v>
      </c>
      <c r="J13" s="74" t="s">
        <v>730</v>
      </c>
      <c r="K13" s="83" t="s">
        <v>3973</v>
      </c>
      <c r="L13" s="74"/>
      <c r="M13" s="7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 t="s">
        <v>3974</v>
      </c>
      <c r="AO13" s="24"/>
      <c r="AP13" s="24"/>
      <c r="AQ13" s="41"/>
      <c r="AR13" s="24" t="s">
        <v>3826</v>
      </c>
      <c r="AS13" s="41"/>
      <c r="AT13" s="24" t="s">
        <v>3975</v>
      </c>
      <c r="AU13" s="41"/>
      <c r="AV13" s="24"/>
      <c r="AW13" s="41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498" t="s">
        <v>3826</v>
      </c>
      <c r="BK13" s="485">
        <v>26</v>
      </c>
      <c r="BL13" s="536" t="s">
        <v>3976</v>
      </c>
      <c r="BM13" s="536" t="s">
        <v>3977</v>
      </c>
      <c r="BN13" s="525">
        <v>8.0299999999999994</v>
      </c>
      <c r="BO13" s="152">
        <v>8.1199999999999992</v>
      </c>
      <c r="BP13" s="522">
        <v>1.1399999999999999</v>
      </c>
      <c r="BQ13" s="490" t="s">
        <v>916</v>
      </c>
      <c r="BR13" s="490" t="s">
        <v>916</v>
      </c>
      <c r="BS13" s="491" t="s">
        <v>916</v>
      </c>
      <c r="BT13" s="156">
        <v>8.8580000000000005</v>
      </c>
      <c r="BU13" s="156">
        <v>8.2279999999999998</v>
      </c>
      <c r="BV13" s="156">
        <v>1.339</v>
      </c>
      <c r="BW13" s="491" t="s">
        <v>916</v>
      </c>
      <c r="BX13" s="156">
        <v>0.154</v>
      </c>
      <c r="BY13" s="156">
        <v>9.3309999999999995</v>
      </c>
      <c r="BZ13" s="156">
        <v>8.7010000000000005</v>
      </c>
      <c r="CA13" s="156">
        <v>4.5279999999999996</v>
      </c>
      <c r="CB13" s="441"/>
      <c r="CC13" s="441"/>
      <c r="CD13" s="156">
        <v>0.55100000000000005</v>
      </c>
      <c r="CE13" s="156">
        <v>1.653</v>
      </c>
      <c r="CF13" s="84" t="s">
        <v>12</v>
      </c>
      <c r="CG13" s="24">
        <v>3</v>
      </c>
      <c r="CH13" s="24">
        <v>20</v>
      </c>
      <c r="CI13" s="24">
        <v>9</v>
      </c>
      <c r="CJ13" s="523" t="s">
        <v>3978</v>
      </c>
      <c r="CK13" s="24">
        <v>348</v>
      </c>
      <c r="CL13" s="24" t="s">
        <v>164</v>
      </c>
      <c r="CM13" s="41" t="s">
        <v>140</v>
      </c>
      <c r="CN13" s="115"/>
      <c r="CO13" s="115"/>
    </row>
    <row r="14" spans="1:93" s="105" customFormat="1" ht="30" x14ac:dyDescent="0.25">
      <c r="A14" s="526">
        <v>44218</v>
      </c>
      <c r="B14" s="527" t="s">
        <v>12</v>
      </c>
      <c r="C14" s="526" t="s">
        <v>3984</v>
      </c>
      <c r="D14" s="74" t="s">
        <v>54</v>
      </c>
      <c r="E14" s="535" t="s">
        <v>1785</v>
      </c>
      <c r="F14" s="15" t="s">
        <v>3985</v>
      </c>
      <c r="G14" s="529">
        <v>25000</v>
      </c>
      <c r="H14" s="530" t="s">
        <v>3780</v>
      </c>
      <c r="I14" s="530" t="s">
        <v>134</v>
      </c>
      <c r="J14" s="74" t="s">
        <v>1972</v>
      </c>
      <c r="K14" s="74">
        <v>82745222</v>
      </c>
      <c r="L14" s="74"/>
      <c r="M14" s="7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 t="s">
        <v>3986</v>
      </c>
      <c r="AO14" s="24"/>
      <c r="AP14" s="24"/>
      <c r="AQ14" s="41"/>
      <c r="AR14" s="41" t="s">
        <v>3826</v>
      </c>
      <c r="AS14" s="41"/>
      <c r="AT14" s="24" t="s">
        <v>3826</v>
      </c>
      <c r="AU14" s="41"/>
      <c r="AV14" s="24"/>
      <c r="AW14" s="41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537" t="s">
        <v>3987</v>
      </c>
      <c r="BK14" s="485">
        <v>55.04</v>
      </c>
      <c r="BL14" s="531" t="s">
        <v>3988</v>
      </c>
      <c r="BM14" s="538">
        <v>10038568747782</v>
      </c>
      <c r="BN14" s="525">
        <v>13.94</v>
      </c>
      <c r="BO14" s="152">
        <v>6.12</v>
      </c>
      <c r="BP14" s="522">
        <v>0.98399999999999999</v>
      </c>
      <c r="BQ14" s="490" t="s">
        <v>916</v>
      </c>
      <c r="BR14" s="490" t="s">
        <v>916</v>
      </c>
      <c r="BS14" s="491" t="s">
        <v>916</v>
      </c>
      <c r="BT14" s="490" t="s">
        <v>916</v>
      </c>
      <c r="BU14" s="490" t="s">
        <v>916</v>
      </c>
      <c r="BV14" s="491" t="s">
        <v>916</v>
      </c>
      <c r="BW14" s="491" t="s">
        <v>916</v>
      </c>
      <c r="BX14" s="491" t="s">
        <v>916</v>
      </c>
      <c r="BY14" s="156">
        <v>14.488</v>
      </c>
      <c r="BZ14" s="156">
        <v>6.6139999999999999</v>
      </c>
      <c r="CA14" s="156">
        <v>3.5430000000000001</v>
      </c>
      <c r="CB14" s="441"/>
      <c r="CC14" s="441"/>
      <c r="CD14" s="156">
        <v>0.16</v>
      </c>
      <c r="CE14" s="156">
        <v>1.0089999999999999</v>
      </c>
      <c r="CF14" s="84" t="s">
        <v>12</v>
      </c>
      <c r="CG14" s="24">
        <v>3</v>
      </c>
      <c r="CH14" s="24">
        <v>18</v>
      </c>
      <c r="CI14" s="24">
        <v>12</v>
      </c>
      <c r="CJ14" s="523" t="s">
        <v>3989</v>
      </c>
      <c r="CK14" s="523">
        <v>268</v>
      </c>
      <c r="CL14" s="24" t="s">
        <v>164</v>
      </c>
      <c r="CM14" s="41" t="s">
        <v>140</v>
      </c>
      <c r="CN14" s="115"/>
      <c r="CO14" s="115"/>
    </row>
    <row r="15" spans="1:93" s="105" customFormat="1" ht="30" x14ac:dyDescent="0.25">
      <c r="A15" s="526">
        <v>44218</v>
      </c>
      <c r="B15" s="527" t="s">
        <v>12</v>
      </c>
      <c r="C15" s="526" t="s">
        <v>4000</v>
      </c>
      <c r="D15" s="74" t="s">
        <v>54</v>
      </c>
      <c r="E15" s="528" t="s">
        <v>3908</v>
      </c>
      <c r="F15" s="15" t="s">
        <v>4001</v>
      </c>
      <c r="G15" s="529">
        <v>50000</v>
      </c>
      <c r="H15" s="530" t="s">
        <v>3780</v>
      </c>
      <c r="I15" s="530" t="s">
        <v>134</v>
      </c>
      <c r="J15" s="74" t="s">
        <v>226</v>
      </c>
      <c r="K15" s="74">
        <v>382134</v>
      </c>
      <c r="L15" s="74"/>
      <c r="M15" s="7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 t="s">
        <v>4002</v>
      </c>
      <c r="AO15" s="24"/>
      <c r="AP15" s="24"/>
      <c r="AQ15" s="41"/>
      <c r="AR15" s="41" t="s">
        <v>4003</v>
      </c>
      <c r="AS15" s="41"/>
      <c r="AT15" s="24" t="s">
        <v>4004</v>
      </c>
      <c r="AU15" s="41"/>
      <c r="AV15" s="24"/>
      <c r="AW15" s="41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498" t="s">
        <v>3826</v>
      </c>
      <c r="BK15" s="485">
        <v>14.95</v>
      </c>
      <c r="BL15" s="531" t="s">
        <v>4005</v>
      </c>
      <c r="BM15" s="538">
        <v>10038568747775</v>
      </c>
      <c r="BN15" s="490" t="s">
        <v>916</v>
      </c>
      <c r="BO15" s="490" t="s">
        <v>916</v>
      </c>
      <c r="BP15" s="491" t="s">
        <v>916</v>
      </c>
      <c r="BQ15" s="152">
        <v>4.1929999999999996</v>
      </c>
      <c r="BR15" s="152">
        <v>7.1260000000000003</v>
      </c>
      <c r="BS15" s="152">
        <v>0.66900000000000004</v>
      </c>
      <c r="BT15" s="156">
        <v>4.5270000000000001</v>
      </c>
      <c r="BU15" s="156">
        <v>4.5270000000000001</v>
      </c>
      <c r="BV15" s="156">
        <v>7.48</v>
      </c>
      <c r="BW15" s="491" t="s">
        <v>916</v>
      </c>
      <c r="BX15" s="156">
        <v>0.71199999999999997</v>
      </c>
      <c r="BY15" s="156">
        <v>14.055</v>
      </c>
      <c r="BZ15" s="156">
        <v>9.5280000000000005</v>
      </c>
      <c r="CA15" s="156">
        <v>7.9530000000000003</v>
      </c>
      <c r="CB15" s="441"/>
      <c r="CC15" s="441"/>
      <c r="CD15" s="156">
        <v>1.3240000000000001</v>
      </c>
      <c r="CE15" s="156">
        <v>8.75</v>
      </c>
      <c r="CF15" s="84" t="s">
        <v>12</v>
      </c>
      <c r="CG15" s="24">
        <v>6</v>
      </c>
      <c r="CH15" s="24">
        <v>13</v>
      </c>
      <c r="CI15" s="24">
        <v>5</v>
      </c>
      <c r="CJ15" s="523" t="s">
        <v>3790</v>
      </c>
      <c r="CK15" s="523">
        <v>619</v>
      </c>
      <c r="CL15" s="24" t="s">
        <v>164</v>
      </c>
      <c r="CM15" s="88" t="s">
        <v>150</v>
      </c>
      <c r="CN15" s="115"/>
      <c r="CO15" s="115"/>
    </row>
    <row r="16" spans="1:93" s="105" customFormat="1" ht="30" x14ac:dyDescent="0.25">
      <c r="A16" s="526">
        <v>44218</v>
      </c>
      <c r="B16" s="527" t="s">
        <v>12</v>
      </c>
      <c r="C16" s="526" t="s">
        <v>3979</v>
      </c>
      <c r="D16" s="74" t="s">
        <v>54</v>
      </c>
      <c r="E16" s="535" t="s">
        <v>2493</v>
      </c>
      <c r="F16" s="15" t="s">
        <v>3980</v>
      </c>
      <c r="G16" s="529">
        <v>15000</v>
      </c>
      <c r="H16" s="530" t="s">
        <v>3780</v>
      </c>
      <c r="I16" s="530" t="s">
        <v>134</v>
      </c>
      <c r="J16" s="74" t="s">
        <v>519</v>
      </c>
      <c r="K16" s="74" t="s">
        <v>3981</v>
      </c>
      <c r="L16" s="74"/>
      <c r="M16" s="7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41" t="s">
        <v>3826</v>
      </c>
      <c r="AO16" s="41"/>
      <c r="AP16" s="41"/>
      <c r="AQ16" s="41"/>
      <c r="AR16" s="41" t="s">
        <v>3826</v>
      </c>
      <c r="AS16" s="41"/>
      <c r="AT16" s="24" t="s">
        <v>3826</v>
      </c>
      <c r="AU16" s="41"/>
      <c r="AV16" s="24"/>
      <c r="AW16" s="41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 t="s">
        <v>3826</v>
      </c>
      <c r="BK16" s="485">
        <v>34.36</v>
      </c>
      <c r="BL16" s="88" t="s">
        <v>3982</v>
      </c>
      <c r="BM16" s="88" t="s">
        <v>3983</v>
      </c>
      <c r="BN16" s="490" t="s">
        <v>916</v>
      </c>
      <c r="BO16" s="490" t="s">
        <v>916</v>
      </c>
      <c r="BP16" s="491" t="s">
        <v>916</v>
      </c>
      <c r="BQ16" s="152">
        <v>4.0750000000000002</v>
      </c>
      <c r="BR16" s="152">
        <v>7.2640000000000002</v>
      </c>
      <c r="BS16" s="152">
        <v>0.84599999999999997</v>
      </c>
      <c r="BT16" s="156">
        <v>4.7240000000000002</v>
      </c>
      <c r="BU16" s="156">
        <v>4.7240000000000002</v>
      </c>
      <c r="BV16" s="156">
        <v>7.8739999999999997</v>
      </c>
      <c r="BW16" s="491" t="s">
        <v>916</v>
      </c>
      <c r="BX16" s="156">
        <v>0.74299999999999999</v>
      </c>
      <c r="BY16" s="156">
        <v>14.646000000000001</v>
      </c>
      <c r="BZ16" s="156">
        <v>9.9209999999999994</v>
      </c>
      <c r="CA16" s="156">
        <v>8.3460000000000001</v>
      </c>
      <c r="CB16" s="441"/>
      <c r="CC16" s="441"/>
      <c r="CD16" s="156">
        <v>0.74299999999999999</v>
      </c>
      <c r="CE16" s="156">
        <v>6.2720000000000002</v>
      </c>
      <c r="CF16" s="84" t="s">
        <v>12</v>
      </c>
      <c r="CG16" s="24">
        <v>6</v>
      </c>
      <c r="CH16" s="24">
        <v>11</v>
      </c>
      <c r="CI16" s="24">
        <v>5</v>
      </c>
      <c r="CJ16" s="523" t="s">
        <v>3870</v>
      </c>
      <c r="CK16" s="24">
        <v>395</v>
      </c>
      <c r="CL16" s="24" t="s">
        <v>164</v>
      </c>
      <c r="CM16" s="41" t="s">
        <v>150</v>
      </c>
      <c r="CN16" s="115"/>
      <c r="CO16" s="115"/>
    </row>
    <row r="17" spans="1:93" s="105" customFormat="1" ht="75" x14ac:dyDescent="0.25">
      <c r="A17" s="512">
        <v>44204</v>
      </c>
      <c r="B17" s="513" t="s">
        <v>12</v>
      </c>
      <c r="C17" s="512" t="s">
        <v>3938</v>
      </c>
      <c r="D17" s="72" t="s">
        <v>54</v>
      </c>
      <c r="E17" s="514" t="s">
        <v>3837</v>
      </c>
      <c r="F17" s="515" t="s">
        <v>3939</v>
      </c>
      <c r="G17" s="516" t="s">
        <v>3940</v>
      </c>
      <c r="H17" s="517" t="s">
        <v>3307</v>
      </c>
      <c r="I17" s="517" t="s">
        <v>134</v>
      </c>
      <c r="J17" s="72" t="s">
        <v>519</v>
      </c>
      <c r="K17" s="72" t="s">
        <v>1057</v>
      </c>
      <c r="L17" s="72"/>
      <c r="M17" s="72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25" t="s">
        <v>3941</v>
      </c>
      <c r="AO17" s="25"/>
      <c r="AP17" s="25"/>
      <c r="AQ17" s="25"/>
      <c r="AR17" s="25" t="s">
        <v>3942</v>
      </c>
      <c r="AS17" s="25"/>
      <c r="AT17" s="75" t="s">
        <v>3943</v>
      </c>
      <c r="AU17" s="25"/>
      <c r="AV17" s="75"/>
      <c r="AW17" s="2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498" t="s">
        <v>3944</v>
      </c>
      <c r="BK17" s="76">
        <v>127.59</v>
      </c>
      <c r="BL17" s="520" t="s">
        <v>1059</v>
      </c>
      <c r="BM17" s="521">
        <v>10038568740325</v>
      </c>
      <c r="BN17" s="502">
        <v>10</v>
      </c>
      <c r="BO17" s="248">
        <v>10.77</v>
      </c>
      <c r="BP17" s="489">
        <v>7.9</v>
      </c>
      <c r="BQ17" s="490" t="s">
        <v>916</v>
      </c>
      <c r="BR17" s="490" t="s">
        <v>916</v>
      </c>
      <c r="BS17" s="491" t="s">
        <v>916</v>
      </c>
      <c r="BT17" s="492">
        <v>10.25</v>
      </c>
      <c r="BU17" s="492">
        <v>11.06</v>
      </c>
      <c r="BV17" s="492">
        <v>8.375</v>
      </c>
      <c r="BW17" s="493"/>
      <c r="BX17" s="492" t="s">
        <v>916</v>
      </c>
      <c r="BY17" s="492">
        <v>10.25</v>
      </c>
      <c r="BZ17" s="492">
        <v>11.06</v>
      </c>
      <c r="CA17" s="492">
        <v>8.375</v>
      </c>
      <c r="CB17" s="441"/>
      <c r="CC17" s="441"/>
      <c r="CD17" s="489">
        <v>6.97</v>
      </c>
      <c r="CE17" s="489">
        <v>6.97</v>
      </c>
      <c r="CF17" s="494" t="s">
        <v>12</v>
      </c>
      <c r="CG17" s="75">
        <v>1</v>
      </c>
      <c r="CH17" s="75">
        <v>12</v>
      </c>
      <c r="CI17" s="75">
        <v>5</v>
      </c>
      <c r="CJ17" s="495" t="s">
        <v>3957</v>
      </c>
      <c r="CK17" s="495">
        <v>468</v>
      </c>
      <c r="CL17" s="75" t="s">
        <v>256</v>
      </c>
      <c r="CM17" s="25" t="s">
        <v>136</v>
      </c>
      <c r="CN17" s="115"/>
      <c r="CO17" s="115"/>
    </row>
    <row r="18" spans="1:93" s="105" customFormat="1" ht="30" x14ac:dyDescent="0.25">
      <c r="A18" s="512">
        <v>44204</v>
      </c>
      <c r="B18" s="513" t="s">
        <v>12</v>
      </c>
      <c r="C18" s="512" t="s">
        <v>3945</v>
      </c>
      <c r="D18" s="72" t="s">
        <v>54</v>
      </c>
      <c r="E18" s="371" t="s">
        <v>1785</v>
      </c>
      <c r="F18" s="519" t="s">
        <v>3946</v>
      </c>
      <c r="G18" s="516">
        <v>50000</v>
      </c>
      <c r="H18" s="517" t="s">
        <v>3780</v>
      </c>
      <c r="I18" s="517" t="s">
        <v>134</v>
      </c>
      <c r="J18" s="72" t="s">
        <v>350</v>
      </c>
      <c r="K18" s="72" t="s">
        <v>3947</v>
      </c>
      <c r="L18" s="72" t="s">
        <v>350</v>
      </c>
      <c r="M18" s="72" t="s">
        <v>3948</v>
      </c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 t="s">
        <v>3949</v>
      </c>
      <c r="AO18" s="75"/>
      <c r="AP18" s="75"/>
      <c r="AQ18" s="25"/>
      <c r="AR18" s="75" t="s">
        <v>3826</v>
      </c>
      <c r="AS18" s="25"/>
      <c r="AT18" s="75" t="s">
        <v>3950</v>
      </c>
      <c r="AU18" s="25"/>
      <c r="AV18" s="75"/>
      <c r="AW18" s="2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 t="s">
        <v>3951</v>
      </c>
      <c r="BK18" s="76">
        <v>61.1</v>
      </c>
      <c r="BL18" s="315" t="s">
        <v>3958</v>
      </c>
      <c r="BM18" s="315" t="s">
        <v>3959</v>
      </c>
      <c r="BN18" s="502">
        <v>8.11</v>
      </c>
      <c r="BO18" s="248">
        <v>5.67</v>
      </c>
      <c r="BP18" s="489">
        <v>1.57</v>
      </c>
      <c r="BQ18" s="490" t="s">
        <v>916</v>
      </c>
      <c r="BR18" s="490" t="s">
        <v>916</v>
      </c>
      <c r="BS18" s="491" t="s">
        <v>916</v>
      </c>
      <c r="BT18" s="396">
        <v>8.4649999999999999</v>
      </c>
      <c r="BU18" s="396">
        <v>5.9059999999999997</v>
      </c>
      <c r="BV18" s="396">
        <v>3.3460000000000001</v>
      </c>
      <c r="BW18" s="493"/>
      <c r="BX18" s="396">
        <v>0.11</v>
      </c>
      <c r="BY18" s="396">
        <v>10.039</v>
      </c>
      <c r="BZ18" s="396">
        <v>8.8580000000000005</v>
      </c>
      <c r="CA18" s="396">
        <v>6.4960000000000004</v>
      </c>
      <c r="CB18" s="441"/>
      <c r="CC18" s="441"/>
      <c r="CD18" s="396">
        <v>0.437</v>
      </c>
      <c r="CE18" s="396">
        <v>2.2400000000000002</v>
      </c>
      <c r="CF18" s="494" t="s">
        <v>12</v>
      </c>
      <c r="CG18" s="75">
        <v>3</v>
      </c>
      <c r="CH18" s="75">
        <v>20</v>
      </c>
      <c r="CI18" s="75">
        <v>6</v>
      </c>
      <c r="CJ18" s="495" t="s">
        <v>3960</v>
      </c>
      <c r="CK18" s="75">
        <v>320</v>
      </c>
      <c r="CL18" s="75" t="s">
        <v>164</v>
      </c>
      <c r="CM18" s="25" t="s">
        <v>140</v>
      </c>
      <c r="CN18" s="115"/>
      <c r="CO18" s="115"/>
    </row>
    <row r="19" spans="1:93" s="105" customFormat="1" ht="60" x14ac:dyDescent="0.25">
      <c r="A19" s="512">
        <v>44204</v>
      </c>
      <c r="B19" s="513" t="s">
        <v>12</v>
      </c>
      <c r="C19" s="512" t="s">
        <v>3952</v>
      </c>
      <c r="D19" s="72" t="s">
        <v>54</v>
      </c>
      <c r="E19" s="514" t="s">
        <v>3908</v>
      </c>
      <c r="F19" s="515" t="s">
        <v>3953</v>
      </c>
      <c r="G19" s="516">
        <v>50000</v>
      </c>
      <c r="H19" s="517" t="s">
        <v>3314</v>
      </c>
      <c r="I19" s="517" t="s">
        <v>134</v>
      </c>
      <c r="J19" s="72" t="s">
        <v>739</v>
      </c>
      <c r="K19" s="72" t="s">
        <v>3954</v>
      </c>
      <c r="L19" s="72"/>
      <c r="M19" s="72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 t="s">
        <v>3955</v>
      </c>
      <c r="AO19" s="75"/>
      <c r="AP19" s="75"/>
      <c r="AQ19" s="25"/>
      <c r="AR19" s="75" t="s">
        <v>3826</v>
      </c>
      <c r="AS19" s="25"/>
      <c r="AT19" s="75" t="s">
        <v>3956</v>
      </c>
      <c r="AU19" s="25"/>
      <c r="AV19" s="75"/>
      <c r="AW19" s="2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 t="s">
        <v>3826</v>
      </c>
      <c r="BK19" s="76">
        <v>96.37</v>
      </c>
      <c r="BL19" s="79" t="s">
        <v>3961</v>
      </c>
      <c r="BM19" s="79" t="s">
        <v>3962</v>
      </c>
      <c r="BN19" s="490" t="s">
        <v>916</v>
      </c>
      <c r="BO19" s="490" t="s">
        <v>916</v>
      </c>
      <c r="BP19" s="491" t="s">
        <v>916</v>
      </c>
      <c r="BQ19" s="248">
        <v>3.819</v>
      </c>
      <c r="BR19" s="248">
        <v>7.3230000000000004</v>
      </c>
      <c r="BS19" s="248">
        <v>1.744</v>
      </c>
      <c r="BT19" s="396">
        <v>4.33</v>
      </c>
      <c r="BU19" s="396">
        <v>4.33</v>
      </c>
      <c r="BV19" s="396">
        <v>8.66</v>
      </c>
      <c r="BW19" s="493"/>
      <c r="BX19" s="396">
        <v>0.161</v>
      </c>
      <c r="BY19" s="396">
        <v>13.465</v>
      </c>
      <c r="BZ19" s="396">
        <v>9.1340000000000003</v>
      </c>
      <c r="CA19" s="396">
        <v>9.1340000000000003</v>
      </c>
      <c r="CB19" s="441"/>
      <c r="CC19" s="441"/>
      <c r="CD19" s="396">
        <v>0.77</v>
      </c>
      <c r="CE19" s="396">
        <v>5.5449999999999999</v>
      </c>
      <c r="CF19" s="494" t="s">
        <v>12</v>
      </c>
      <c r="CG19" s="75">
        <v>6</v>
      </c>
      <c r="CH19" s="75">
        <v>13</v>
      </c>
      <c r="CI19" s="75">
        <v>4</v>
      </c>
      <c r="CJ19" s="495" t="s">
        <v>3963</v>
      </c>
      <c r="CK19" s="75">
        <v>340</v>
      </c>
      <c r="CL19" s="75" t="s">
        <v>164</v>
      </c>
      <c r="CM19" s="25" t="s">
        <v>150</v>
      </c>
      <c r="CN19" s="115"/>
      <c r="CO19" s="115"/>
    </row>
    <row r="20" spans="1:93" s="105" customFormat="1" ht="30" x14ac:dyDescent="0.25">
      <c r="A20" s="512">
        <v>44172</v>
      </c>
      <c r="B20" s="513" t="s">
        <v>12</v>
      </c>
      <c r="C20" s="512" t="s">
        <v>3903</v>
      </c>
      <c r="D20" s="72" t="s">
        <v>54</v>
      </c>
      <c r="E20" s="514" t="s">
        <v>3837</v>
      </c>
      <c r="F20" s="515" t="s">
        <v>3904</v>
      </c>
      <c r="G20" s="516">
        <v>50000</v>
      </c>
      <c r="H20" s="517" t="s">
        <v>2635</v>
      </c>
      <c r="I20" s="517" t="s">
        <v>134</v>
      </c>
      <c r="J20" s="72" t="s">
        <v>3895</v>
      </c>
      <c r="K20" s="72" t="s">
        <v>3912</v>
      </c>
      <c r="L20" s="72"/>
      <c r="M20" s="72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25" t="s">
        <v>3915</v>
      </c>
      <c r="AO20" s="25"/>
      <c r="AP20" s="25"/>
      <c r="AQ20" s="25"/>
      <c r="AR20" s="25" t="s">
        <v>3916</v>
      </c>
      <c r="AS20" s="25"/>
      <c r="AT20" s="75" t="s">
        <v>3826</v>
      </c>
      <c r="AU20" s="25"/>
      <c r="AV20" s="75"/>
      <c r="AW20" s="2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498"/>
      <c r="BK20" s="76">
        <v>143.65</v>
      </c>
      <c r="BL20" s="393" t="s">
        <v>3922</v>
      </c>
      <c r="BM20" s="394">
        <v>10038568745757</v>
      </c>
      <c r="BN20" s="502">
        <v>19.07</v>
      </c>
      <c r="BO20" s="248">
        <v>8.35</v>
      </c>
      <c r="BP20" s="489">
        <v>6.81</v>
      </c>
      <c r="BQ20" s="490" t="s">
        <v>916</v>
      </c>
      <c r="BR20" s="490" t="s">
        <v>916</v>
      </c>
      <c r="BS20" s="491" t="s">
        <v>916</v>
      </c>
      <c r="BT20" s="492">
        <v>19.375</v>
      </c>
      <c r="BU20" s="492">
        <v>8.625</v>
      </c>
      <c r="BV20" s="492">
        <v>7.375</v>
      </c>
      <c r="BW20" s="493"/>
      <c r="BX20" s="492" t="s">
        <v>916</v>
      </c>
      <c r="BY20" s="492">
        <v>19.375</v>
      </c>
      <c r="BZ20" s="492">
        <v>8.625</v>
      </c>
      <c r="CA20" s="492">
        <v>7.375</v>
      </c>
      <c r="CB20" s="441"/>
      <c r="CC20" s="441"/>
      <c r="CD20" s="489">
        <v>4.66</v>
      </c>
      <c r="CE20" s="489">
        <v>4.66</v>
      </c>
      <c r="CF20" s="494" t="s">
        <v>12</v>
      </c>
      <c r="CG20" s="75">
        <v>1</v>
      </c>
      <c r="CH20" s="75">
        <v>10</v>
      </c>
      <c r="CI20" s="75">
        <v>5</v>
      </c>
      <c r="CJ20" s="495" t="s">
        <v>3923</v>
      </c>
      <c r="CK20" s="495">
        <v>283</v>
      </c>
      <c r="CL20" s="75" t="s">
        <v>256</v>
      </c>
      <c r="CM20" s="25" t="s">
        <v>136</v>
      </c>
      <c r="CN20" s="115"/>
      <c r="CO20" s="115"/>
    </row>
    <row r="21" spans="1:93" s="105" customFormat="1" ht="30" x14ac:dyDescent="0.25">
      <c r="A21" s="512">
        <v>44172</v>
      </c>
      <c r="B21" s="513" t="s">
        <v>12</v>
      </c>
      <c r="C21" s="512" t="s">
        <v>3905</v>
      </c>
      <c r="D21" s="72" t="s">
        <v>54</v>
      </c>
      <c r="E21" s="371" t="s">
        <v>2641</v>
      </c>
      <c r="F21" s="515" t="s">
        <v>3906</v>
      </c>
      <c r="G21" s="516">
        <v>20000</v>
      </c>
      <c r="H21" s="517" t="s">
        <v>3314</v>
      </c>
      <c r="I21" s="517" t="s">
        <v>134</v>
      </c>
      <c r="J21" s="72" t="s">
        <v>3895</v>
      </c>
      <c r="K21" s="72">
        <v>1928868</v>
      </c>
      <c r="L21" s="72"/>
      <c r="M21" s="72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 t="s">
        <v>3917</v>
      </c>
      <c r="AO21" s="75"/>
      <c r="AP21" s="75"/>
      <c r="AQ21" s="25"/>
      <c r="AR21" s="75" t="s">
        <v>3918</v>
      </c>
      <c r="AS21" s="25"/>
      <c r="AT21" s="75" t="s">
        <v>3919</v>
      </c>
      <c r="AU21" s="25"/>
      <c r="AV21" s="75"/>
      <c r="AW21" s="2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6">
        <v>56.19</v>
      </c>
      <c r="BL21" s="79" t="s">
        <v>3924</v>
      </c>
      <c r="BM21" s="79" t="s">
        <v>3925</v>
      </c>
      <c r="BN21" s="490" t="s">
        <v>916</v>
      </c>
      <c r="BO21" s="490" t="s">
        <v>916</v>
      </c>
      <c r="BP21" s="491" t="s">
        <v>916</v>
      </c>
      <c r="BQ21" s="248">
        <v>4.2720000000000002</v>
      </c>
      <c r="BR21" s="248">
        <v>10.827</v>
      </c>
      <c r="BS21" s="248">
        <v>1.8580000000000001</v>
      </c>
      <c r="BT21" s="396">
        <v>4.7240000000000002</v>
      </c>
      <c r="BU21" s="396">
        <v>4.7240000000000002</v>
      </c>
      <c r="BV21" s="396">
        <v>11.417</v>
      </c>
      <c r="BW21" s="493"/>
      <c r="BX21" s="396">
        <v>0.17299999999999999</v>
      </c>
      <c r="BY21" s="396">
        <v>14.646000000000001</v>
      </c>
      <c r="BZ21" s="396">
        <v>9.9209999999999994</v>
      </c>
      <c r="CA21" s="396">
        <v>11.89</v>
      </c>
      <c r="CB21" s="441"/>
      <c r="CC21" s="441"/>
      <c r="CD21" s="396">
        <v>0.95699999999999996</v>
      </c>
      <c r="CE21" s="396">
        <v>6.6669999999999998</v>
      </c>
      <c r="CF21" s="494" t="s">
        <v>12</v>
      </c>
      <c r="CG21" s="75">
        <v>6</v>
      </c>
      <c r="CH21" s="75">
        <v>12</v>
      </c>
      <c r="CI21" s="75">
        <v>3</v>
      </c>
      <c r="CJ21" s="495" t="s">
        <v>3926</v>
      </c>
      <c r="CK21" s="75">
        <v>290</v>
      </c>
      <c r="CL21" s="75" t="s">
        <v>164</v>
      </c>
      <c r="CM21" s="79" t="s">
        <v>150</v>
      </c>
      <c r="CN21" s="115"/>
      <c r="CO21" s="115"/>
    </row>
    <row r="22" spans="1:93" s="105" customFormat="1" ht="30" x14ac:dyDescent="0.25">
      <c r="A22" s="512">
        <v>44172</v>
      </c>
      <c r="B22" s="513" t="s">
        <v>12</v>
      </c>
      <c r="C22" s="512" t="s">
        <v>3907</v>
      </c>
      <c r="D22" s="72" t="s">
        <v>54</v>
      </c>
      <c r="E22" s="514" t="s">
        <v>3908</v>
      </c>
      <c r="F22" s="515" t="s">
        <v>3909</v>
      </c>
      <c r="G22" s="516">
        <v>100000</v>
      </c>
      <c r="H22" s="517" t="s">
        <v>3307</v>
      </c>
      <c r="I22" s="517" t="s">
        <v>134</v>
      </c>
      <c r="J22" s="72" t="s">
        <v>739</v>
      </c>
      <c r="K22" s="72" t="s">
        <v>3913</v>
      </c>
      <c r="L22" s="72" t="s">
        <v>1902</v>
      </c>
      <c r="M22" s="72" t="s">
        <v>3914</v>
      </c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 t="s">
        <v>3920</v>
      </c>
      <c r="AO22" s="75"/>
      <c r="AP22" s="75"/>
      <c r="AQ22" s="25"/>
      <c r="AR22" s="75" t="s">
        <v>3826</v>
      </c>
      <c r="AS22" s="25"/>
      <c r="AT22" s="75" t="s">
        <v>3921</v>
      </c>
      <c r="AU22" s="25"/>
      <c r="AV22" s="75"/>
      <c r="AW22" s="2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6">
        <v>137.49</v>
      </c>
      <c r="BL22" s="79" t="s">
        <v>3927</v>
      </c>
      <c r="BM22" s="79" t="s">
        <v>3928</v>
      </c>
      <c r="BN22" s="490" t="s">
        <v>916</v>
      </c>
      <c r="BO22" s="490" t="s">
        <v>916</v>
      </c>
      <c r="BP22" s="491" t="s">
        <v>916</v>
      </c>
      <c r="BQ22" s="248">
        <v>5.8070000000000004</v>
      </c>
      <c r="BR22" s="248">
        <v>8.4649999999999999</v>
      </c>
      <c r="BS22" s="248">
        <v>2.8540000000000001</v>
      </c>
      <c r="BT22" s="396">
        <v>6.2990000000000004</v>
      </c>
      <c r="BU22" s="396">
        <v>6.2990000000000004</v>
      </c>
      <c r="BV22" s="396">
        <v>9.843</v>
      </c>
      <c r="BW22" s="493"/>
      <c r="BX22" s="396">
        <v>0.23</v>
      </c>
      <c r="BY22" s="396">
        <v>19.37</v>
      </c>
      <c r="BZ22" s="396">
        <v>13.071</v>
      </c>
      <c r="CA22" s="396">
        <v>10.315</v>
      </c>
      <c r="CB22" s="441"/>
      <c r="CC22" s="441"/>
      <c r="CD22" s="396">
        <v>1.62</v>
      </c>
      <c r="CE22" s="396">
        <v>10.645</v>
      </c>
      <c r="CF22" s="494" t="s">
        <v>12</v>
      </c>
      <c r="CG22" s="75">
        <v>6</v>
      </c>
      <c r="CH22" s="75">
        <v>7</v>
      </c>
      <c r="CI22" s="75">
        <v>4</v>
      </c>
      <c r="CJ22" s="495" t="s">
        <v>3929</v>
      </c>
      <c r="CK22" s="75">
        <v>348</v>
      </c>
      <c r="CL22" s="75" t="s">
        <v>164</v>
      </c>
      <c r="CM22" s="25" t="s">
        <v>150</v>
      </c>
      <c r="CN22" s="115"/>
      <c r="CO22" s="115"/>
    </row>
    <row r="23" spans="1:93" s="105" customFormat="1" ht="30" x14ac:dyDescent="0.25">
      <c r="A23" s="512">
        <v>44172</v>
      </c>
      <c r="B23" s="513" t="s">
        <v>12</v>
      </c>
      <c r="C23" s="512" t="s">
        <v>3910</v>
      </c>
      <c r="D23" s="72" t="s">
        <v>54</v>
      </c>
      <c r="E23" s="518" t="s">
        <v>2381</v>
      </c>
      <c r="F23" s="28" t="s">
        <v>3911</v>
      </c>
      <c r="G23" s="516" t="s">
        <v>916</v>
      </c>
      <c r="H23" s="517" t="s">
        <v>3780</v>
      </c>
      <c r="I23" s="517" t="s">
        <v>134</v>
      </c>
      <c r="J23" s="72"/>
      <c r="K23" s="72"/>
      <c r="L23" s="72"/>
      <c r="M23" s="72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 t="s">
        <v>3826</v>
      </c>
      <c r="AO23" s="75"/>
      <c r="AP23" s="75"/>
      <c r="AQ23" s="25"/>
      <c r="AR23" s="75" t="s">
        <v>3826</v>
      </c>
      <c r="AS23" s="25"/>
      <c r="AT23" s="75" t="s">
        <v>3826</v>
      </c>
      <c r="AU23" s="25"/>
      <c r="AV23" s="75"/>
      <c r="AW23" s="2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496"/>
      <c r="BK23" s="76">
        <v>97.17</v>
      </c>
      <c r="BL23" s="393" t="s">
        <v>3930</v>
      </c>
      <c r="BM23" s="474">
        <v>10038568748024</v>
      </c>
      <c r="BN23" s="490" t="s">
        <v>916</v>
      </c>
      <c r="BO23" s="490" t="s">
        <v>916</v>
      </c>
      <c r="BP23" s="491" t="s">
        <v>916</v>
      </c>
      <c r="BQ23" s="490" t="s">
        <v>916</v>
      </c>
      <c r="BR23" s="490" t="s">
        <v>916</v>
      </c>
      <c r="BS23" s="491" t="s">
        <v>916</v>
      </c>
      <c r="BT23" s="490" t="s">
        <v>916</v>
      </c>
      <c r="BU23" s="490" t="s">
        <v>916</v>
      </c>
      <c r="BV23" s="491" t="s">
        <v>916</v>
      </c>
      <c r="BW23" s="493"/>
      <c r="BX23" s="491" t="s">
        <v>916</v>
      </c>
      <c r="BY23" s="396">
        <v>11.25</v>
      </c>
      <c r="BZ23" s="396">
        <v>8.75</v>
      </c>
      <c r="CA23" s="396">
        <v>8.75</v>
      </c>
      <c r="CB23" s="441"/>
      <c r="CC23" s="441"/>
      <c r="CD23" s="396">
        <v>10.48</v>
      </c>
      <c r="CE23" s="396">
        <v>10.48</v>
      </c>
      <c r="CF23" s="494" t="s">
        <v>12</v>
      </c>
      <c r="CG23" s="75">
        <v>1</v>
      </c>
      <c r="CH23" s="75">
        <v>20</v>
      </c>
      <c r="CI23" s="75">
        <v>3</v>
      </c>
      <c r="CJ23" s="495" t="s">
        <v>3931</v>
      </c>
      <c r="CK23" s="495">
        <v>680</v>
      </c>
      <c r="CL23" s="75" t="s">
        <v>256</v>
      </c>
      <c r="CM23" s="79" t="s">
        <v>150</v>
      </c>
      <c r="CN23" s="115"/>
      <c r="CO23" s="115"/>
    </row>
    <row r="24" spans="1:93" s="105" customFormat="1" ht="30" x14ac:dyDescent="0.25">
      <c r="A24" s="487">
        <v>44127</v>
      </c>
      <c r="B24" s="132" t="s">
        <v>12</v>
      </c>
      <c r="C24" s="487" t="s">
        <v>3881</v>
      </c>
      <c r="D24" s="75" t="s">
        <v>54</v>
      </c>
      <c r="E24" s="391" t="s">
        <v>3882</v>
      </c>
      <c r="F24" s="501" t="s">
        <v>3883</v>
      </c>
      <c r="G24" s="401" t="s">
        <v>3884</v>
      </c>
      <c r="H24" s="401" t="s">
        <v>2635</v>
      </c>
      <c r="I24" s="401" t="s">
        <v>134</v>
      </c>
      <c r="J24" s="75" t="s">
        <v>2529</v>
      </c>
      <c r="K24" s="75" t="s">
        <v>3885</v>
      </c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25" t="s">
        <v>3886</v>
      </c>
      <c r="AO24" s="25"/>
      <c r="AP24" s="25"/>
      <c r="AQ24" s="25"/>
      <c r="AR24" s="25" t="s">
        <v>3887</v>
      </c>
      <c r="AS24" s="25"/>
      <c r="AT24" s="75" t="s">
        <v>3888</v>
      </c>
      <c r="AU24" s="25" t="s">
        <v>3889</v>
      </c>
      <c r="AV24" s="75"/>
      <c r="AW24" s="2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498">
        <v>49478</v>
      </c>
      <c r="BK24" s="76">
        <v>152.87</v>
      </c>
      <c r="BL24" s="393" t="s">
        <v>3890</v>
      </c>
      <c r="BM24" s="394">
        <v>10038568746105</v>
      </c>
      <c r="BN24" s="502">
        <v>26.16</v>
      </c>
      <c r="BO24" s="248">
        <v>5.24</v>
      </c>
      <c r="BP24" s="489">
        <v>10.24</v>
      </c>
      <c r="BQ24" s="490" t="s">
        <v>916</v>
      </c>
      <c r="BR24" s="490" t="s">
        <v>916</v>
      </c>
      <c r="BS24" s="491" t="s">
        <v>916</v>
      </c>
      <c r="BT24" s="492">
        <v>26.5</v>
      </c>
      <c r="BU24" s="492">
        <v>5.5</v>
      </c>
      <c r="BV24" s="492">
        <v>10.6</v>
      </c>
      <c r="BW24" s="493"/>
      <c r="BX24" s="492">
        <v>5.14</v>
      </c>
      <c r="BY24" s="396">
        <v>26.5</v>
      </c>
      <c r="BZ24" s="396">
        <v>5.5</v>
      </c>
      <c r="CA24" s="396">
        <v>10.6</v>
      </c>
      <c r="CB24" s="441"/>
      <c r="CC24" s="441"/>
      <c r="CD24" s="489">
        <v>5.14</v>
      </c>
      <c r="CE24" s="489">
        <v>5.14</v>
      </c>
      <c r="CF24" s="494" t="s">
        <v>12</v>
      </c>
      <c r="CG24" s="75">
        <v>1</v>
      </c>
      <c r="CH24" s="75">
        <v>10</v>
      </c>
      <c r="CI24" s="75">
        <v>4</v>
      </c>
      <c r="CJ24" s="495" t="s">
        <v>3891</v>
      </c>
      <c r="CK24" s="495">
        <v>256</v>
      </c>
      <c r="CL24" s="75" t="s">
        <v>256</v>
      </c>
      <c r="CM24" s="25" t="s">
        <v>136</v>
      </c>
      <c r="CN24" s="115"/>
      <c r="CO24" s="115"/>
    </row>
    <row r="25" spans="1:93" s="105" customFormat="1" ht="30" x14ac:dyDescent="0.25">
      <c r="A25" s="487">
        <v>44127</v>
      </c>
      <c r="B25" s="75" t="s">
        <v>12</v>
      </c>
      <c r="C25" s="487" t="s">
        <v>3892</v>
      </c>
      <c r="D25" s="75" t="s">
        <v>54</v>
      </c>
      <c r="E25" s="341" t="s">
        <v>3882</v>
      </c>
      <c r="F25" s="501" t="s">
        <v>3893</v>
      </c>
      <c r="G25" s="401" t="s">
        <v>3894</v>
      </c>
      <c r="H25" s="401" t="s">
        <v>2635</v>
      </c>
      <c r="I25" s="401" t="s">
        <v>134</v>
      </c>
      <c r="J25" s="75" t="s">
        <v>3895</v>
      </c>
      <c r="K25" s="75" t="s">
        <v>1108</v>
      </c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 t="s">
        <v>3896</v>
      </c>
      <c r="AO25" s="75"/>
      <c r="AP25" s="75"/>
      <c r="AQ25" s="25"/>
      <c r="AR25" s="75" t="s">
        <v>3897</v>
      </c>
      <c r="AS25" s="25"/>
      <c r="AT25" s="75"/>
      <c r="AU25" s="25"/>
      <c r="AV25" s="75"/>
      <c r="AW25" s="2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 t="s">
        <v>3898</v>
      </c>
      <c r="BK25" s="76">
        <v>224.97</v>
      </c>
      <c r="BL25" s="79" t="s">
        <v>3899</v>
      </c>
      <c r="BM25" s="79" t="s">
        <v>3900</v>
      </c>
      <c r="BN25" s="396">
        <v>19.07</v>
      </c>
      <c r="BO25" s="396">
        <v>8.35</v>
      </c>
      <c r="BP25" s="396">
        <v>11.69</v>
      </c>
      <c r="BQ25" s="490" t="s">
        <v>916</v>
      </c>
      <c r="BR25" s="490" t="s">
        <v>916</v>
      </c>
      <c r="BS25" s="491" t="s">
        <v>916</v>
      </c>
      <c r="BT25" s="396">
        <v>19.375</v>
      </c>
      <c r="BU25" s="396">
        <v>8.625</v>
      </c>
      <c r="BV25" s="396">
        <v>12.5</v>
      </c>
      <c r="BW25" s="493"/>
      <c r="BX25" s="396">
        <v>7.07</v>
      </c>
      <c r="BY25" s="396">
        <v>19.375</v>
      </c>
      <c r="BZ25" s="396">
        <v>8.625</v>
      </c>
      <c r="CA25" s="396">
        <v>12.5</v>
      </c>
      <c r="CB25" s="441"/>
      <c r="CC25" s="441"/>
      <c r="CD25" s="396">
        <v>7.07</v>
      </c>
      <c r="CE25" s="396">
        <v>7.07</v>
      </c>
      <c r="CF25" s="494" t="s">
        <v>12</v>
      </c>
      <c r="CG25" s="75">
        <v>1</v>
      </c>
      <c r="CH25" s="75">
        <v>10</v>
      </c>
      <c r="CI25" s="75">
        <v>3</v>
      </c>
      <c r="CJ25" s="495" t="s">
        <v>3901</v>
      </c>
      <c r="CK25" s="75">
        <v>262</v>
      </c>
      <c r="CL25" s="75" t="s">
        <v>256</v>
      </c>
      <c r="CM25" s="25" t="s">
        <v>136</v>
      </c>
      <c r="CN25" s="115"/>
      <c r="CO25" s="115"/>
    </row>
    <row r="26" spans="1:93" s="105" customFormat="1" ht="75" x14ac:dyDescent="0.25">
      <c r="A26" s="487">
        <v>44071</v>
      </c>
      <c r="B26" s="132" t="s">
        <v>12</v>
      </c>
      <c r="C26" s="487" t="s">
        <v>3856</v>
      </c>
      <c r="D26" s="75" t="s">
        <v>54</v>
      </c>
      <c r="E26" s="341" t="s">
        <v>3801</v>
      </c>
      <c r="F26" s="28" t="s">
        <v>3857</v>
      </c>
      <c r="G26" s="404">
        <v>50000</v>
      </c>
      <c r="H26" s="401" t="s">
        <v>3780</v>
      </c>
      <c r="I26" s="401" t="s">
        <v>134</v>
      </c>
      <c r="J26" s="75" t="s">
        <v>2529</v>
      </c>
      <c r="K26" s="75" t="s">
        <v>3858</v>
      </c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25" t="s">
        <v>3859</v>
      </c>
      <c r="AO26" s="25"/>
      <c r="AP26" s="25"/>
      <c r="AQ26" s="25"/>
      <c r="AR26" s="25" t="s">
        <v>3860</v>
      </c>
      <c r="AS26" s="25"/>
      <c r="AT26" s="497" t="s">
        <v>3861</v>
      </c>
      <c r="AU26" s="25"/>
      <c r="AV26" s="75"/>
      <c r="AW26" s="2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498">
        <v>24629</v>
      </c>
      <c r="BK26" s="76">
        <v>17.5</v>
      </c>
      <c r="BL26" s="393" t="s">
        <v>3867</v>
      </c>
      <c r="BM26" s="394">
        <v>10038568747317</v>
      </c>
      <c r="BN26" s="248">
        <v>10.08</v>
      </c>
      <c r="BO26" s="248">
        <v>5.16</v>
      </c>
      <c r="BP26" s="25">
        <v>0.59</v>
      </c>
      <c r="BQ26" s="490" t="s">
        <v>916</v>
      </c>
      <c r="BR26" s="490" t="s">
        <v>916</v>
      </c>
      <c r="BS26" s="491" t="s">
        <v>916</v>
      </c>
      <c r="BT26" s="492">
        <v>5.5119999999999996</v>
      </c>
      <c r="BU26" s="492">
        <v>0.78700000000000003</v>
      </c>
      <c r="BV26" s="492">
        <v>10.433</v>
      </c>
      <c r="BW26" s="493"/>
      <c r="BX26" s="492">
        <v>0.27800000000000002</v>
      </c>
      <c r="BY26" s="396">
        <v>11.023999999999999</v>
      </c>
      <c r="BZ26" s="396">
        <v>2.9529999999999998</v>
      </c>
      <c r="CA26" s="396">
        <v>6.1020000000000003</v>
      </c>
      <c r="CB26" s="441"/>
      <c r="CC26" s="441"/>
      <c r="CD26" s="489">
        <v>0.32800000000000001</v>
      </c>
      <c r="CE26" s="489">
        <v>2.1880000000000002</v>
      </c>
      <c r="CF26" s="494" t="s">
        <v>12</v>
      </c>
      <c r="CG26" s="75">
        <v>3</v>
      </c>
      <c r="CH26" s="75">
        <v>24</v>
      </c>
      <c r="CI26" s="75">
        <v>11</v>
      </c>
      <c r="CJ26" s="495" t="s">
        <v>3868</v>
      </c>
      <c r="CK26" s="495">
        <v>628</v>
      </c>
      <c r="CL26" s="75" t="s">
        <v>139</v>
      </c>
      <c r="CM26" s="25" t="s">
        <v>140</v>
      </c>
      <c r="CN26" s="115"/>
      <c r="CO26" s="115"/>
    </row>
    <row r="27" spans="1:93" s="105" customFormat="1" ht="45" x14ac:dyDescent="0.25">
      <c r="A27" s="487">
        <v>44071</v>
      </c>
      <c r="B27" s="132" t="s">
        <v>12</v>
      </c>
      <c r="C27" s="487" t="s">
        <v>3862</v>
      </c>
      <c r="D27" s="75" t="s">
        <v>54</v>
      </c>
      <c r="E27" s="391" t="s">
        <v>2493</v>
      </c>
      <c r="F27" s="28" t="s">
        <v>3863</v>
      </c>
      <c r="G27" s="404">
        <v>100000</v>
      </c>
      <c r="H27" s="401" t="s">
        <v>3314</v>
      </c>
      <c r="I27" s="401" t="s">
        <v>134</v>
      </c>
      <c r="J27" s="75" t="s">
        <v>739</v>
      </c>
      <c r="K27" s="75" t="s">
        <v>3864</v>
      </c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 t="s">
        <v>3865</v>
      </c>
      <c r="AO27" s="75"/>
      <c r="AP27" s="75"/>
      <c r="AQ27" s="25"/>
      <c r="AR27" s="75"/>
      <c r="AS27" s="25"/>
      <c r="AT27" s="25" t="s">
        <v>3866</v>
      </c>
      <c r="AU27" s="25"/>
      <c r="AV27" s="75"/>
      <c r="AW27" s="2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498"/>
      <c r="BK27" s="76">
        <v>59.98</v>
      </c>
      <c r="BL27" s="393" t="s">
        <v>3869</v>
      </c>
      <c r="BM27" s="394">
        <v>10038568747454</v>
      </c>
      <c r="BN27" s="490" t="s">
        <v>916</v>
      </c>
      <c r="BO27" s="490" t="s">
        <v>916</v>
      </c>
      <c r="BP27" s="491" t="s">
        <v>916</v>
      </c>
      <c r="BQ27" s="248">
        <v>4.2910000000000004</v>
      </c>
      <c r="BR27" s="248">
        <v>7.2240000000000002</v>
      </c>
      <c r="BS27" s="25">
        <v>0.84599999999999997</v>
      </c>
      <c r="BT27" s="492">
        <v>4.7240000000000002</v>
      </c>
      <c r="BU27" s="492">
        <v>4.7240000000000002</v>
      </c>
      <c r="BV27" s="492">
        <v>7.8739999999999997</v>
      </c>
      <c r="BW27" s="441"/>
      <c r="BX27" s="492">
        <v>0.80200000000000005</v>
      </c>
      <c r="BY27" s="396">
        <v>14.646000000000001</v>
      </c>
      <c r="BZ27" s="396">
        <v>9.9209999999999994</v>
      </c>
      <c r="CA27" s="396">
        <v>8.3460000000000001</v>
      </c>
      <c r="CB27" s="441"/>
      <c r="CC27" s="441"/>
      <c r="CD27" s="396">
        <v>0.80200000000000005</v>
      </c>
      <c r="CE27" s="396">
        <v>6.2480000000000002</v>
      </c>
      <c r="CF27" s="494" t="s">
        <v>12</v>
      </c>
      <c r="CG27" s="75">
        <v>6</v>
      </c>
      <c r="CH27" s="75">
        <v>11</v>
      </c>
      <c r="CI27" s="75">
        <v>5</v>
      </c>
      <c r="CJ27" s="495" t="s">
        <v>3870</v>
      </c>
      <c r="CK27" s="495">
        <v>394</v>
      </c>
      <c r="CL27" s="75" t="s">
        <v>139</v>
      </c>
      <c r="CM27" s="25" t="s">
        <v>150</v>
      </c>
      <c r="CN27" s="115"/>
      <c r="CO27" s="115"/>
    </row>
    <row r="28" spans="1:93" s="105" customFormat="1" ht="75" x14ac:dyDescent="0.25">
      <c r="A28" s="487">
        <v>43994</v>
      </c>
      <c r="B28" s="132" t="s">
        <v>12</v>
      </c>
      <c r="C28" s="487" t="s">
        <v>3839</v>
      </c>
      <c r="D28" s="75" t="s">
        <v>54</v>
      </c>
      <c r="E28" s="341" t="s">
        <v>3840</v>
      </c>
      <c r="F28" s="28" t="s">
        <v>3841</v>
      </c>
      <c r="G28" s="404">
        <v>500000</v>
      </c>
      <c r="H28" s="401" t="s">
        <v>3314</v>
      </c>
      <c r="I28" s="401" t="s">
        <v>134</v>
      </c>
      <c r="J28" s="75" t="s">
        <v>2529</v>
      </c>
      <c r="K28" s="75">
        <v>1417927000</v>
      </c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25" t="s">
        <v>3842</v>
      </c>
      <c r="AO28" s="25"/>
      <c r="AP28" s="25"/>
      <c r="AQ28" s="25"/>
      <c r="AR28" s="25" t="s">
        <v>3843</v>
      </c>
      <c r="AS28" s="25"/>
      <c r="AT28" s="497" t="s">
        <v>3844</v>
      </c>
      <c r="AU28" s="25"/>
      <c r="AV28" s="75"/>
      <c r="AW28" s="2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488"/>
      <c r="BK28" s="76">
        <v>39.49</v>
      </c>
      <c r="BL28" s="393" t="s">
        <v>3845</v>
      </c>
      <c r="BM28" s="394">
        <v>10038568745641</v>
      </c>
      <c r="BN28" s="490" t="s">
        <v>916</v>
      </c>
      <c r="BO28" s="490" t="s">
        <v>916</v>
      </c>
      <c r="BP28" s="491" t="s">
        <v>916</v>
      </c>
      <c r="BQ28" s="248">
        <v>2.3130000000000002</v>
      </c>
      <c r="BR28" s="248">
        <v>2.851</v>
      </c>
      <c r="BS28" s="25">
        <v>0.70899999999999996</v>
      </c>
      <c r="BT28" s="492">
        <v>2.75</v>
      </c>
      <c r="BU28" s="492">
        <v>2.75</v>
      </c>
      <c r="BV28" s="492">
        <v>3.12</v>
      </c>
      <c r="BW28" s="493"/>
      <c r="BX28" s="492">
        <v>0.13</v>
      </c>
      <c r="BY28" s="396">
        <v>8.75</v>
      </c>
      <c r="BZ28" s="396">
        <v>6</v>
      </c>
      <c r="CA28" s="396">
        <v>3.87</v>
      </c>
      <c r="CB28" s="441"/>
      <c r="CC28" s="441"/>
      <c r="CD28" s="489">
        <v>0.93700000000000006</v>
      </c>
      <c r="CE28" s="489">
        <v>5.8620000000000001</v>
      </c>
      <c r="CF28" s="494" t="s">
        <v>12</v>
      </c>
      <c r="CG28" s="75">
        <v>6</v>
      </c>
      <c r="CH28" s="75">
        <v>30</v>
      </c>
      <c r="CI28" s="75">
        <v>11</v>
      </c>
      <c r="CJ28" s="495" t="s">
        <v>3846</v>
      </c>
      <c r="CK28" s="495">
        <v>1984</v>
      </c>
      <c r="CL28" s="75" t="s">
        <v>931</v>
      </c>
      <c r="CM28" s="25" t="s">
        <v>150</v>
      </c>
      <c r="CN28" s="115"/>
    </row>
    <row r="29" spans="1:93" s="105" customFormat="1" ht="30" x14ac:dyDescent="0.25">
      <c r="A29" s="487">
        <v>43994</v>
      </c>
      <c r="B29" s="132" t="s">
        <v>12</v>
      </c>
      <c r="C29" s="487" t="s">
        <v>3847</v>
      </c>
      <c r="D29" s="75" t="s">
        <v>54</v>
      </c>
      <c r="E29" s="341" t="s">
        <v>2493</v>
      </c>
      <c r="F29" s="72" t="s">
        <v>3848</v>
      </c>
      <c r="G29" s="404" t="s">
        <v>3849</v>
      </c>
      <c r="H29" s="401" t="s">
        <v>3780</v>
      </c>
      <c r="I29" s="401" t="s">
        <v>134</v>
      </c>
      <c r="J29" s="75" t="s">
        <v>3850</v>
      </c>
      <c r="K29" s="75" t="s">
        <v>3851</v>
      </c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 t="s">
        <v>3851</v>
      </c>
      <c r="AO29" s="75"/>
      <c r="AP29" s="75"/>
      <c r="AQ29" s="25"/>
      <c r="AR29" s="75"/>
      <c r="AS29" s="25"/>
      <c r="AT29" s="25"/>
      <c r="AU29" s="25"/>
      <c r="AV29" s="75"/>
      <c r="AW29" s="2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488">
        <v>33952</v>
      </c>
      <c r="BK29" s="76">
        <v>20.82</v>
      </c>
      <c r="BL29" s="393" t="s">
        <v>3852</v>
      </c>
      <c r="BM29" s="394">
        <v>10038568747195</v>
      </c>
      <c r="BN29" s="490" t="s">
        <v>916</v>
      </c>
      <c r="BO29" s="490" t="s">
        <v>916</v>
      </c>
      <c r="BP29" s="491" t="s">
        <v>916</v>
      </c>
      <c r="BQ29" s="248">
        <v>4.2130000000000001</v>
      </c>
      <c r="BR29" s="248">
        <v>4.2759999999999998</v>
      </c>
      <c r="BS29" s="25">
        <v>1.6930000000000001</v>
      </c>
      <c r="BT29" s="492">
        <v>4.5279999999999996</v>
      </c>
      <c r="BU29" s="492">
        <v>4.5279999999999996</v>
      </c>
      <c r="BV29" s="492">
        <v>4.9210000000000003</v>
      </c>
      <c r="BW29" s="441"/>
      <c r="BX29" s="492">
        <v>0.126</v>
      </c>
      <c r="BY29" s="396">
        <v>19.094000000000001</v>
      </c>
      <c r="BZ29" s="396">
        <v>14.37</v>
      </c>
      <c r="CA29" s="396">
        <v>5.7089999999999996</v>
      </c>
      <c r="CB29" s="441"/>
      <c r="CC29" s="441"/>
      <c r="CD29" s="396">
        <v>0.376</v>
      </c>
      <c r="CE29" s="396">
        <v>5.4029999999999996</v>
      </c>
      <c r="CF29" s="494" t="s">
        <v>12</v>
      </c>
      <c r="CG29" s="75">
        <v>12</v>
      </c>
      <c r="CH29" s="75">
        <v>6</v>
      </c>
      <c r="CI29" s="75">
        <v>6</v>
      </c>
      <c r="CJ29" s="495" t="s">
        <v>3853</v>
      </c>
      <c r="CK29" s="495">
        <v>245</v>
      </c>
      <c r="CL29" s="75" t="s">
        <v>3854</v>
      </c>
      <c r="CM29" s="25" t="s">
        <v>150</v>
      </c>
      <c r="CN29" s="115"/>
    </row>
    <row r="30" spans="1:93" s="105" customFormat="1" ht="30" x14ac:dyDescent="0.25">
      <c r="A30" s="487">
        <v>43945</v>
      </c>
      <c r="B30" s="132" t="s">
        <v>12</v>
      </c>
      <c r="C30" s="487" t="s">
        <v>3800</v>
      </c>
      <c r="D30" s="75" t="s">
        <v>54</v>
      </c>
      <c r="E30" s="341" t="s">
        <v>3801</v>
      </c>
      <c r="F30" s="72" t="s">
        <v>3802</v>
      </c>
      <c r="G30" s="404">
        <v>30000</v>
      </c>
      <c r="H30" s="401" t="s">
        <v>3780</v>
      </c>
      <c r="I30" s="401" t="s">
        <v>134</v>
      </c>
      <c r="J30" s="75" t="s">
        <v>519</v>
      </c>
      <c r="K30" s="75" t="s">
        <v>3803</v>
      </c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25" t="s">
        <v>3804</v>
      </c>
      <c r="AO30" s="25"/>
      <c r="AP30" s="25"/>
      <c r="AQ30" s="25"/>
      <c r="AR30" s="25" t="s">
        <v>3805</v>
      </c>
      <c r="AS30" s="25"/>
      <c r="AT30" s="25" t="s">
        <v>3806</v>
      </c>
      <c r="AU30" s="25"/>
      <c r="AV30" s="75"/>
      <c r="AW30" s="2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488">
        <v>24115</v>
      </c>
      <c r="BK30" s="76">
        <v>20.89</v>
      </c>
      <c r="BL30" s="393" t="s">
        <v>3807</v>
      </c>
      <c r="BM30" s="394">
        <v>10038568747331</v>
      </c>
      <c r="BN30" s="489">
        <v>13.62</v>
      </c>
      <c r="BO30" s="489">
        <v>9.9600000000000009</v>
      </c>
      <c r="BP30" s="489">
        <v>0.59</v>
      </c>
      <c r="BQ30" s="490" t="s">
        <v>916</v>
      </c>
      <c r="BR30" s="490" t="s">
        <v>916</v>
      </c>
      <c r="BS30" s="491" t="s">
        <v>916</v>
      </c>
      <c r="BT30" s="492">
        <v>10.551</v>
      </c>
      <c r="BU30" s="492">
        <v>0.90600000000000003</v>
      </c>
      <c r="BV30" s="492">
        <v>14.093999999999999</v>
      </c>
      <c r="BW30" s="493"/>
      <c r="BX30" s="492">
        <v>0.40100000000000002</v>
      </c>
      <c r="BY30" s="396">
        <v>11.22</v>
      </c>
      <c r="BZ30" s="396">
        <v>3.3460000000000001</v>
      </c>
      <c r="CA30" s="396">
        <v>14.763999999999999</v>
      </c>
      <c r="CB30" s="441"/>
      <c r="CC30" s="441"/>
      <c r="CD30" s="489">
        <v>0.58099999999999996</v>
      </c>
      <c r="CE30" s="489">
        <v>2.9470000000000001</v>
      </c>
      <c r="CF30" s="494" t="s">
        <v>3808</v>
      </c>
      <c r="CG30" s="75">
        <v>3</v>
      </c>
      <c r="CH30" s="75">
        <v>9</v>
      </c>
      <c r="CI30" s="75">
        <v>10</v>
      </c>
      <c r="CJ30" s="495" t="s">
        <v>3809</v>
      </c>
      <c r="CK30" s="495">
        <v>315</v>
      </c>
      <c r="CL30" s="75" t="s">
        <v>3698</v>
      </c>
      <c r="CM30" s="25" t="s">
        <v>140</v>
      </c>
      <c r="CN30" s="115"/>
    </row>
    <row r="31" spans="1:93" ht="30" x14ac:dyDescent="0.25">
      <c r="A31" s="487">
        <v>43945</v>
      </c>
      <c r="B31" s="132" t="s">
        <v>12</v>
      </c>
      <c r="C31" s="487" t="s">
        <v>3810</v>
      </c>
      <c r="D31" s="75" t="s">
        <v>54</v>
      </c>
      <c r="E31" s="391" t="s">
        <v>3801</v>
      </c>
      <c r="F31" s="486" t="s">
        <v>3811</v>
      </c>
      <c r="G31" s="404">
        <v>67000</v>
      </c>
      <c r="H31" s="401" t="s">
        <v>3780</v>
      </c>
      <c r="I31" s="401" t="s">
        <v>134</v>
      </c>
      <c r="J31" s="75" t="s">
        <v>3812</v>
      </c>
      <c r="K31" s="75" t="s">
        <v>3813</v>
      </c>
      <c r="L31" s="75" t="s">
        <v>3814</v>
      </c>
      <c r="M31" s="75" t="s">
        <v>3815</v>
      </c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 t="s">
        <v>3816</v>
      </c>
      <c r="AO31" s="75"/>
      <c r="AP31" s="75"/>
      <c r="AQ31" s="25"/>
      <c r="AR31" s="75" t="s">
        <v>3817</v>
      </c>
      <c r="AS31" s="25"/>
      <c r="AT31" s="25" t="s">
        <v>3818</v>
      </c>
      <c r="AU31" s="25"/>
      <c r="AV31" s="75"/>
      <c r="AW31" s="2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488">
        <v>49007</v>
      </c>
      <c r="BK31" s="76">
        <v>36.96</v>
      </c>
      <c r="BL31" s="393" t="s">
        <v>3819</v>
      </c>
      <c r="BM31" s="394">
        <v>10038568747386</v>
      </c>
      <c r="BN31" s="489">
        <v>11.95</v>
      </c>
      <c r="BO31" s="489">
        <v>8.09</v>
      </c>
      <c r="BP31" s="489">
        <v>0.75</v>
      </c>
      <c r="BQ31" s="490" t="s">
        <v>916</v>
      </c>
      <c r="BR31" s="490" t="s">
        <v>916</v>
      </c>
      <c r="BS31" s="491" t="s">
        <v>916</v>
      </c>
      <c r="BT31" s="492">
        <v>9.2910000000000004</v>
      </c>
      <c r="BU31" s="492">
        <v>1.2989999999999999</v>
      </c>
      <c r="BV31" s="492">
        <v>12.441000000000001</v>
      </c>
      <c r="BW31" s="441"/>
      <c r="BX31" s="492">
        <v>0.40300000000000002</v>
      </c>
      <c r="BY31" s="396">
        <v>9.843</v>
      </c>
      <c r="BZ31" s="396">
        <v>4.5279999999999996</v>
      </c>
      <c r="CA31" s="396">
        <v>12.992000000000001</v>
      </c>
      <c r="CB31" s="441"/>
      <c r="CC31" s="441"/>
      <c r="CD31" s="396">
        <v>0.74299999999999999</v>
      </c>
      <c r="CE31" s="396">
        <v>5.6440000000000001</v>
      </c>
      <c r="CF31" s="494" t="s">
        <v>3808</v>
      </c>
      <c r="CG31" s="75">
        <v>3</v>
      </c>
      <c r="CH31" s="75">
        <v>11</v>
      </c>
      <c r="CI31" s="75">
        <v>8</v>
      </c>
      <c r="CJ31" s="495" t="s">
        <v>3820</v>
      </c>
      <c r="CK31" s="495">
        <v>547</v>
      </c>
      <c r="CL31" s="75" t="s">
        <v>3698</v>
      </c>
      <c r="CM31" s="25" t="s">
        <v>140</v>
      </c>
      <c r="CN31" s="14"/>
      <c r="CO31" s="14"/>
    </row>
    <row r="32" spans="1:93" ht="31.5" x14ac:dyDescent="0.25">
      <c r="A32" s="487">
        <v>43945</v>
      </c>
      <c r="B32" s="132" t="s">
        <v>12</v>
      </c>
      <c r="C32" s="487" t="s">
        <v>3821</v>
      </c>
      <c r="D32" s="75" t="s">
        <v>54</v>
      </c>
      <c r="E32" s="391" t="s">
        <v>3822</v>
      </c>
      <c r="F32" s="486" t="s">
        <v>3823</v>
      </c>
      <c r="G32" s="404">
        <v>90000</v>
      </c>
      <c r="H32" s="401" t="s">
        <v>3307</v>
      </c>
      <c r="I32" s="401" t="s">
        <v>134</v>
      </c>
      <c r="J32" s="75" t="s">
        <v>705</v>
      </c>
      <c r="K32" s="75" t="s">
        <v>3824</v>
      </c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 t="s">
        <v>3825</v>
      </c>
      <c r="AO32" s="75"/>
      <c r="AP32" s="75"/>
      <c r="AQ32" s="25"/>
      <c r="AR32" s="75" t="s">
        <v>3826</v>
      </c>
      <c r="AS32" s="25"/>
      <c r="AT32" s="25" t="s">
        <v>3826</v>
      </c>
      <c r="AU32" s="25"/>
      <c r="AV32" s="75"/>
      <c r="AW32" s="2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496" t="s">
        <v>3826</v>
      </c>
      <c r="BK32" s="76">
        <v>121.25</v>
      </c>
      <c r="BL32" s="393" t="s">
        <v>3828</v>
      </c>
      <c r="BM32" s="474">
        <v>10038568747447</v>
      </c>
      <c r="BN32" s="490" t="s">
        <v>916</v>
      </c>
      <c r="BO32" s="490" t="s">
        <v>916</v>
      </c>
      <c r="BP32" s="491" t="s">
        <v>916</v>
      </c>
      <c r="BQ32" s="25">
        <v>4.2720000000000002</v>
      </c>
      <c r="BR32" s="248">
        <v>7.2240000000000002</v>
      </c>
      <c r="BS32" s="25">
        <v>0.84599999999999997</v>
      </c>
      <c r="BT32" s="492">
        <v>4.7240000000000002</v>
      </c>
      <c r="BU32" s="492">
        <v>4.7240000000000002</v>
      </c>
      <c r="BV32" s="492">
        <v>7.8739999999999997</v>
      </c>
      <c r="BW32" s="493"/>
      <c r="BX32" s="492">
        <v>0.83799999999999997</v>
      </c>
      <c r="BY32" s="396">
        <v>14.646000000000001</v>
      </c>
      <c r="BZ32" s="396">
        <v>9.9209999999999994</v>
      </c>
      <c r="CA32" s="396">
        <v>8.3460000000000001</v>
      </c>
      <c r="CB32" s="441"/>
      <c r="CC32" s="441"/>
      <c r="CD32" s="396">
        <v>1.538</v>
      </c>
      <c r="CE32" s="396">
        <v>15.907999999999999</v>
      </c>
      <c r="CF32" s="75" t="s">
        <v>2840</v>
      </c>
      <c r="CG32" s="75">
        <v>6</v>
      </c>
      <c r="CH32" s="75">
        <v>11</v>
      </c>
      <c r="CI32" s="75">
        <v>5</v>
      </c>
      <c r="CJ32" s="495" t="s">
        <v>3827</v>
      </c>
      <c r="CK32" s="495">
        <v>925</v>
      </c>
      <c r="CL32" s="75" t="s">
        <v>3698</v>
      </c>
      <c r="CM32" s="25" t="s">
        <v>150</v>
      </c>
      <c r="CN32" s="14"/>
      <c r="CO32" s="14"/>
    </row>
    <row r="33" spans="1:97" ht="31.5" x14ac:dyDescent="0.25">
      <c r="A33" s="390">
        <v>43812</v>
      </c>
      <c r="B33" s="443" t="s">
        <v>12</v>
      </c>
      <c r="C33" s="390" t="s">
        <v>3778</v>
      </c>
      <c r="D33" s="483" t="s">
        <v>54</v>
      </c>
      <c r="E33" s="391" t="s">
        <v>59</v>
      </c>
      <c r="F33" s="484" t="s">
        <v>3779</v>
      </c>
      <c r="G33" s="404">
        <v>30000</v>
      </c>
      <c r="H33" s="401" t="s">
        <v>3780</v>
      </c>
      <c r="I33" s="401" t="s">
        <v>134</v>
      </c>
      <c r="J33" s="483" t="s">
        <v>705</v>
      </c>
      <c r="K33" s="483" t="s">
        <v>3781</v>
      </c>
      <c r="L33" s="483"/>
      <c r="M33" s="483"/>
      <c r="N33" s="483"/>
      <c r="O33" s="483"/>
      <c r="P33" s="483"/>
      <c r="Q33" s="483"/>
      <c r="R33" s="483"/>
      <c r="S33" s="483"/>
      <c r="T33" s="483"/>
      <c r="U33" s="483"/>
      <c r="V33" s="483"/>
      <c r="W33" s="483"/>
      <c r="X33" s="483"/>
      <c r="Y33" s="483"/>
      <c r="Z33" s="483"/>
      <c r="AA33" s="483"/>
      <c r="AB33" s="483"/>
      <c r="AC33" s="483"/>
      <c r="AD33" s="483"/>
      <c r="AE33" s="483"/>
      <c r="AF33" s="483"/>
      <c r="AG33" s="483"/>
      <c r="AH33" s="483"/>
      <c r="AI33" s="483"/>
      <c r="AJ33" s="483"/>
      <c r="AK33" s="483"/>
      <c r="AL33" s="483"/>
      <c r="AM33" s="483"/>
      <c r="AN33" s="31" t="s">
        <v>3782</v>
      </c>
      <c r="AO33" s="31"/>
      <c r="AP33" s="31"/>
      <c r="AQ33" s="33"/>
      <c r="AR33" s="31"/>
      <c r="AS33" s="33"/>
      <c r="AT33" s="25"/>
      <c r="AU33" s="41"/>
      <c r="AV33" s="483"/>
      <c r="AW33" s="41"/>
      <c r="AX33" s="483"/>
      <c r="AY33" s="483"/>
      <c r="AZ33" s="483"/>
      <c r="BA33" s="483"/>
      <c r="BB33" s="483"/>
      <c r="BC33" s="483"/>
      <c r="BD33" s="483"/>
      <c r="BE33" s="31"/>
      <c r="BF33" s="483"/>
      <c r="BG33" s="483"/>
      <c r="BH33" s="483"/>
      <c r="BI33" s="483"/>
      <c r="BJ33" s="388"/>
      <c r="BK33" s="485">
        <v>71.09</v>
      </c>
      <c r="BL33" s="393" t="s">
        <v>3789</v>
      </c>
      <c r="BM33" s="394">
        <v>10038568747256</v>
      </c>
      <c r="BN33" s="441" t="s">
        <v>916</v>
      </c>
      <c r="BO33" s="441" t="s">
        <v>916</v>
      </c>
      <c r="BP33" s="441" t="s">
        <v>916</v>
      </c>
      <c r="BQ33" s="47">
        <v>4.0750000000000002</v>
      </c>
      <c r="BR33" s="47">
        <v>7.2640000000000002</v>
      </c>
      <c r="BS33" s="441"/>
      <c r="BT33" s="47">
        <v>4.33</v>
      </c>
      <c r="BU33" s="47">
        <v>4.33</v>
      </c>
      <c r="BV33" s="47">
        <v>7.87</v>
      </c>
      <c r="BW33" s="47"/>
      <c r="BX33" s="47">
        <v>0.65</v>
      </c>
      <c r="BY33" s="396">
        <v>13.465</v>
      </c>
      <c r="BZ33" s="396">
        <v>9.1340000000000003</v>
      </c>
      <c r="CA33" s="396">
        <v>8.3460000000000001</v>
      </c>
      <c r="CB33" s="441"/>
      <c r="CC33" s="441"/>
      <c r="CD33" s="395">
        <v>1.335</v>
      </c>
      <c r="CE33" s="395">
        <v>4.2300000000000004</v>
      </c>
      <c r="CF33" s="75" t="s">
        <v>12</v>
      </c>
      <c r="CG33" s="75" t="s">
        <v>3640</v>
      </c>
      <c r="CH33" s="75">
        <v>13</v>
      </c>
      <c r="CI33" s="75">
        <v>5</v>
      </c>
      <c r="CJ33" s="153" t="s">
        <v>3790</v>
      </c>
      <c r="CK33" s="153">
        <v>325.14999999999998</v>
      </c>
      <c r="CL33" s="75" t="s">
        <v>3698</v>
      </c>
      <c r="CM33" s="25" t="s">
        <v>150</v>
      </c>
      <c r="CN33" s="14"/>
      <c r="CO33" s="14"/>
      <c r="CP33" s="14"/>
      <c r="CQ33" s="14"/>
    </row>
    <row r="34" spans="1:97" ht="31.5" x14ac:dyDescent="0.25">
      <c r="A34" s="390">
        <v>43812</v>
      </c>
      <c r="B34" s="443" t="s">
        <v>12</v>
      </c>
      <c r="C34" s="390" t="s">
        <v>3783</v>
      </c>
      <c r="D34" s="483" t="s">
        <v>54</v>
      </c>
      <c r="E34" s="391" t="s">
        <v>59</v>
      </c>
      <c r="F34" s="486" t="s">
        <v>3784</v>
      </c>
      <c r="G34" s="404">
        <v>79000</v>
      </c>
      <c r="H34" s="401" t="s">
        <v>3307</v>
      </c>
      <c r="I34" s="401" t="s">
        <v>134</v>
      </c>
      <c r="J34" s="483" t="s">
        <v>705</v>
      </c>
      <c r="K34" s="483" t="s">
        <v>3785</v>
      </c>
      <c r="L34" s="483"/>
      <c r="M34" s="483"/>
      <c r="N34" s="483"/>
      <c r="O34" s="483"/>
      <c r="P34" s="483"/>
      <c r="Q34" s="483"/>
      <c r="R34" s="483"/>
      <c r="S34" s="483"/>
      <c r="T34" s="483"/>
      <c r="U34" s="483"/>
      <c r="V34" s="483"/>
      <c r="W34" s="483"/>
      <c r="X34" s="483"/>
      <c r="Y34" s="483"/>
      <c r="Z34" s="483"/>
      <c r="AA34" s="483"/>
      <c r="AB34" s="483"/>
      <c r="AC34" s="483"/>
      <c r="AD34" s="483"/>
      <c r="AE34" s="483"/>
      <c r="AF34" s="483"/>
      <c r="AG34" s="483"/>
      <c r="AH34" s="483"/>
      <c r="AI34" s="483"/>
      <c r="AJ34" s="483"/>
      <c r="AK34" s="483"/>
      <c r="AL34" s="483"/>
      <c r="AM34" s="483"/>
      <c r="AN34" s="31"/>
      <c r="AO34" s="31"/>
      <c r="AP34" s="31"/>
      <c r="AQ34" s="33"/>
      <c r="AR34" s="31"/>
      <c r="AS34" s="33"/>
      <c r="AT34" s="25"/>
      <c r="AU34" s="41"/>
      <c r="AV34" s="483"/>
      <c r="AW34" s="41"/>
      <c r="AX34" s="483"/>
      <c r="AY34" s="483"/>
      <c r="AZ34" s="483"/>
      <c r="BA34" s="483"/>
      <c r="BB34" s="483"/>
      <c r="BC34" s="483"/>
      <c r="BD34" s="483"/>
      <c r="BE34" s="31"/>
      <c r="BF34" s="483"/>
      <c r="BG34" s="483"/>
      <c r="BH34" s="483"/>
      <c r="BI34" s="483"/>
      <c r="BJ34" s="388"/>
      <c r="BK34" s="485">
        <v>81.06</v>
      </c>
      <c r="BL34" s="393" t="s">
        <v>3791</v>
      </c>
      <c r="BM34" s="394">
        <v>10038568747270</v>
      </c>
      <c r="BN34" s="441" t="s">
        <v>916</v>
      </c>
      <c r="BO34" s="441" t="s">
        <v>916</v>
      </c>
      <c r="BP34" s="441" t="s">
        <v>916</v>
      </c>
      <c r="BQ34" s="47">
        <v>4.0750000000000002</v>
      </c>
      <c r="BR34" s="47">
        <v>10.82</v>
      </c>
      <c r="BS34" s="441"/>
      <c r="BT34" s="47">
        <v>4.33</v>
      </c>
      <c r="BU34" s="47">
        <v>4.33</v>
      </c>
      <c r="BV34" s="47">
        <v>11.81</v>
      </c>
      <c r="BW34" s="441"/>
      <c r="BX34" s="47">
        <v>1.01</v>
      </c>
      <c r="BY34" s="396">
        <v>13.46</v>
      </c>
      <c r="BZ34" s="396">
        <v>9.1300000000000008</v>
      </c>
      <c r="CA34" s="396">
        <v>12.28</v>
      </c>
      <c r="CB34" s="441"/>
      <c r="CC34" s="441"/>
      <c r="CD34" s="395">
        <v>2.1850000000000001</v>
      </c>
      <c r="CE34" s="395">
        <v>7.05</v>
      </c>
      <c r="CF34" s="75" t="s">
        <v>12</v>
      </c>
      <c r="CG34" s="75" t="s">
        <v>3640</v>
      </c>
      <c r="CH34" s="75">
        <v>13</v>
      </c>
      <c r="CI34" s="75">
        <v>3</v>
      </c>
      <c r="CJ34" s="153" t="s">
        <v>3792</v>
      </c>
      <c r="CK34" s="153">
        <v>324.95</v>
      </c>
      <c r="CL34" s="75" t="s">
        <v>3698</v>
      </c>
      <c r="CM34" s="25" t="s">
        <v>150</v>
      </c>
      <c r="CN34" s="14"/>
      <c r="CO34" s="14"/>
    </row>
    <row r="35" spans="1:97" ht="30" x14ac:dyDescent="0.25">
      <c r="A35" s="390">
        <v>43812</v>
      </c>
      <c r="B35" s="443" t="s">
        <v>12</v>
      </c>
      <c r="C35" s="390" t="s">
        <v>3786</v>
      </c>
      <c r="D35" s="483" t="s">
        <v>54</v>
      </c>
      <c r="E35" s="391" t="s">
        <v>1785</v>
      </c>
      <c r="F35" s="486" t="s">
        <v>3799</v>
      </c>
      <c r="G35" s="404">
        <v>14000</v>
      </c>
      <c r="H35" s="401" t="s">
        <v>3314</v>
      </c>
      <c r="I35" s="401" t="s">
        <v>134</v>
      </c>
      <c r="J35" s="483" t="s">
        <v>705</v>
      </c>
      <c r="K35" s="483" t="s">
        <v>3787</v>
      </c>
      <c r="L35" s="483"/>
      <c r="M35" s="483"/>
      <c r="N35" s="483"/>
      <c r="O35" s="483"/>
      <c r="P35" s="483"/>
      <c r="Q35" s="483"/>
      <c r="R35" s="483"/>
      <c r="S35" s="483"/>
      <c r="T35" s="483"/>
      <c r="U35" s="483"/>
      <c r="V35" s="483"/>
      <c r="W35" s="483"/>
      <c r="X35" s="483"/>
      <c r="Y35" s="483"/>
      <c r="Z35" s="483"/>
      <c r="AA35" s="483"/>
      <c r="AB35" s="483"/>
      <c r="AC35" s="483"/>
      <c r="AD35" s="483"/>
      <c r="AE35" s="483"/>
      <c r="AF35" s="483"/>
      <c r="AG35" s="483"/>
      <c r="AH35" s="483"/>
      <c r="AI35" s="483"/>
      <c r="AJ35" s="483"/>
      <c r="AK35" s="483"/>
      <c r="AL35" s="483"/>
      <c r="AM35" s="483"/>
      <c r="AN35" s="31" t="s">
        <v>3788</v>
      </c>
      <c r="AO35" s="31"/>
      <c r="AP35" s="31"/>
      <c r="AQ35" s="33"/>
      <c r="AR35" s="31"/>
      <c r="AS35" s="33"/>
      <c r="AT35" s="25"/>
      <c r="AU35" s="41"/>
      <c r="AV35" s="483"/>
      <c r="AW35" s="41"/>
      <c r="AX35" s="483"/>
      <c r="AY35" s="483"/>
      <c r="AZ35" s="483"/>
      <c r="BA35" s="483"/>
      <c r="BB35" s="483"/>
      <c r="BC35" s="483"/>
      <c r="BD35" s="483"/>
      <c r="BE35" s="31"/>
      <c r="BF35" s="483"/>
      <c r="BG35" s="483"/>
      <c r="BH35" s="483"/>
      <c r="BI35" s="483"/>
      <c r="BJ35" s="388"/>
      <c r="BK35" s="485">
        <v>50.46</v>
      </c>
      <c r="BL35" s="393" t="s">
        <v>3793</v>
      </c>
      <c r="BM35" s="474" t="s">
        <v>3794</v>
      </c>
      <c r="BN35" s="47">
        <v>7.87</v>
      </c>
      <c r="BO35" s="47">
        <v>0.39400000000000002</v>
      </c>
      <c r="BP35" s="47">
        <v>8.86</v>
      </c>
      <c r="BQ35" s="441"/>
      <c r="BR35" s="47">
        <v>8.86</v>
      </c>
      <c r="BS35" s="441"/>
      <c r="BT35" s="47">
        <v>8.4600000000000009</v>
      </c>
      <c r="BU35" s="47">
        <v>0.86599999999999999</v>
      </c>
      <c r="BV35" s="47">
        <v>9.6460000000000008</v>
      </c>
      <c r="BW35" s="47"/>
      <c r="BX35" s="47">
        <v>0.13200000000000001</v>
      </c>
      <c r="BY35" s="396">
        <v>10.43</v>
      </c>
      <c r="BZ35" s="396">
        <v>9.25</v>
      </c>
      <c r="CA35" s="396">
        <v>3.34</v>
      </c>
      <c r="CB35" s="441"/>
      <c r="CC35" s="441"/>
      <c r="CD35" s="395">
        <v>0.33800000000000002</v>
      </c>
      <c r="CE35" s="395">
        <v>1.524</v>
      </c>
      <c r="CF35" s="75" t="s">
        <v>2840</v>
      </c>
      <c r="CG35" s="75">
        <v>3</v>
      </c>
      <c r="CH35" s="75">
        <v>15</v>
      </c>
      <c r="CI35" s="75">
        <v>12</v>
      </c>
      <c r="CJ35" s="153" t="s">
        <v>3795</v>
      </c>
      <c r="CK35" s="153">
        <v>324.32</v>
      </c>
      <c r="CL35" s="75" t="s">
        <v>3698</v>
      </c>
      <c r="CM35" s="25" t="s">
        <v>140</v>
      </c>
      <c r="CN35" s="14"/>
      <c r="CO35" s="14"/>
    </row>
    <row r="36" spans="1:97" ht="30" x14ac:dyDescent="0.25">
      <c r="A36" s="390">
        <v>43805</v>
      </c>
      <c r="B36" s="443" t="s">
        <v>12</v>
      </c>
      <c r="C36" s="390" t="s">
        <v>3685</v>
      </c>
      <c r="D36" s="470" t="s">
        <v>54</v>
      </c>
      <c r="E36" s="391" t="s">
        <v>2493</v>
      </c>
      <c r="F36" s="401" t="s">
        <v>3686</v>
      </c>
      <c r="G36" s="404">
        <v>98000</v>
      </c>
      <c r="H36" s="401" t="s">
        <v>2635</v>
      </c>
      <c r="I36" s="401" t="s">
        <v>134</v>
      </c>
      <c r="J36" s="470" t="s">
        <v>705</v>
      </c>
      <c r="K36" s="470" t="s">
        <v>3687</v>
      </c>
      <c r="L36" s="470"/>
      <c r="M36" s="470"/>
      <c r="N36" s="470"/>
      <c r="O36" s="470"/>
      <c r="P36" s="470"/>
      <c r="Q36" s="470"/>
      <c r="R36" s="470"/>
      <c r="S36" s="470"/>
      <c r="T36" s="470"/>
      <c r="U36" s="470"/>
      <c r="V36" s="470"/>
      <c r="W36" s="470"/>
      <c r="X36" s="470"/>
      <c r="Y36" s="470"/>
      <c r="Z36" s="470"/>
      <c r="AA36" s="470"/>
      <c r="AB36" s="470"/>
      <c r="AC36" s="470"/>
      <c r="AD36" s="470"/>
      <c r="AE36" s="470"/>
      <c r="AF36" s="470"/>
      <c r="AG36" s="470"/>
      <c r="AH36" s="470"/>
      <c r="AI36" s="470"/>
      <c r="AJ36" s="470"/>
      <c r="AK36" s="470"/>
      <c r="AL36" s="470"/>
      <c r="AM36" s="470"/>
      <c r="AN36" s="31" t="s">
        <v>3688</v>
      </c>
      <c r="AO36" s="31"/>
      <c r="AP36" s="31"/>
      <c r="AQ36" s="33"/>
      <c r="AR36" s="31"/>
      <c r="AS36" s="33"/>
      <c r="AT36" s="25"/>
      <c r="AU36" s="41"/>
      <c r="AV36" s="470"/>
      <c r="AW36" s="41"/>
      <c r="AX36" s="470"/>
      <c r="AY36" s="470"/>
      <c r="AZ36" s="470"/>
      <c r="BA36" s="470"/>
      <c r="BB36" s="470"/>
      <c r="BC36" s="470"/>
      <c r="BD36" s="470"/>
      <c r="BE36" s="31"/>
      <c r="BF36" s="470"/>
      <c r="BG36" s="470"/>
      <c r="BH36" s="470"/>
      <c r="BI36" s="470"/>
      <c r="BJ36" s="388"/>
      <c r="BK36" s="450">
        <v>75.38</v>
      </c>
      <c r="BL36" s="393" t="s">
        <v>3694</v>
      </c>
      <c r="BM36" s="474" t="s">
        <v>3695</v>
      </c>
      <c r="BN36" s="47">
        <v>4.75</v>
      </c>
      <c r="BO36" s="47">
        <v>0.84599999999999997</v>
      </c>
      <c r="BP36" s="47">
        <v>10.827</v>
      </c>
      <c r="BQ36" s="441" t="s">
        <v>916</v>
      </c>
      <c r="BR36" s="47">
        <v>10.827</v>
      </c>
      <c r="BS36" s="441" t="s">
        <v>916</v>
      </c>
      <c r="BT36" s="47">
        <v>4.33</v>
      </c>
      <c r="BU36" s="47">
        <v>4.33</v>
      </c>
      <c r="BV36" s="47">
        <v>11.81</v>
      </c>
      <c r="BW36" s="47"/>
      <c r="BX36" s="47">
        <v>1.1459999999999999</v>
      </c>
      <c r="BY36" s="396">
        <v>13.46</v>
      </c>
      <c r="BZ36" s="396">
        <v>9.1300000000000008</v>
      </c>
      <c r="CA36" s="396">
        <v>12.28</v>
      </c>
      <c r="CB36" s="441" t="s">
        <v>916</v>
      </c>
      <c r="CC36" s="441" t="s">
        <v>916</v>
      </c>
      <c r="CD36" s="395">
        <v>0.94</v>
      </c>
      <c r="CE36" s="395">
        <v>7.99</v>
      </c>
      <c r="CF36" s="75" t="s">
        <v>12</v>
      </c>
      <c r="CG36" s="75">
        <v>6</v>
      </c>
      <c r="CH36" s="75">
        <v>13</v>
      </c>
      <c r="CI36" s="75">
        <v>3</v>
      </c>
      <c r="CJ36" s="153" t="s">
        <v>3696</v>
      </c>
      <c r="CK36" s="153" t="s">
        <v>3697</v>
      </c>
      <c r="CL36" s="75" t="s">
        <v>3698</v>
      </c>
      <c r="CM36" s="25" t="s">
        <v>150</v>
      </c>
      <c r="CN36" s="14"/>
      <c r="CO36" s="14"/>
    </row>
    <row r="37" spans="1:97" ht="30" x14ac:dyDescent="0.25">
      <c r="A37" s="390">
        <v>43805</v>
      </c>
      <c r="B37" s="443" t="s">
        <v>12</v>
      </c>
      <c r="C37" s="31" t="s">
        <v>3689</v>
      </c>
      <c r="D37" s="470" t="s">
        <v>54</v>
      </c>
      <c r="E37" s="391" t="s">
        <v>1785</v>
      </c>
      <c r="F37" s="401" t="s">
        <v>3690</v>
      </c>
      <c r="G37" s="404">
        <v>358000</v>
      </c>
      <c r="H37" s="401" t="s">
        <v>2635</v>
      </c>
      <c r="I37" s="401" t="s">
        <v>134</v>
      </c>
      <c r="J37" s="470" t="s">
        <v>2529</v>
      </c>
      <c r="K37" s="473" t="s">
        <v>3691</v>
      </c>
      <c r="L37" s="470"/>
      <c r="M37" s="470"/>
      <c r="N37" s="470"/>
      <c r="O37" s="470"/>
      <c r="P37" s="470"/>
      <c r="Q37" s="470"/>
      <c r="R37" s="470"/>
      <c r="S37" s="470"/>
      <c r="T37" s="470"/>
      <c r="U37" s="470"/>
      <c r="V37" s="470"/>
      <c r="W37" s="470"/>
      <c r="X37" s="470"/>
      <c r="Y37" s="470"/>
      <c r="Z37" s="470"/>
      <c r="AA37" s="470"/>
      <c r="AB37" s="470"/>
      <c r="AC37" s="470"/>
      <c r="AD37" s="470"/>
      <c r="AE37" s="470"/>
      <c r="AF37" s="470"/>
      <c r="AG37" s="470"/>
      <c r="AH37" s="470"/>
      <c r="AI37" s="470"/>
      <c r="AJ37" s="470"/>
      <c r="AK37" s="470"/>
      <c r="AL37" s="470"/>
      <c r="AM37" s="470"/>
      <c r="AN37" s="31"/>
      <c r="AO37" s="31"/>
      <c r="AP37" s="31"/>
      <c r="AQ37" s="33"/>
      <c r="AR37" s="31" t="s">
        <v>3692</v>
      </c>
      <c r="AS37" s="33"/>
      <c r="AT37" s="25" t="s">
        <v>3693</v>
      </c>
      <c r="AU37" s="41"/>
      <c r="AV37" s="470"/>
      <c r="AW37" s="41"/>
      <c r="AX37" s="470"/>
      <c r="AY37" s="470"/>
      <c r="AZ37" s="470"/>
      <c r="BA37" s="470"/>
      <c r="BB37" s="470"/>
      <c r="BC37" s="470"/>
      <c r="BD37" s="470"/>
      <c r="BE37" s="31"/>
      <c r="BF37" s="470"/>
      <c r="BG37" s="470"/>
      <c r="BH37" s="470"/>
      <c r="BI37" s="470"/>
      <c r="BJ37" s="388"/>
      <c r="BK37" s="450">
        <v>21.53</v>
      </c>
      <c r="BL37" s="393" t="s">
        <v>3699</v>
      </c>
      <c r="BM37" s="474" t="s">
        <v>3700</v>
      </c>
      <c r="BN37" s="47">
        <v>7.36</v>
      </c>
      <c r="BO37" s="47">
        <v>0.35399999999999998</v>
      </c>
      <c r="BP37" s="47">
        <v>12.44</v>
      </c>
      <c r="BQ37" s="441" t="s">
        <v>916</v>
      </c>
      <c r="BR37" s="441"/>
      <c r="BS37" s="441" t="s">
        <v>916</v>
      </c>
      <c r="BT37" s="47">
        <v>7.67</v>
      </c>
      <c r="BU37" s="47">
        <v>0.70899999999999996</v>
      </c>
      <c r="BV37" s="47">
        <v>12.795</v>
      </c>
      <c r="BW37" s="441" t="s">
        <v>916</v>
      </c>
      <c r="BX37" s="47">
        <v>0.88200000000000001</v>
      </c>
      <c r="BY37" s="396">
        <v>13.38</v>
      </c>
      <c r="BZ37" s="396">
        <v>8.26</v>
      </c>
      <c r="CA37" s="396">
        <v>2.75</v>
      </c>
      <c r="CB37" s="441" t="s">
        <v>916</v>
      </c>
      <c r="CC37" s="441" t="s">
        <v>916</v>
      </c>
      <c r="CD37" s="395">
        <v>0.06</v>
      </c>
      <c r="CE37" s="395">
        <v>2.9329999999999998</v>
      </c>
      <c r="CF37" s="75" t="s">
        <v>12</v>
      </c>
      <c r="CG37" s="75">
        <v>3</v>
      </c>
      <c r="CH37" s="75">
        <v>12</v>
      </c>
      <c r="CI37" s="75">
        <v>17</v>
      </c>
      <c r="CJ37" s="153" t="s">
        <v>3701</v>
      </c>
      <c r="CK37" s="153" t="s">
        <v>3702</v>
      </c>
      <c r="CL37" s="75" t="s">
        <v>3698</v>
      </c>
      <c r="CM37" s="25" t="s">
        <v>140</v>
      </c>
      <c r="CN37" s="14"/>
      <c r="CO37" s="14"/>
    </row>
    <row r="38" spans="1:97" x14ac:dyDescent="0.25">
      <c r="A38" s="390">
        <v>43756</v>
      </c>
      <c r="B38" s="448" t="s">
        <v>12</v>
      </c>
      <c r="C38" s="31" t="s">
        <v>3631</v>
      </c>
      <c r="D38" s="448" t="s">
        <v>54</v>
      </c>
      <c r="E38" s="391" t="s">
        <v>2641</v>
      </c>
      <c r="F38" s="401" t="s">
        <v>3632</v>
      </c>
      <c r="G38" s="404">
        <v>20000</v>
      </c>
      <c r="H38" s="401" t="s">
        <v>3314</v>
      </c>
      <c r="I38" s="401" t="s">
        <v>134</v>
      </c>
      <c r="J38" s="448" t="s">
        <v>705</v>
      </c>
      <c r="K38" s="449" t="s">
        <v>3633</v>
      </c>
      <c r="L38" s="448"/>
      <c r="M38" s="448"/>
      <c r="N38" s="448"/>
      <c r="O38" s="448"/>
      <c r="P38" s="448"/>
      <c r="Q38" s="448"/>
      <c r="R38" s="448"/>
      <c r="S38" s="448"/>
      <c r="T38" s="448"/>
      <c r="U38" s="448"/>
      <c r="V38" s="448"/>
      <c r="W38" s="448"/>
      <c r="X38" s="448"/>
      <c r="Y38" s="448"/>
      <c r="Z38" s="448"/>
      <c r="AA38" s="448"/>
      <c r="AB38" s="448"/>
      <c r="AC38" s="448"/>
      <c r="AD38" s="448"/>
      <c r="AE38" s="448"/>
      <c r="AF38" s="448"/>
      <c r="AG38" s="448"/>
      <c r="AH38" s="448"/>
      <c r="AI38" s="448"/>
      <c r="AJ38" s="448"/>
      <c r="AK38" s="448"/>
      <c r="AL38" s="448"/>
      <c r="AM38" s="448"/>
      <c r="AN38" s="31"/>
      <c r="AO38" s="31"/>
      <c r="AP38" s="31"/>
      <c r="AQ38" s="33"/>
      <c r="AR38" s="31"/>
      <c r="AS38" s="33"/>
      <c r="AT38" s="25"/>
      <c r="AU38" s="41"/>
      <c r="AV38" s="448"/>
      <c r="AW38" s="41"/>
      <c r="AX38" s="448"/>
      <c r="AY38" s="448"/>
      <c r="AZ38" s="448"/>
      <c r="BA38" s="448"/>
      <c r="BB38" s="448"/>
      <c r="BC38" s="448"/>
      <c r="BD38" s="448"/>
      <c r="BE38" s="31"/>
      <c r="BF38" s="448"/>
      <c r="BG38" s="448"/>
      <c r="BH38" s="448"/>
      <c r="BI38" s="448"/>
      <c r="BJ38" s="388" t="s">
        <v>3634</v>
      </c>
      <c r="BK38" s="450">
        <v>135.625</v>
      </c>
      <c r="BL38" s="393" t="s">
        <v>3638</v>
      </c>
      <c r="BM38" s="394" t="s">
        <v>3639</v>
      </c>
      <c r="BN38" s="47">
        <v>4.72</v>
      </c>
      <c r="BO38" s="47">
        <v>4.72</v>
      </c>
      <c r="BP38" s="47">
        <v>9.1300000000000008</v>
      </c>
      <c r="BQ38" s="441" t="s">
        <v>916</v>
      </c>
      <c r="BR38" s="47">
        <v>9.1300000000000008</v>
      </c>
      <c r="BS38" s="441" t="s">
        <v>916</v>
      </c>
      <c r="BT38" s="47">
        <v>5</v>
      </c>
      <c r="BU38" s="47">
        <v>5</v>
      </c>
      <c r="BV38" s="47">
        <v>9.5</v>
      </c>
      <c r="BW38" s="47"/>
      <c r="BX38" s="47">
        <v>1.036</v>
      </c>
      <c r="BY38" s="396">
        <v>15.51</v>
      </c>
      <c r="BZ38" s="396">
        <v>10.51</v>
      </c>
      <c r="CA38" s="396">
        <v>10.15</v>
      </c>
      <c r="CB38" s="441" t="s">
        <v>916</v>
      </c>
      <c r="CC38" s="441" t="s">
        <v>916</v>
      </c>
      <c r="CD38" s="395">
        <v>1.44</v>
      </c>
      <c r="CE38" s="395">
        <v>8.64</v>
      </c>
      <c r="CF38" s="75" t="s">
        <v>2840</v>
      </c>
      <c r="CG38" s="75" t="s">
        <v>3640</v>
      </c>
      <c r="CH38" s="75">
        <v>9</v>
      </c>
      <c r="CI38" s="75">
        <v>4</v>
      </c>
      <c r="CJ38" s="153">
        <v>216</v>
      </c>
      <c r="CK38" s="153">
        <f>CJ38*CD38</f>
        <v>311.03999999999996</v>
      </c>
      <c r="CL38" s="75" t="s">
        <v>139</v>
      </c>
      <c r="CM38" s="25" t="s">
        <v>150</v>
      </c>
      <c r="CN38" s="10"/>
      <c r="CO38" s="14"/>
      <c r="CP38" s="14"/>
      <c r="CQ38" s="14"/>
    </row>
    <row r="39" spans="1:97" s="1" customFormat="1" ht="24" x14ac:dyDescent="0.25">
      <c r="A39" s="390">
        <v>43756</v>
      </c>
      <c r="B39" s="468" t="s">
        <v>12</v>
      </c>
      <c r="C39" s="31" t="s">
        <v>3672</v>
      </c>
      <c r="D39" s="468" t="s">
        <v>54</v>
      </c>
      <c r="E39" s="391" t="s">
        <v>1785</v>
      </c>
      <c r="F39" s="401" t="s">
        <v>3673</v>
      </c>
      <c r="G39" s="404">
        <v>30000</v>
      </c>
      <c r="H39" s="401" t="s">
        <v>3307</v>
      </c>
      <c r="I39" s="401" t="s">
        <v>134</v>
      </c>
      <c r="J39" s="468" t="s">
        <v>705</v>
      </c>
      <c r="K39" s="449" t="s">
        <v>3674</v>
      </c>
      <c r="L39" s="468"/>
      <c r="M39" s="468"/>
      <c r="N39" s="468"/>
      <c r="O39" s="468"/>
      <c r="P39" s="468"/>
      <c r="Q39" s="468"/>
      <c r="R39" s="468"/>
      <c r="S39" s="468"/>
      <c r="T39" s="468"/>
      <c r="U39" s="468"/>
      <c r="V39" s="468"/>
      <c r="W39" s="468"/>
      <c r="X39" s="468"/>
      <c r="Y39" s="468"/>
      <c r="Z39" s="468"/>
      <c r="AA39" s="468"/>
      <c r="AB39" s="468"/>
      <c r="AC39" s="468"/>
      <c r="AD39" s="468"/>
      <c r="AE39" s="468"/>
      <c r="AF39" s="468"/>
      <c r="AG39" s="468"/>
      <c r="AH39" s="468"/>
      <c r="AI39" s="468"/>
      <c r="AJ39" s="468"/>
      <c r="AK39" s="468"/>
      <c r="AL39" s="468"/>
      <c r="AM39" s="468"/>
      <c r="AN39" s="31" t="s">
        <v>3675</v>
      </c>
      <c r="AO39" s="31"/>
      <c r="AP39" s="31"/>
      <c r="AQ39" s="33"/>
      <c r="AR39" s="31"/>
      <c r="AS39" s="33"/>
      <c r="AT39" s="25" t="s">
        <v>3676</v>
      </c>
      <c r="AU39" s="41"/>
      <c r="AV39" s="468"/>
      <c r="AW39" s="41"/>
      <c r="AX39" s="468"/>
      <c r="AY39" s="468"/>
      <c r="AZ39" s="468"/>
      <c r="BA39" s="468"/>
      <c r="BB39" s="468"/>
      <c r="BC39" s="468"/>
      <c r="BD39" s="468"/>
      <c r="BE39" s="31"/>
      <c r="BF39" s="468"/>
      <c r="BG39" s="468"/>
      <c r="BH39" s="468"/>
      <c r="BI39" s="468"/>
      <c r="BJ39" s="388"/>
      <c r="BK39" s="450">
        <v>29.77</v>
      </c>
      <c r="BL39" s="393" t="s">
        <v>3677</v>
      </c>
      <c r="BM39" s="394" t="s">
        <v>3678</v>
      </c>
      <c r="BN39" s="47">
        <v>6.29</v>
      </c>
      <c r="BO39" s="47">
        <v>0.51</v>
      </c>
      <c r="BP39" s="47">
        <v>10.24</v>
      </c>
      <c r="BQ39" s="441" t="s">
        <v>916</v>
      </c>
      <c r="BR39" s="441" t="s">
        <v>916</v>
      </c>
      <c r="BS39" s="441" t="s">
        <v>916</v>
      </c>
      <c r="BT39" s="47">
        <v>6.6929133858267713</v>
      </c>
      <c r="BU39" s="47">
        <v>0.70866141732283461</v>
      </c>
      <c r="BV39" s="47">
        <v>10.62992125984252</v>
      </c>
      <c r="BW39" s="441" t="s">
        <v>916</v>
      </c>
      <c r="BX39" s="47">
        <v>0.35273961949580412</v>
      </c>
      <c r="BY39" s="396">
        <v>11.220472440944883</v>
      </c>
      <c r="BZ39" s="396">
        <v>7.2834645669291342</v>
      </c>
      <c r="CA39" s="396">
        <v>2.7559055118110236</v>
      </c>
      <c r="CB39" s="441" t="s">
        <v>916</v>
      </c>
      <c r="CC39" s="441" t="s">
        <v>916</v>
      </c>
      <c r="CD39" s="395">
        <v>1.1263000000000001</v>
      </c>
      <c r="CE39" s="395">
        <v>3.3780000000000001</v>
      </c>
      <c r="CF39" s="75" t="s">
        <v>12</v>
      </c>
      <c r="CG39" s="75" t="s">
        <v>3679</v>
      </c>
      <c r="CH39" s="75">
        <v>20</v>
      </c>
      <c r="CI39" s="75">
        <v>17</v>
      </c>
      <c r="CJ39" s="153">
        <v>1020</v>
      </c>
      <c r="CK39" s="153">
        <f>CJ39*CD39</f>
        <v>1148.826</v>
      </c>
      <c r="CL39" s="75" t="s">
        <v>139</v>
      </c>
      <c r="CM39" s="25" t="s">
        <v>140</v>
      </c>
      <c r="CN39" s="35"/>
      <c r="CO39" s="35"/>
      <c r="CP39" s="35"/>
    </row>
    <row r="40" spans="1:97" s="105" customFormat="1" ht="35.25" x14ac:dyDescent="0.25">
      <c r="A40" s="390">
        <v>43756</v>
      </c>
      <c r="B40" s="448" t="s">
        <v>12</v>
      </c>
      <c r="C40" s="31" t="s">
        <v>3635</v>
      </c>
      <c r="D40" s="448" t="s">
        <v>54</v>
      </c>
      <c r="E40" s="399" t="s">
        <v>3636</v>
      </c>
      <c r="F40" s="401" t="s">
        <v>3637</v>
      </c>
      <c r="G40" s="451" t="s">
        <v>916</v>
      </c>
      <c r="H40" s="401" t="s">
        <v>3307</v>
      </c>
      <c r="I40" s="401" t="s">
        <v>134</v>
      </c>
      <c r="J40" s="451" t="s">
        <v>916</v>
      </c>
      <c r="K40" s="448"/>
      <c r="L40" s="448"/>
      <c r="M40" s="448"/>
      <c r="N40" s="448"/>
      <c r="O40" s="448"/>
      <c r="P40" s="448"/>
      <c r="Q40" s="448"/>
      <c r="R40" s="448"/>
      <c r="S40" s="448"/>
      <c r="T40" s="448"/>
      <c r="U40" s="448"/>
      <c r="V40" s="448"/>
      <c r="W40" s="448"/>
      <c r="X40" s="448"/>
      <c r="Y40" s="448"/>
      <c r="Z40" s="448"/>
      <c r="AA40" s="448"/>
      <c r="AB40" s="448"/>
      <c r="AC40" s="448"/>
      <c r="AD40" s="448"/>
      <c r="AE40" s="448"/>
      <c r="AF40" s="448"/>
      <c r="AG40" s="448"/>
      <c r="AH40" s="448"/>
      <c r="AI40" s="448"/>
      <c r="AJ40" s="448"/>
      <c r="AK40" s="448"/>
      <c r="AL40" s="448"/>
      <c r="AM40" s="448"/>
      <c r="AN40" s="31"/>
      <c r="AO40" s="31"/>
      <c r="AP40" s="31"/>
      <c r="AQ40" s="33"/>
      <c r="AR40" s="33"/>
      <c r="AS40" s="33"/>
      <c r="AT40" s="25"/>
      <c r="AU40" s="41"/>
      <c r="AV40" s="448"/>
      <c r="AW40" s="41"/>
      <c r="AX40" s="448"/>
      <c r="AY40" s="448"/>
      <c r="AZ40" s="448"/>
      <c r="BA40" s="448"/>
      <c r="BB40" s="448"/>
      <c r="BC40" s="448"/>
      <c r="BD40" s="448"/>
      <c r="BE40" s="31"/>
      <c r="BF40" s="448"/>
      <c r="BG40" s="448"/>
      <c r="BH40" s="448"/>
      <c r="BI40" s="448"/>
      <c r="BJ40" s="25"/>
      <c r="BK40" s="450">
        <v>163.03</v>
      </c>
      <c r="BL40" s="393" t="s">
        <v>3641</v>
      </c>
      <c r="BM40" s="394">
        <v>10038568747324</v>
      </c>
      <c r="BN40" s="47">
        <v>4.28</v>
      </c>
      <c r="BO40" s="47">
        <v>4.28</v>
      </c>
      <c r="BP40" s="47">
        <v>10.25</v>
      </c>
      <c r="BQ40" s="441" t="s">
        <v>916</v>
      </c>
      <c r="BR40" s="47">
        <v>10.25</v>
      </c>
      <c r="BS40" s="441" t="s">
        <v>916</v>
      </c>
      <c r="BT40" s="559" t="s">
        <v>2398</v>
      </c>
      <c r="BU40" s="560"/>
      <c r="BV40" s="560"/>
      <c r="BW40" s="560"/>
      <c r="BX40" s="561"/>
      <c r="BY40" s="396">
        <v>12.99</v>
      </c>
      <c r="BZ40" s="396">
        <v>8.86</v>
      </c>
      <c r="CA40" s="396">
        <v>11.98</v>
      </c>
      <c r="CB40" s="441" t="s">
        <v>916</v>
      </c>
      <c r="CC40" s="441" t="s">
        <v>916</v>
      </c>
      <c r="CD40" s="441" t="s">
        <v>916</v>
      </c>
      <c r="CE40" s="395">
        <v>11.93</v>
      </c>
      <c r="CF40" s="75" t="s">
        <v>2840</v>
      </c>
      <c r="CG40" s="75" t="s">
        <v>3642</v>
      </c>
      <c r="CH40" s="75">
        <v>15</v>
      </c>
      <c r="CI40" s="75">
        <v>3</v>
      </c>
      <c r="CJ40" s="153">
        <v>45</v>
      </c>
      <c r="CK40" s="153">
        <f>CE40*CJ40</f>
        <v>536.85</v>
      </c>
      <c r="CL40" s="75" t="s">
        <v>256</v>
      </c>
      <c r="CM40" s="25" t="s">
        <v>150</v>
      </c>
      <c r="CN40" s="14"/>
      <c r="CO40" s="14"/>
      <c r="CP40" s="14"/>
      <c r="CQ40" s="4"/>
      <c r="CR40" s="4"/>
      <c r="CS40" s="4"/>
    </row>
    <row r="41" spans="1:97" s="105" customFormat="1" ht="24" x14ac:dyDescent="0.25">
      <c r="A41" s="390">
        <v>43718</v>
      </c>
      <c r="B41" s="469" t="s">
        <v>12</v>
      </c>
      <c r="C41" s="31" t="s">
        <v>3680</v>
      </c>
      <c r="D41" s="469" t="s">
        <v>54</v>
      </c>
      <c r="E41" s="391" t="s">
        <v>2493</v>
      </c>
      <c r="F41" s="401" t="s">
        <v>3681</v>
      </c>
      <c r="G41" s="404">
        <v>64998</v>
      </c>
      <c r="H41" s="401" t="s">
        <v>2635</v>
      </c>
      <c r="I41" s="401" t="s">
        <v>134</v>
      </c>
      <c r="J41" s="469" t="s">
        <v>705</v>
      </c>
      <c r="K41" s="469" t="s">
        <v>3682</v>
      </c>
      <c r="L41" s="469"/>
      <c r="M41" s="469"/>
      <c r="N41" s="469"/>
      <c r="O41" s="469"/>
      <c r="P41" s="469"/>
      <c r="Q41" s="469"/>
      <c r="R41" s="469"/>
      <c r="S41" s="469"/>
      <c r="T41" s="469"/>
      <c r="U41" s="469"/>
      <c r="V41" s="469"/>
      <c r="W41" s="469"/>
      <c r="X41" s="469"/>
      <c r="Y41" s="469"/>
      <c r="Z41" s="469"/>
      <c r="AA41" s="469"/>
      <c r="AB41" s="469"/>
      <c r="AC41" s="469"/>
      <c r="AD41" s="469"/>
      <c r="AE41" s="469"/>
      <c r="AF41" s="469"/>
      <c r="AG41" s="469"/>
      <c r="AH41" s="469"/>
      <c r="AI41" s="469"/>
      <c r="AJ41" s="469"/>
      <c r="AK41" s="469"/>
      <c r="AL41" s="469"/>
      <c r="AM41" s="469"/>
      <c r="AN41" s="31" t="s">
        <v>3683</v>
      </c>
      <c r="AO41" s="31"/>
      <c r="AP41" s="31"/>
      <c r="AQ41" s="33"/>
      <c r="AR41" s="31"/>
      <c r="AS41" s="33"/>
      <c r="AT41" s="25"/>
      <c r="AU41" s="41"/>
      <c r="AV41" s="469"/>
      <c r="AW41" s="41"/>
      <c r="AX41" s="469"/>
      <c r="AY41" s="469"/>
      <c r="AZ41" s="469"/>
      <c r="BA41" s="469"/>
      <c r="BB41" s="469"/>
      <c r="BC41" s="469"/>
      <c r="BD41" s="469"/>
      <c r="BE41" s="31"/>
      <c r="BF41" s="469"/>
      <c r="BG41" s="469"/>
      <c r="BH41" s="469"/>
      <c r="BI41" s="469"/>
      <c r="BJ41" s="25"/>
      <c r="BK41" s="170">
        <v>155.83000000000001</v>
      </c>
      <c r="BL41" s="393" t="s">
        <v>3684</v>
      </c>
      <c r="BM41" s="394">
        <v>10038568747065</v>
      </c>
      <c r="BN41" s="148"/>
      <c r="BO41" s="148"/>
      <c r="BP41" s="148"/>
      <c r="BQ41" s="47">
        <v>4.0599999999999996</v>
      </c>
      <c r="BR41" s="47">
        <v>7.28</v>
      </c>
      <c r="BS41" s="148"/>
      <c r="BT41" s="47">
        <v>4</v>
      </c>
      <c r="BU41" s="47">
        <v>4</v>
      </c>
      <c r="BV41" s="47">
        <v>7.5</v>
      </c>
      <c r="BW41" s="47">
        <v>6.9440000000000002E-2</v>
      </c>
      <c r="BX41" s="47">
        <v>0.24</v>
      </c>
      <c r="BY41" s="396">
        <v>13</v>
      </c>
      <c r="BZ41" s="396">
        <v>9</v>
      </c>
      <c r="CA41" s="396">
        <v>9</v>
      </c>
      <c r="CB41" s="47">
        <v>0.609375</v>
      </c>
      <c r="CC41" s="395">
        <v>1.383</v>
      </c>
      <c r="CD41" s="395">
        <v>2.0625</v>
      </c>
      <c r="CE41" s="395">
        <f>CD41*6</f>
        <v>12.375</v>
      </c>
      <c r="CF41" s="75" t="s">
        <v>2423</v>
      </c>
      <c r="CG41" s="75">
        <v>6</v>
      </c>
      <c r="CH41" s="75">
        <v>12</v>
      </c>
      <c r="CI41" s="75">
        <v>4</v>
      </c>
      <c r="CJ41" s="153">
        <f>48*6</f>
        <v>288</v>
      </c>
      <c r="CK41" s="153">
        <f>CD41*CJ41</f>
        <v>594</v>
      </c>
      <c r="CL41" s="75" t="s">
        <v>256</v>
      </c>
      <c r="CM41" s="25" t="s">
        <v>150</v>
      </c>
      <c r="CN41" s="14"/>
      <c r="CO41" s="14"/>
      <c r="CP41" s="14"/>
      <c r="CQ41" s="4"/>
      <c r="CR41" s="4"/>
      <c r="CS41" s="4"/>
    </row>
    <row r="42" spans="1:97" s="105" customFormat="1" x14ac:dyDescent="0.25">
      <c r="A42" s="390">
        <v>43640</v>
      </c>
      <c r="B42" s="440" t="s">
        <v>12</v>
      </c>
      <c r="C42" s="31" t="s">
        <v>3304</v>
      </c>
      <c r="D42" s="440" t="s">
        <v>54</v>
      </c>
      <c r="E42" s="391" t="s">
        <v>3305</v>
      </c>
      <c r="F42" s="401" t="s">
        <v>3306</v>
      </c>
      <c r="G42" s="404">
        <v>1800000</v>
      </c>
      <c r="H42" s="401" t="s">
        <v>3307</v>
      </c>
      <c r="I42" s="401" t="s">
        <v>134</v>
      </c>
      <c r="J42" s="440" t="s">
        <v>1972</v>
      </c>
      <c r="K42" s="440" t="s">
        <v>3308</v>
      </c>
      <c r="L42" s="440"/>
      <c r="M42" s="440"/>
      <c r="N42" s="440"/>
      <c r="O42" s="440"/>
      <c r="P42" s="440"/>
      <c r="Q42" s="440"/>
      <c r="R42" s="440"/>
      <c r="S42" s="440"/>
      <c r="T42" s="440"/>
      <c r="U42" s="440"/>
      <c r="V42" s="440"/>
      <c r="W42" s="440"/>
      <c r="X42" s="440"/>
      <c r="Y42" s="440"/>
      <c r="Z42" s="440"/>
      <c r="AA42" s="440"/>
      <c r="AB42" s="440"/>
      <c r="AC42" s="440"/>
      <c r="AD42" s="440"/>
      <c r="AE42" s="440"/>
      <c r="AF42" s="440"/>
      <c r="AG42" s="440"/>
      <c r="AH42" s="440"/>
      <c r="AI42" s="440"/>
      <c r="AJ42" s="440"/>
      <c r="AK42" s="440"/>
      <c r="AL42" s="440"/>
      <c r="AM42" s="440"/>
      <c r="AN42" s="31" t="s">
        <v>3309</v>
      </c>
      <c r="AO42" s="31"/>
      <c r="AP42" s="31"/>
      <c r="AQ42" s="33"/>
      <c r="AR42" s="31" t="s">
        <v>3310</v>
      </c>
      <c r="AS42" s="33"/>
      <c r="AT42" s="25" t="s">
        <v>3311</v>
      </c>
      <c r="AU42" s="41"/>
      <c r="AV42" s="440"/>
      <c r="AW42" s="41"/>
      <c r="AX42" s="440"/>
      <c r="AY42" s="440"/>
      <c r="AZ42" s="440"/>
      <c r="BA42" s="440"/>
      <c r="BB42" s="440"/>
      <c r="BC42" s="440"/>
      <c r="BD42" s="440"/>
      <c r="BE42" s="31"/>
      <c r="BF42" s="440"/>
      <c r="BG42" s="440"/>
      <c r="BH42" s="440"/>
      <c r="BI42" s="440"/>
      <c r="BJ42" s="25">
        <v>57791</v>
      </c>
      <c r="BK42" s="170">
        <v>37.18</v>
      </c>
      <c r="BL42" s="393" t="s">
        <v>3323</v>
      </c>
      <c r="BM42" s="394">
        <v>10038568747072</v>
      </c>
      <c r="BN42" s="441" t="s">
        <v>916</v>
      </c>
      <c r="BO42" s="441" t="s">
        <v>916</v>
      </c>
      <c r="BP42" s="441" t="s">
        <v>916</v>
      </c>
      <c r="BQ42" s="47">
        <v>4.28</v>
      </c>
      <c r="BR42" s="47">
        <v>10.35</v>
      </c>
      <c r="BS42" s="441" t="s">
        <v>916</v>
      </c>
      <c r="BT42" s="441" t="s">
        <v>916</v>
      </c>
      <c r="BU42" s="441" t="s">
        <v>916</v>
      </c>
      <c r="BV42" s="441" t="s">
        <v>916</v>
      </c>
      <c r="BW42" s="441" t="s">
        <v>916</v>
      </c>
      <c r="BX42" s="441" t="s">
        <v>916</v>
      </c>
      <c r="BY42" s="396">
        <v>13.24</v>
      </c>
      <c r="BZ42" s="396">
        <v>8.99</v>
      </c>
      <c r="CA42" s="396">
        <v>11.04</v>
      </c>
      <c r="CB42" s="47">
        <v>0.76039999999999996</v>
      </c>
      <c r="CC42" s="395">
        <v>0.2</v>
      </c>
      <c r="CD42" s="395">
        <v>2.6</v>
      </c>
      <c r="CE42" s="395">
        <v>15.6</v>
      </c>
      <c r="CF42" s="75" t="s">
        <v>2423</v>
      </c>
      <c r="CG42" s="75">
        <v>6</v>
      </c>
      <c r="CH42" s="75">
        <v>12</v>
      </c>
      <c r="CI42" s="75">
        <v>4</v>
      </c>
      <c r="CJ42" s="153">
        <v>288</v>
      </c>
      <c r="CK42" s="153">
        <f>CJ42*CD42</f>
        <v>748.80000000000007</v>
      </c>
      <c r="CL42" s="75" t="s">
        <v>256</v>
      </c>
      <c r="CM42" s="25" t="s">
        <v>150</v>
      </c>
      <c r="CN42" s="14"/>
      <c r="CO42" s="14"/>
      <c r="CP42" s="14"/>
      <c r="CQ42" s="4"/>
      <c r="CR42" s="4"/>
      <c r="CS42" s="4"/>
    </row>
    <row r="43" spans="1:97" x14ac:dyDescent="0.25">
      <c r="A43" s="390">
        <v>43640</v>
      </c>
      <c r="B43" s="440" t="s">
        <v>12</v>
      </c>
      <c r="C43" s="31" t="s">
        <v>3312</v>
      </c>
      <c r="D43" s="440" t="s">
        <v>54</v>
      </c>
      <c r="E43" s="391" t="s">
        <v>1882</v>
      </c>
      <c r="F43" s="401" t="s">
        <v>3313</v>
      </c>
      <c r="G43" s="404">
        <v>22500</v>
      </c>
      <c r="H43" s="401" t="s">
        <v>3314</v>
      </c>
      <c r="I43" s="401" t="s">
        <v>134</v>
      </c>
      <c r="J43" s="440" t="s">
        <v>519</v>
      </c>
      <c r="K43" s="440" t="s">
        <v>3315</v>
      </c>
      <c r="L43" s="440"/>
      <c r="M43" s="440"/>
      <c r="N43" s="440"/>
      <c r="O43" s="440"/>
      <c r="P43" s="440"/>
      <c r="Q43" s="440"/>
      <c r="R43" s="440"/>
      <c r="S43" s="440"/>
      <c r="T43" s="440"/>
      <c r="U43" s="440"/>
      <c r="V43" s="440"/>
      <c r="W43" s="440"/>
      <c r="X43" s="440"/>
      <c r="Y43" s="440"/>
      <c r="Z43" s="440"/>
      <c r="AA43" s="440"/>
      <c r="AB43" s="440"/>
      <c r="AC43" s="440"/>
      <c r="AD43" s="440"/>
      <c r="AE43" s="440"/>
      <c r="AF43" s="440"/>
      <c r="AG43" s="440"/>
      <c r="AH43" s="440"/>
      <c r="AI43" s="440"/>
      <c r="AJ43" s="440"/>
      <c r="AK43" s="440"/>
      <c r="AL43" s="440"/>
      <c r="AM43" s="440"/>
      <c r="AN43" s="31" t="s">
        <v>3316</v>
      </c>
      <c r="AO43" s="31"/>
      <c r="AP43" s="31"/>
      <c r="AQ43" s="33"/>
      <c r="AR43" s="33" t="s">
        <v>3317</v>
      </c>
      <c r="AS43" s="33"/>
      <c r="AT43" s="25" t="s">
        <v>3318</v>
      </c>
      <c r="AU43" s="41" t="s">
        <v>3319</v>
      </c>
      <c r="AV43" s="440"/>
      <c r="AW43" s="41"/>
      <c r="AX43" s="440"/>
      <c r="AY43" s="440"/>
      <c r="AZ43" s="440"/>
      <c r="BA43" s="440"/>
      <c r="BB43" s="440"/>
      <c r="BC43" s="440"/>
      <c r="BD43" s="440"/>
      <c r="BE43" s="31"/>
      <c r="BF43" s="440"/>
      <c r="BG43" s="440"/>
      <c r="BH43" s="440"/>
      <c r="BI43" s="440"/>
      <c r="BJ43" s="25"/>
      <c r="BK43" s="170">
        <v>17.59</v>
      </c>
      <c r="BL43" s="393" t="s">
        <v>3324</v>
      </c>
      <c r="BM43" s="394">
        <v>10038568746921</v>
      </c>
      <c r="BN43" s="47">
        <v>10.83</v>
      </c>
      <c r="BO43" s="47">
        <v>0.67</v>
      </c>
      <c r="BP43" s="47">
        <v>11.93</v>
      </c>
      <c r="BQ43" s="441" t="s">
        <v>916</v>
      </c>
      <c r="BR43" s="441" t="s">
        <v>916</v>
      </c>
      <c r="BS43" s="441" t="s">
        <v>916</v>
      </c>
      <c r="BT43" s="47">
        <v>11.22</v>
      </c>
      <c r="BU43" s="47">
        <v>0.78700000000000003</v>
      </c>
      <c r="BV43" s="47">
        <v>12.205</v>
      </c>
      <c r="BW43" s="47">
        <v>6.2300000000000001E-2</v>
      </c>
      <c r="BX43" s="47">
        <v>0.2</v>
      </c>
      <c r="BY43" s="396">
        <v>11.811</v>
      </c>
      <c r="BZ43" s="396">
        <v>2.9529999999999998</v>
      </c>
      <c r="CA43" s="396">
        <v>12.795</v>
      </c>
      <c r="CB43" s="47">
        <v>0.25824999999999998</v>
      </c>
      <c r="CC43" s="395">
        <v>0.7</v>
      </c>
      <c r="CD43" s="395">
        <v>0.73399999999999999</v>
      </c>
      <c r="CE43" s="395">
        <v>2.2000000000000002</v>
      </c>
      <c r="CF43" s="75" t="s">
        <v>2423</v>
      </c>
      <c r="CG43" s="75">
        <v>3</v>
      </c>
      <c r="CH43" s="75">
        <v>9</v>
      </c>
      <c r="CI43" s="75">
        <v>11</v>
      </c>
      <c r="CJ43" s="153">
        <v>297</v>
      </c>
      <c r="CK43" s="153">
        <f>CJ43*CD43</f>
        <v>217.99799999999999</v>
      </c>
      <c r="CL43" s="75" t="s">
        <v>164</v>
      </c>
      <c r="CM43" s="25" t="s">
        <v>140</v>
      </c>
      <c r="CN43" s="25"/>
      <c r="CO43" s="25"/>
      <c r="CP43" s="14"/>
      <c r="CQ43" s="14"/>
    </row>
    <row r="44" spans="1:97" x14ac:dyDescent="0.25">
      <c r="A44" s="390">
        <v>43640</v>
      </c>
      <c r="B44" s="440" t="s">
        <v>12</v>
      </c>
      <c r="C44" s="31" t="s">
        <v>3320</v>
      </c>
      <c r="D44" s="440" t="s">
        <v>54</v>
      </c>
      <c r="E44" s="391" t="s">
        <v>876</v>
      </c>
      <c r="F44" s="401" t="s">
        <v>3321</v>
      </c>
      <c r="G44" s="404">
        <v>3166</v>
      </c>
      <c r="H44" s="401" t="s">
        <v>3314</v>
      </c>
      <c r="I44" s="401" t="s">
        <v>134</v>
      </c>
      <c r="J44" s="440" t="s">
        <v>519</v>
      </c>
      <c r="K44" s="440" t="s">
        <v>3322</v>
      </c>
      <c r="L44" s="440"/>
      <c r="M44" s="440"/>
      <c r="N44" s="440"/>
      <c r="O44" s="440"/>
      <c r="P44" s="440"/>
      <c r="Q44" s="440"/>
      <c r="R44" s="440"/>
      <c r="S44" s="440"/>
      <c r="T44" s="440"/>
      <c r="U44" s="440"/>
      <c r="V44" s="440"/>
      <c r="W44" s="440"/>
      <c r="X44" s="440"/>
      <c r="Y44" s="440"/>
      <c r="Z44" s="440"/>
      <c r="AA44" s="440"/>
      <c r="AB44" s="440"/>
      <c r="AC44" s="440"/>
      <c r="AD44" s="440"/>
      <c r="AE44" s="440"/>
      <c r="AF44" s="440"/>
      <c r="AG44" s="440"/>
      <c r="AH44" s="440"/>
      <c r="AI44" s="440"/>
      <c r="AJ44" s="440"/>
      <c r="AK44" s="440"/>
      <c r="AL44" s="440"/>
      <c r="AM44" s="440"/>
      <c r="AN44" s="31"/>
      <c r="AO44" s="31"/>
      <c r="AP44" s="31"/>
      <c r="AQ44" s="33"/>
      <c r="AR44" s="33"/>
      <c r="AS44" s="33"/>
      <c r="AT44" s="25"/>
      <c r="AU44" s="41"/>
      <c r="AV44" s="440"/>
      <c r="AW44" s="41"/>
      <c r="AX44" s="440"/>
      <c r="AY44" s="440"/>
      <c r="AZ44" s="440"/>
      <c r="BA44" s="440"/>
      <c r="BB44" s="440"/>
      <c r="BC44" s="440"/>
      <c r="BD44" s="440"/>
      <c r="BE44" s="31"/>
      <c r="BF44" s="440"/>
      <c r="BG44" s="440"/>
      <c r="BH44" s="440"/>
      <c r="BI44" s="440"/>
      <c r="BJ44" s="25"/>
      <c r="BK44" s="170">
        <v>203.33</v>
      </c>
      <c r="BL44" s="393" t="s">
        <v>3325</v>
      </c>
      <c r="BM44" s="394">
        <v>10038568745917</v>
      </c>
      <c r="BN44" s="441" t="s">
        <v>916</v>
      </c>
      <c r="BO44" s="441" t="s">
        <v>916</v>
      </c>
      <c r="BP44" s="441" t="s">
        <v>916</v>
      </c>
      <c r="BQ44" s="47">
        <v>9.6300000000000008</v>
      </c>
      <c r="BR44" s="47">
        <v>21.92</v>
      </c>
      <c r="BS44" s="441" t="s">
        <v>916</v>
      </c>
      <c r="BT44" s="441" t="s">
        <v>916</v>
      </c>
      <c r="BU44" s="441" t="s">
        <v>916</v>
      </c>
      <c r="BV44" s="441" t="s">
        <v>916</v>
      </c>
      <c r="BW44" s="441" t="s">
        <v>916</v>
      </c>
      <c r="BX44" s="441" t="s">
        <v>916</v>
      </c>
      <c r="BY44" s="396">
        <v>10.18</v>
      </c>
      <c r="BZ44" s="396">
        <v>10.18</v>
      </c>
      <c r="CA44" s="396">
        <v>22.88</v>
      </c>
      <c r="CB44" s="47">
        <v>0.72877000000000003</v>
      </c>
      <c r="CC44" s="395">
        <v>1.75</v>
      </c>
      <c r="CD44" s="395">
        <v>6.6</v>
      </c>
      <c r="CE44" s="395">
        <v>6.6</v>
      </c>
      <c r="CF44" s="75" t="s">
        <v>2423</v>
      </c>
      <c r="CG44" s="75">
        <v>1</v>
      </c>
      <c r="CH44" s="75">
        <v>6</v>
      </c>
      <c r="CI44" s="75">
        <v>2</v>
      </c>
      <c r="CJ44" s="153">
        <v>12</v>
      </c>
      <c r="CK44" s="153">
        <f>CJ44*CE44</f>
        <v>79.199999999999989</v>
      </c>
      <c r="CL44" s="75" t="s">
        <v>256</v>
      </c>
      <c r="CM44" s="25" t="s">
        <v>136</v>
      </c>
      <c r="CN44" s="14"/>
      <c r="CP44" s="10"/>
      <c r="CQ44" s="14"/>
      <c r="CR44" s="14"/>
      <c r="CS44" s="14"/>
    </row>
    <row r="45" spans="1:97" x14ac:dyDescent="0.25">
      <c r="A45" s="390">
        <v>43545</v>
      </c>
      <c r="B45" s="436" t="s">
        <v>12</v>
      </c>
      <c r="C45" s="31" t="s">
        <v>3205</v>
      </c>
      <c r="D45" s="436" t="s">
        <v>54</v>
      </c>
      <c r="E45" s="391" t="s">
        <v>3206</v>
      </c>
      <c r="F45" s="401" t="s">
        <v>3208</v>
      </c>
      <c r="G45" s="404">
        <v>124434</v>
      </c>
      <c r="H45" s="401" t="s">
        <v>2635</v>
      </c>
      <c r="I45" s="401" t="s">
        <v>134</v>
      </c>
      <c r="J45" s="436" t="s">
        <v>519</v>
      </c>
      <c r="K45" s="436" t="s">
        <v>3207</v>
      </c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6"/>
      <c r="AA45" s="436"/>
      <c r="AB45" s="436"/>
      <c r="AC45" s="436"/>
      <c r="AD45" s="436"/>
      <c r="AE45" s="436"/>
      <c r="AF45" s="436"/>
      <c r="AG45" s="436"/>
      <c r="AH45" s="436"/>
      <c r="AI45" s="436"/>
      <c r="AJ45" s="436"/>
      <c r="AK45" s="436"/>
      <c r="AL45" s="436"/>
      <c r="AM45" s="436"/>
      <c r="AN45" s="31"/>
      <c r="AO45" s="31"/>
      <c r="AP45" s="31"/>
      <c r="AQ45" s="33"/>
      <c r="AR45" s="31"/>
      <c r="AS45" s="33"/>
      <c r="AT45" s="25"/>
      <c r="AU45" s="41"/>
      <c r="AV45" s="436"/>
      <c r="AW45" s="41"/>
      <c r="AX45" s="436"/>
      <c r="AY45" s="436"/>
      <c r="AZ45" s="436"/>
      <c r="BA45" s="436"/>
      <c r="BB45" s="436"/>
      <c r="BC45" s="436"/>
      <c r="BD45" s="436"/>
      <c r="BE45" s="31"/>
      <c r="BF45" s="436"/>
      <c r="BG45" s="436"/>
      <c r="BH45" s="436"/>
      <c r="BI45" s="436"/>
      <c r="BJ45" s="25"/>
      <c r="BK45" s="170">
        <v>26.17</v>
      </c>
      <c r="BL45" s="393" t="s">
        <v>3209</v>
      </c>
      <c r="BM45" s="394">
        <v>10038568746303</v>
      </c>
      <c r="BN45" s="47">
        <v>7.36</v>
      </c>
      <c r="BO45" s="47">
        <v>0.59</v>
      </c>
      <c r="BP45" s="47">
        <v>12.44</v>
      </c>
      <c r="BQ45" s="148"/>
      <c r="BR45" s="148"/>
      <c r="BS45" s="148"/>
      <c r="BT45" s="47">
        <v>7.6769999999999996</v>
      </c>
      <c r="BU45" s="47">
        <v>0.70799999999999996</v>
      </c>
      <c r="BV45" s="47">
        <v>12.795</v>
      </c>
      <c r="BW45" s="47">
        <v>4.0245870000000003E-2</v>
      </c>
      <c r="BX45" s="47">
        <v>0.22</v>
      </c>
      <c r="BY45" s="396">
        <v>13.07</v>
      </c>
      <c r="BZ45" s="396">
        <v>7.95</v>
      </c>
      <c r="CA45" s="396">
        <v>2.5099999999999998</v>
      </c>
      <c r="CB45" s="47">
        <v>0.15092</v>
      </c>
      <c r="CC45" s="395">
        <v>0.51</v>
      </c>
      <c r="CD45" s="395">
        <v>0.49</v>
      </c>
      <c r="CE45" s="395">
        <f>CD45*3</f>
        <v>1.47</v>
      </c>
      <c r="CF45" s="75" t="s">
        <v>2423</v>
      </c>
      <c r="CG45" s="75">
        <v>3</v>
      </c>
      <c r="CH45" s="75">
        <v>15</v>
      </c>
      <c r="CI45" s="75">
        <v>21</v>
      </c>
      <c r="CJ45" s="153">
        <v>945</v>
      </c>
      <c r="CK45" s="153">
        <f>CJ45*CD45</f>
        <v>463.05</v>
      </c>
      <c r="CL45" s="75" t="s">
        <v>164</v>
      </c>
      <c r="CM45" s="25" t="s">
        <v>140</v>
      </c>
      <c r="CO45" s="10"/>
      <c r="CP45" s="14"/>
      <c r="CQ45" s="14"/>
      <c r="CR45" s="14"/>
    </row>
    <row r="46" spans="1:97" s="14" customFormat="1" ht="24" x14ac:dyDescent="0.25">
      <c r="A46" s="390">
        <v>43553</v>
      </c>
      <c r="B46" s="437" t="s">
        <v>12</v>
      </c>
      <c r="C46" s="31" t="s">
        <v>3210</v>
      </c>
      <c r="D46" s="437" t="s">
        <v>54</v>
      </c>
      <c r="E46" s="391" t="s">
        <v>2439</v>
      </c>
      <c r="F46" s="401" t="s">
        <v>3221</v>
      </c>
      <c r="G46" s="404">
        <v>30000</v>
      </c>
      <c r="H46" s="401" t="s">
        <v>2635</v>
      </c>
      <c r="I46" s="401" t="s">
        <v>134</v>
      </c>
      <c r="J46" s="437" t="s">
        <v>3211</v>
      </c>
      <c r="K46" s="437">
        <v>7008043</v>
      </c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37"/>
      <c r="X46" s="437"/>
      <c r="Y46" s="437"/>
      <c r="Z46" s="437"/>
      <c r="AA46" s="437"/>
      <c r="AB46" s="437"/>
      <c r="AC46" s="437"/>
      <c r="AD46" s="437"/>
      <c r="AE46" s="437"/>
      <c r="AF46" s="437"/>
      <c r="AG46" s="437"/>
      <c r="AH46" s="437"/>
      <c r="AI46" s="437"/>
      <c r="AJ46" s="437"/>
      <c r="AK46" s="437"/>
      <c r="AL46" s="437"/>
      <c r="AM46" s="437"/>
      <c r="AN46" s="437"/>
      <c r="AO46" s="437"/>
      <c r="AP46" s="31" t="s">
        <v>3212</v>
      </c>
      <c r="AQ46" s="31"/>
      <c r="AR46" s="33" t="s">
        <v>3213</v>
      </c>
      <c r="AS46" s="33"/>
      <c r="AT46" s="25" t="s">
        <v>3214</v>
      </c>
      <c r="AU46" s="33"/>
      <c r="AV46" s="25"/>
      <c r="AW46" s="41"/>
      <c r="AX46" s="437"/>
      <c r="AY46" s="41"/>
      <c r="AZ46" s="437"/>
      <c r="BA46" s="437"/>
      <c r="BB46" s="437"/>
      <c r="BC46" s="437"/>
      <c r="BD46" s="437"/>
      <c r="BE46" s="437"/>
      <c r="BF46" s="437"/>
      <c r="BG46" s="31"/>
      <c r="BH46" s="437"/>
      <c r="BI46" s="437"/>
      <c r="BJ46" s="25" t="s">
        <v>3215</v>
      </c>
      <c r="BK46" s="170">
        <v>48.24</v>
      </c>
      <c r="BL46" s="393" t="s">
        <v>3222</v>
      </c>
      <c r="BM46" s="394">
        <v>10038568746143</v>
      </c>
      <c r="BN46" s="148"/>
      <c r="BO46" s="148"/>
      <c r="BP46" s="148"/>
      <c r="BQ46" s="47">
        <v>11.42</v>
      </c>
      <c r="BR46" s="47">
        <v>19.53</v>
      </c>
      <c r="BS46" s="148"/>
      <c r="BT46" s="148"/>
      <c r="BU46" s="148"/>
      <c r="BV46" s="148"/>
      <c r="BW46" s="148"/>
      <c r="BX46" s="148"/>
      <c r="BY46" s="396">
        <v>20.52</v>
      </c>
      <c r="BZ46" s="396">
        <v>12.52</v>
      </c>
      <c r="CA46" s="396">
        <v>12.86</v>
      </c>
      <c r="CB46" s="47">
        <v>0.52302349999999997</v>
      </c>
      <c r="CC46" s="395">
        <v>2</v>
      </c>
      <c r="CD46" s="395">
        <v>8.6</v>
      </c>
      <c r="CE46" s="395">
        <v>8.6</v>
      </c>
      <c r="CF46" s="75" t="s">
        <v>2465</v>
      </c>
      <c r="CG46" s="75">
        <v>1</v>
      </c>
      <c r="CH46" s="75">
        <v>9</v>
      </c>
      <c r="CI46" s="75">
        <v>2</v>
      </c>
      <c r="CJ46" s="153">
        <v>18</v>
      </c>
      <c r="CK46" s="153">
        <f>CJ46*CD46</f>
        <v>154.79999999999998</v>
      </c>
      <c r="CL46" s="75" t="s">
        <v>256</v>
      </c>
      <c r="CM46" s="25" t="s">
        <v>136</v>
      </c>
      <c r="CN46" s="344"/>
      <c r="CO46" s="344"/>
      <c r="CP46" s="237"/>
      <c r="CQ46" s="336"/>
      <c r="CS46" s="336"/>
    </row>
    <row r="47" spans="1:97" s="14" customFormat="1" ht="24" x14ac:dyDescent="0.25">
      <c r="A47" s="390">
        <v>43553</v>
      </c>
      <c r="B47" s="437" t="s">
        <v>12</v>
      </c>
      <c r="C47" s="31" t="s">
        <v>3216</v>
      </c>
      <c r="D47" s="437" t="s">
        <v>54</v>
      </c>
      <c r="E47" s="401" t="s">
        <v>2439</v>
      </c>
      <c r="F47" s="401" t="s">
        <v>3217</v>
      </c>
      <c r="G47" s="404">
        <v>46208</v>
      </c>
      <c r="H47" s="401" t="s">
        <v>2635</v>
      </c>
      <c r="I47" s="401" t="s">
        <v>134</v>
      </c>
      <c r="J47" s="437" t="s">
        <v>3218</v>
      </c>
      <c r="K47" s="437">
        <v>10004113</v>
      </c>
      <c r="L47" s="437"/>
      <c r="M47" s="437"/>
      <c r="N47" s="437"/>
      <c r="O47" s="437"/>
      <c r="P47" s="437"/>
      <c r="Q47" s="437"/>
      <c r="R47" s="437"/>
      <c r="S47" s="437"/>
      <c r="T47" s="437"/>
      <c r="U47" s="437"/>
      <c r="V47" s="437"/>
      <c r="W47" s="437"/>
      <c r="X47" s="437"/>
      <c r="Y47" s="437"/>
      <c r="Z47" s="437"/>
      <c r="AA47" s="437"/>
      <c r="AB47" s="437"/>
      <c r="AC47" s="437"/>
      <c r="AD47" s="437"/>
      <c r="AE47" s="437"/>
      <c r="AF47" s="437"/>
      <c r="AG47" s="437"/>
      <c r="AH47" s="437"/>
      <c r="AI47" s="437"/>
      <c r="AJ47" s="437"/>
      <c r="AK47" s="437"/>
      <c r="AL47" s="437"/>
      <c r="AM47" s="437"/>
      <c r="AN47" s="437"/>
      <c r="AO47" s="437"/>
      <c r="AP47" s="31" t="s">
        <v>3219</v>
      </c>
      <c r="AQ47" s="31"/>
      <c r="AR47" s="31"/>
      <c r="AS47" s="33"/>
      <c r="AT47" s="31"/>
      <c r="AU47" s="33"/>
      <c r="AV47" s="25"/>
      <c r="AW47" s="41"/>
      <c r="AX47" s="437"/>
      <c r="AY47" s="41"/>
      <c r="AZ47" s="437"/>
      <c r="BA47" s="437"/>
      <c r="BB47" s="437"/>
      <c r="BC47" s="437"/>
      <c r="BD47" s="437"/>
      <c r="BE47" s="437"/>
      <c r="BF47" s="437"/>
      <c r="BG47" s="31"/>
      <c r="BH47" s="437"/>
      <c r="BI47" s="437"/>
      <c r="BJ47" s="25" t="s">
        <v>3220</v>
      </c>
      <c r="BK47" s="170">
        <v>93.23</v>
      </c>
      <c r="BL47" s="393" t="s">
        <v>3223</v>
      </c>
      <c r="BM47" s="394">
        <v>10038568745764</v>
      </c>
      <c r="BN47" s="148"/>
      <c r="BO47" s="148"/>
      <c r="BP47" s="148"/>
      <c r="BQ47" s="47">
        <v>6.41</v>
      </c>
      <c r="BR47" s="47">
        <v>10.16</v>
      </c>
      <c r="BS47" s="148"/>
      <c r="BT47" s="148"/>
      <c r="BU47" s="148"/>
      <c r="BV47" s="148"/>
      <c r="BW47" s="148"/>
      <c r="BX47" s="148"/>
      <c r="BY47" s="396">
        <v>6.84</v>
      </c>
      <c r="BZ47" s="396">
        <v>6.84</v>
      </c>
      <c r="CA47" s="396">
        <v>13.18</v>
      </c>
      <c r="CB47" s="47">
        <v>2.8022979000000001</v>
      </c>
      <c r="CC47" s="395">
        <v>0.62</v>
      </c>
      <c r="CD47" s="395">
        <v>2.12</v>
      </c>
      <c r="CE47" s="395">
        <v>2.12</v>
      </c>
      <c r="CF47" s="75" t="s">
        <v>2465</v>
      </c>
      <c r="CG47" s="75">
        <v>1</v>
      </c>
      <c r="CH47" s="75">
        <v>21</v>
      </c>
      <c r="CI47" s="75">
        <v>6</v>
      </c>
      <c r="CJ47" s="153">
        <v>126</v>
      </c>
      <c r="CK47" s="153">
        <f>CJ47*CE47</f>
        <v>267.12</v>
      </c>
      <c r="CL47" s="75" t="s">
        <v>256</v>
      </c>
      <c r="CM47" s="25" t="s">
        <v>136</v>
      </c>
      <c r="CN47" s="75"/>
      <c r="CO47" s="25"/>
      <c r="CP47" s="344"/>
      <c r="CQ47" s="397"/>
      <c r="CR47" s="237"/>
      <c r="CS47" s="336"/>
    </row>
    <row r="48" spans="1:97" s="14" customFormat="1" ht="46.5" x14ac:dyDescent="0.25">
      <c r="A48" s="390">
        <v>43511</v>
      </c>
      <c r="B48" s="402" t="s">
        <v>12</v>
      </c>
      <c r="C48" s="31" t="s">
        <v>2633</v>
      </c>
      <c r="D48" s="402" t="s">
        <v>54</v>
      </c>
      <c r="E48" s="391" t="s">
        <v>59</v>
      </c>
      <c r="F48" s="401" t="s">
        <v>2634</v>
      </c>
      <c r="G48" s="404">
        <v>385843</v>
      </c>
      <c r="H48" s="401" t="s">
        <v>2635</v>
      </c>
      <c r="I48" s="401" t="s">
        <v>134</v>
      </c>
      <c r="J48" s="402" t="s">
        <v>894</v>
      </c>
      <c r="K48" s="402">
        <v>5303743</v>
      </c>
      <c r="L48" s="402"/>
      <c r="M48" s="402"/>
      <c r="N48" s="402"/>
      <c r="O48" s="402"/>
      <c r="P48" s="402"/>
      <c r="Q48" s="402"/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2"/>
      <c r="AD48" s="402"/>
      <c r="AE48" s="402"/>
      <c r="AF48" s="402"/>
      <c r="AG48" s="402"/>
      <c r="AH48" s="402"/>
      <c r="AI48" s="402"/>
      <c r="AJ48" s="402"/>
      <c r="AK48" s="402"/>
      <c r="AL48" s="402"/>
      <c r="AM48" s="402"/>
      <c r="AN48" s="31"/>
      <c r="AO48" s="31"/>
      <c r="AP48" s="31"/>
      <c r="AQ48" s="33"/>
      <c r="AR48" s="31"/>
      <c r="AS48" s="33"/>
      <c r="AT48" s="25" t="s">
        <v>2636</v>
      </c>
      <c r="AU48" s="25"/>
      <c r="AV48" s="25"/>
      <c r="AW48" s="41"/>
      <c r="AX48" s="402"/>
      <c r="AY48" s="402"/>
      <c r="AZ48" s="402"/>
      <c r="BA48" s="402"/>
      <c r="BB48" s="402"/>
      <c r="BC48" s="402"/>
      <c r="BD48" s="402"/>
      <c r="BE48" s="31"/>
      <c r="BF48" s="402"/>
      <c r="BG48" s="402"/>
      <c r="BH48" s="402"/>
      <c r="BI48" s="402"/>
      <c r="BJ48" s="25"/>
      <c r="BK48" s="170">
        <v>47.33</v>
      </c>
      <c r="BL48" s="393" t="s">
        <v>2637</v>
      </c>
      <c r="BM48" s="394">
        <v>10038568746792</v>
      </c>
      <c r="BN48" s="148"/>
      <c r="BO48" s="148"/>
      <c r="BP48" s="148"/>
      <c r="BQ48" s="47">
        <v>4.016</v>
      </c>
      <c r="BR48" s="47">
        <v>7.165</v>
      </c>
      <c r="BS48" s="148"/>
      <c r="BT48" s="148"/>
      <c r="BU48" s="148"/>
      <c r="BV48" s="148"/>
      <c r="BW48" s="148"/>
      <c r="BX48" s="148"/>
      <c r="BY48" s="396">
        <v>12.992000000000001</v>
      </c>
      <c r="BZ48" s="396">
        <v>8.8580000000000005</v>
      </c>
      <c r="CA48" s="396">
        <v>7.8739999999999997</v>
      </c>
      <c r="CB48" s="47">
        <v>0.52683899999999995</v>
      </c>
      <c r="CC48" s="395">
        <v>0.59</v>
      </c>
      <c r="CD48" s="395">
        <v>1.0983000000000001</v>
      </c>
      <c r="CE48" s="395">
        <f>CD48*6</f>
        <v>6.5898000000000003</v>
      </c>
      <c r="CF48" s="75" t="s">
        <v>2423</v>
      </c>
      <c r="CG48" s="75">
        <v>6</v>
      </c>
      <c r="CH48" s="75">
        <v>15</v>
      </c>
      <c r="CI48" s="75">
        <v>5</v>
      </c>
      <c r="CJ48" s="153">
        <v>450</v>
      </c>
      <c r="CK48" s="153">
        <f>CD48*CJ48</f>
        <v>494.23500000000001</v>
      </c>
      <c r="CL48" s="75" t="s">
        <v>164</v>
      </c>
      <c r="CM48" s="25" t="s">
        <v>150</v>
      </c>
      <c r="CN48" s="75"/>
      <c r="CO48" s="25"/>
      <c r="CP48" s="344"/>
      <c r="CQ48" s="397"/>
      <c r="CR48" s="237"/>
      <c r="CS48" s="336"/>
    </row>
    <row r="49" spans="1:97" s="14" customFormat="1" ht="46.5" x14ac:dyDescent="0.25">
      <c r="A49" s="390">
        <v>43476</v>
      </c>
      <c r="B49" s="400" t="s">
        <v>12</v>
      </c>
      <c r="C49" s="31" t="s">
        <v>2618</v>
      </c>
      <c r="D49" s="400" t="s">
        <v>54</v>
      </c>
      <c r="E49" s="391" t="s">
        <v>2619</v>
      </c>
      <c r="F49" s="401" t="s">
        <v>2632</v>
      </c>
      <c r="G49" s="401"/>
      <c r="H49" s="401"/>
      <c r="I49" s="401"/>
      <c r="J49" s="400" t="s">
        <v>705</v>
      </c>
      <c r="K49" s="400" t="s">
        <v>2620</v>
      </c>
      <c r="L49" s="400"/>
      <c r="M49" s="400"/>
      <c r="N49" s="400"/>
      <c r="O49" s="400"/>
      <c r="P49" s="400"/>
      <c r="Q49" s="400"/>
      <c r="R49" s="400"/>
      <c r="S49" s="400"/>
      <c r="T49" s="400"/>
      <c r="U49" s="400"/>
      <c r="V49" s="400"/>
      <c r="W49" s="400"/>
      <c r="X49" s="400"/>
      <c r="Y49" s="400"/>
      <c r="Z49" s="400"/>
      <c r="AA49" s="400"/>
      <c r="AB49" s="400"/>
      <c r="AC49" s="400"/>
      <c r="AD49" s="400"/>
      <c r="AE49" s="400"/>
      <c r="AF49" s="400"/>
      <c r="AG49" s="400"/>
      <c r="AH49" s="400"/>
      <c r="AI49" s="400"/>
      <c r="AJ49" s="400"/>
      <c r="AK49" s="400"/>
      <c r="AL49" s="400"/>
      <c r="AM49" s="400"/>
      <c r="AN49" s="31"/>
      <c r="AO49" s="31"/>
      <c r="AP49" s="31"/>
      <c r="AQ49" s="33"/>
      <c r="AR49" s="31"/>
      <c r="AS49" s="33"/>
      <c r="AT49" s="25"/>
      <c r="AU49" s="41"/>
      <c r="AV49" s="400"/>
      <c r="AW49" s="41"/>
      <c r="AX49" s="400"/>
      <c r="AY49" s="400"/>
      <c r="AZ49" s="400"/>
      <c r="BA49" s="400"/>
      <c r="BB49" s="400"/>
      <c r="BC49" s="400"/>
      <c r="BD49" s="400"/>
      <c r="BE49" s="31"/>
      <c r="BF49" s="400"/>
      <c r="BG49" s="400"/>
      <c r="BH49" s="400"/>
      <c r="BI49" s="400"/>
      <c r="BJ49" s="25"/>
      <c r="BK49" s="170">
        <v>337.5</v>
      </c>
      <c r="BL49" s="393" t="s">
        <v>2628</v>
      </c>
      <c r="BM49" s="394">
        <v>10038568746907</v>
      </c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396">
        <v>15</v>
      </c>
      <c r="BZ49" s="396">
        <v>9.5</v>
      </c>
      <c r="CA49" s="396">
        <v>5.14</v>
      </c>
      <c r="CB49" s="47">
        <v>0.42380000000000001</v>
      </c>
      <c r="CC49" s="395">
        <v>0.7</v>
      </c>
      <c r="CD49" s="395">
        <v>7.68</v>
      </c>
      <c r="CE49" s="395">
        <v>7.68</v>
      </c>
      <c r="CF49" s="75" t="s">
        <v>2423</v>
      </c>
      <c r="CG49" s="75">
        <v>1</v>
      </c>
      <c r="CH49" s="75">
        <v>12</v>
      </c>
      <c r="CI49" s="75">
        <v>7</v>
      </c>
      <c r="CJ49" s="153">
        <v>84</v>
      </c>
      <c r="CK49" s="153">
        <f>CJ49*CE49</f>
        <v>645.12</v>
      </c>
      <c r="CL49" s="75" t="s">
        <v>2629</v>
      </c>
      <c r="CM49" s="25" t="s">
        <v>150</v>
      </c>
      <c r="CN49" s="75"/>
      <c r="CO49" s="25"/>
      <c r="CP49" s="344"/>
      <c r="CQ49" s="344"/>
      <c r="CR49" s="237"/>
      <c r="CS49" s="336"/>
    </row>
    <row r="50" spans="1:97" s="14" customFormat="1" x14ac:dyDescent="0.25">
      <c r="A50" s="390">
        <v>43476</v>
      </c>
      <c r="B50" s="400" t="s">
        <v>12</v>
      </c>
      <c r="C50" s="31" t="s">
        <v>2621</v>
      </c>
      <c r="D50" s="400" t="s">
        <v>54</v>
      </c>
      <c r="E50" s="169" t="s">
        <v>2561</v>
      </c>
      <c r="F50" s="401" t="s">
        <v>2622</v>
      </c>
      <c r="G50" s="401"/>
      <c r="H50" s="401"/>
      <c r="I50" s="401"/>
      <c r="J50" s="400" t="s">
        <v>894</v>
      </c>
      <c r="K50" s="400">
        <v>3986767</v>
      </c>
      <c r="L50" s="400"/>
      <c r="M50" s="400"/>
      <c r="N50" s="400"/>
      <c r="O50" s="400"/>
      <c r="P50" s="400"/>
      <c r="Q50" s="400"/>
      <c r="R50" s="400"/>
      <c r="S50" s="400"/>
      <c r="T50" s="400"/>
      <c r="U50" s="400"/>
      <c r="V50" s="400"/>
      <c r="W50" s="400"/>
      <c r="X50" s="400"/>
      <c r="Y50" s="400"/>
      <c r="Z50" s="400"/>
      <c r="AA50" s="400"/>
      <c r="AB50" s="400"/>
      <c r="AC50" s="400"/>
      <c r="AD50" s="400"/>
      <c r="AE50" s="400"/>
      <c r="AF50" s="400"/>
      <c r="AG50" s="400"/>
      <c r="AH50" s="400"/>
      <c r="AI50" s="400"/>
      <c r="AJ50" s="400"/>
      <c r="AK50" s="400"/>
      <c r="AL50" s="400"/>
      <c r="AM50" s="400"/>
      <c r="AN50" s="31" t="s">
        <v>2623</v>
      </c>
      <c r="AO50" s="31"/>
      <c r="AP50" s="31"/>
      <c r="AQ50" s="33"/>
      <c r="AR50" s="31"/>
      <c r="AS50" s="33"/>
      <c r="AT50" s="25"/>
      <c r="AU50" s="41"/>
      <c r="AV50" s="400"/>
      <c r="AW50" s="41"/>
      <c r="AX50" s="400"/>
      <c r="AY50" s="400"/>
      <c r="AZ50" s="400"/>
      <c r="BA50" s="400"/>
      <c r="BB50" s="400"/>
      <c r="BC50" s="400"/>
      <c r="BD50" s="400"/>
      <c r="BE50" s="31"/>
      <c r="BF50" s="400"/>
      <c r="BG50" s="400"/>
      <c r="BH50" s="400"/>
      <c r="BI50" s="400"/>
      <c r="BJ50" s="25" t="s">
        <v>2624</v>
      </c>
      <c r="BK50" s="170">
        <v>98.42</v>
      </c>
      <c r="BL50" s="393" t="s">
        <v>2630</v>
      </c>
      <c r="BM50" s="394">
        <v>10038568746549</v>
      </c>
      <c r="BN50" s="148"/>
      <c r="BO50" s="148"/>
      <c r="BP50" s="148"/>
      <c r="BQ50" s="164">
        <v>2.63</v>
      </c>
      <c r="BR50" s="164">
        <v>3.8860000000000001</v>
      </c>
      <c r="BS50" s="164"/>
      <c r="BT50" s="156">
        <v>2.76</v>
      </c>
      <c r="BU50" s="156">
        <v>2.76</v>
      </c>
      <c r="BV50" s="156">
        <v>4.2</v>
      </c>
      <c r="BW50" s="47">
        <v>1.7999999999999999E-2</v>
      </c>
      <c r="BX50" s="395">
        <v>0.02</v>
      </c>
      <c r="BY50" s="396">
        <v>5.75</v>
      </c>
      <c r="BZ50" s="396">
        <v>4.76</v>
      </c>
      <c r="CA50" s="396">
        <v>8.5</v>
      </c>
      <c r="CB50" s="47">
        <v>0.13400000000000001</v>
      </c>
      <c r="CC50" s="395">
        <v>0.21</v>
      </c>
      <c r="CD50" s="395">
        <v>0.183</v>
      </c>
      <c r="CE50" s="395">
        <f>CD50*6</f>
        <v>1.0979999999999999</v>
      </c>
      <c r="CF50" s="75" t="s">
        <v>2423</v>
      </c>
      <c r="CG50" s="75">
        <v>6</v>
      </c>
      <c r="CH50" s="75">
        <v>30</v>
      </c>
      <c r="CI50" s="75">
        <v>8</v>
      </c>
      <c r="CJ50" s="153">
        <v>1440</v>
      </c>
      <c r="CK50" s="153">
        <f>CD50*CJ50</f>
        <v>263.52</v>
      </c>
      <c r="CL50" s="75" t="s">
        <v>164</v>
      </c>
      <c r="CM50" s="25" t="s">
        <v>150</v>
      </c>
      <c r="CN50" s="75" t="s">
        <v>139</v>
      </c>
      <c r="CO50" s="25" t="s">
        <v>150</v>
      </c>
      <c r="CP50" s="344"/>
      <c r="CQ50" s="397"/>
      <c r="CR50" s="237"/>
      <c r="CS50" s="336"/>
    </row>
    <row r="51" spans="1:97" s="14" customFormat="1" x14ac:dyDescent="0.25">
      <c r="A51" s="390">
        <v>43476</v>
      </c>
      <c r="B51" s="400" t="s">
        <v>12</v>
      </c>
      <c r="C51" s="31" t="s">
        <v>2625</v>
      </c>
      <c r="D51" s="400" t="s">
        <v>54</v>
      </c>
      <c r="E51" s="169" t="s">
        <v>2561</v>
      </c>
      <c r="F51" s="401" t="s">
        <v>2626</v>
      </c>
      <c r="G51" s="401"/>
      <c r="H51" s="401"/>
      <c r="I51" s="401"/>
      <c r="J51" s="400" t="s">
        <v>894</v>
      </c>
      <c r="K51" s="400">
        <v>3967874</v>
      </c>
      <c r="L51" s="400"/>
      <c r="M51" s="400"/>
      <c r="N51" s="400"/>
      <c r="O51" s="400"/>
      <c r="P51" s="400"/>
      <c r="Q51" s="400"/>
      <c r="R51" s="400"/>
      <c r="S51" s="400"/>
      <c r="T51" s="400"/>
      <c r="U51" s="400"/>
      <c r="V51" s="400"/>
      <c r="W51" s="400"/>
      <c r="X51" s="400"/>
      <c r="Y51" s="400"/>
      <c r="Z51" s="400"/>
      <c r="AA51" s="400"/>
      <c r="AB51" s="400"/>
      <c r="AC51" s="400"/>
      <c r="AD51" s="400"/>
      <c r="AE51" s="400"/>
      <c r="AF51" s="400"/>
      <c r="AG51" s="400"/>
      <c r="AH51" s="400"/>
      <c r="AI51" s="400"/>
      <c r="AJ51" s="400"/>
      <c r="AK51" s="400"/>
      <c r="AL51" s="400"/>
      <c r="AM51" s="400"/>
      <c r="AN51" s="31" t="s">
        <v>2627</v>
      </c>
      <c r="AO51" s="31"/>
      <c r="AP51" s="31"/>
      <c r="AQ51" s="33"/>
      <c r="AR51" s="31"/>
      <c r="AS51" s="33"/>
      <c r="AT51" s="25"/>
      <c r="AU51" s="41"/>
      <c r="AV51" s="400"/>
      <c r="AW51" s="41"/>
      <c r="AX51" s="400"/>
      <c r="AY51" s="400"/>
      <c r="AZ51" s="400"/>
      <c r="BA51" s="400"/>
      <c r="BB51" s="400"/>
      <c r="BC51" s="400"/>
      <c r="BD51" s="400"/>
      <c r="BE51" s="31"/>
      <c r="BF51" s="400"/>
      <c r="BG51" s="400"/>
      <c r="BH51" s="400"/>
      <c r="BI51" s="400"/>
      <c r="BJ51" s="25"/>
      <c r="BK51" s="170">
        <v>104.98</v>
      </c>
      <c r="BL51" s="393" t="s">
        <v>2631</v>
      </c>
      <c r="BM51" s="394">
        <v>10038568746556</v>
      </c>
      <c r="BN51" s="148"/>
      <c r="BO51" s="148"/>
      <c r="BP51" s="148"/>
      <c r="BQ51" s="164">
        <v>2.7360000000000002</v>
      </c>
      <c r="BR51" s="164">
        <v>2.7240000000000002</v>
      </c>
      <c r="BS51" s="164"/>
      <c r="BT51" s="156">
        <v>2.75</v>
      </c>
      <c r="BU51" s="156">
        <v>2.75</v>
      </c>
      <c r="BV51" s="156">
        <v>4.25</v>
      </c>
      <c r="BW51" s="47">
        <v>1.8499999999999999E-2</v>
      </c>
      <c r="BX51" s="395">
        <v>0.02</v>
      </c>
      <c r="BY51" s="396">
        <v>5.74</v>
      </c>
      <c r="BZ51" s="396">
        <v>4.76</v>
      </c>
      <c r="CA51" s="396">
        <v>8.5</v>
      </c>
      <c r="CB51" s="47">
        <v>0.1343</v>
      </c>
      <c r="CC51" s="395">
        <v>0.21</v>
      </c>
      <c r="CD51" s="395">
        <v>0.55500000000000005</v>
      </c>
      <c r="CE51" s="395">
        <f>CD51*CG51</f>
        <v>3.33</v>
      </c>
      <c r="CF51" s="75" t="s">
        <v>2423</v>
      </c>
      <c r="CG51" s="75">
        <v>6</v>
      </c>
      <c r="CH51" s="75">
        <v>30</v>
      </c>
      <c r="CI51" s="75">
        <v>8</v>
      </c>
      <c r="CJ51" s="153">
        <v>1440</v>
      </c>
      <c r="CK51" s="153">
        <f>CJ51*CD51</f>
        <v>799.2</v>
      </c>
      <c r="CL51" s="75" t="s">
        <v>164</v>
      </c>
      <c r="CM51" s="25" t="s">
        <v>150</v>
      </c>
      <c r="CN51" s="75" t="s">
        <v>256</v>
      </c>
      <c r="CO51" s="25" t="s">
        <v>136</v>
      </c>
      <c r="CP51" s="344"/>
      <c r="CQ51" s="397"/>
      <c r="CR51" s="237"/>
      <c r="CS51" s="336"/>
    </row>
    <row r="52" spans="1:97" s="14" customFormat="1" ht="24" x14ac:dyDescent="0.25">
      <c r="A52" s="390">
        <v>43469</v>
      </c>
      <c r="B52" s="389" t="s">
        <v>12</v>
      </c>
      <c r="C52" s="31" t="s">
        <v>2598</v>
      </c>
      <c r="D52" s="389" t="s">
        <v>54</v>
      </c>
      <c r="E52" s="341" t="s">
        <v>2599</v>
      </c>
      <c r="F52" s="392" t="s">
        <v>2605</v>
      </c>
      <c r="G52" s="392"/>
      <c r="H52" s="392"/>
      <c r="I52" s="392"/>
      <c r="J52" s="389" t="s">
        <v>519</v>
      </c>
      <c r="K52" s="389" t="s">
        <v>2600</v>
      </c>
      <c r="L52" s="389"/>
      <c r="M52" s="389"/>
      <c r="N52" s="389"/>
      <c r="O52" s="389"/>
      <c r="P52" s="389"/>
      <c r="Q52" s="389"/>
      <c r="R52" s="389"/>
      <c r="S52" s="389"/>
      <c r="T52" s="389"/>
      <c r="U52" s="389"/>
      <c r="V52" s="389"/>
      <c r="W52" s="389"/>
      <c r="X52" s="389"/>
      <c r="Y52" s="389"/>
      <c r="Z52" s="389"/>
      <c r="AA52" s="389"/>
      <c r="AB52" s="389"/>
      <c r="AC52" s="389"/>
      <c r="AD52" s="389"/>
      <c r="AE52" s="389"/>
      <c r="AF52" s="389"/>
      <c r="AG52" s="389"/>
      <c r="AH52" s="389"/>
      <c r="AI52" s="389"/>
      <c r="AJ52" s="389"/>
      <c r="AK52" s="389"/>
      <c r="AL52" s="389"/>
      <c r="AM52" s="389"/>
      <c r="AN52" s="31" t="s">
        <v>2601</v>
      </c>
      <c r="AO52" s="31"/>
      <c r="AP52" s="31">
        <v>86695</v>
      </c>
      <c r="AQ52" s="33"/>
      <c r="AR52" s="31"/>
      <c r="AS52" s="33"/>
      <c r="AT52" s="25" t="s">
        <v>2602</v>
      </c>
      <c r="AU52" s="41"/>
      <c r="AV52" s="389"/>
      <c r="AW52" s="41"/>
      <c r="AX52" s="389"/>
      <c r="AY52" s="389"/>
      <c r="AZ52" s="389"/>
      <c r="BA52" s="389"/>
      <c r="BB52" s="389"/>
      <c r="BC52" s="389"/>
      <c r="BD52" s="389">
        <v>3695</v>
      </c>
      <c r="BE52" s="31" t="s">
        <v>2603</v>
      </c>
      <c r="BF52" s="389"/>
      <c r="BG52" s="389"/>
      <c r="BH52" s="389"/>
      <c r="BI52" s="389"/>
      <c r="BJ52" s="25">
        <v>33695</v>
      </c>
      <c r="BK52" s="170">
        <v>23.34</v>
      </c>
      <c r="BL52" s="393" t="s">
        <v>2604</v>
      </c>
      <c r="BM52" s="394">
        <v>10038568744040</v>
      </c>
      <c r="BN52" s="148"/>
      <c r="BO52" s="148"/>
      <c r="BP52" s="148"/>
      <c r="BQ52" s="164">
        <v>2.165</v>
      </c>
      <c r="BR52" s="164">
        <v>3.778</v>
      </c>
      <c r="BS52" s="164"/>
      <c r="BT52" s="156">
        <v>2.2799999999999998</v>
      </c>
      <c r="BU52" s="156">
        <v>2.2799999999999998</v>
      </c>
      <c r="BV52" s="156">
        <v>3.93</v>
      </c>
      <c r="BW52" s="47">
        <v>1.18E-2</v>
      </c>
      <c r="BX52" s="395">
        <v>0.06</v>
      </c>
      <c r="BY52" s="396">
        <v>7.24</v>
      </c>
      <c r="BZ52" s="396">
        <v>4.76</v>
      </c>
      <c r="CA52" s="396">
        <v>4.0199999999999996</v>
      </c>
      <c r="CB52" s="47">
        <v>8.0170000000000005E-2</v>
      </c>
      <c r="CC52" s="395">
        <v>0.21</v>
      </c>
      <c r="CD52" s="395">
        <v>0.39600000000000002</v>
      </c>
      <c r="CE52" s="395">
        <v>2.37</v>
      </c>
      <c r="CF52" s="75" t="s">
        <v>2423</v>
      </c>
      <c r="CG52" s="75">
        <v>6</v>
      </c>
      <c r="CH52" s="75">
        <v>42</v>
      </c>
      <c r="CI52" s="75">
        <v>9</v>
      </c>
      <c r="CJ52" s="153">
        <v>2268</v>
      </c>
      <c r="CK52" s="153">
        <f>CJ52*CD52</f>
        <v>898.12800000000004</v>
      </c>
      <c r="CL52" s="75" t="s">
        <v>139</v>
      </c>
      <c r="CM52" s="25" t="s">
        <v>150</v>
      </c>
      <c r="CN52" s="75" t="s">
        <v>256</v>
      </c>
      <c r="CO52" s="25" t="s">
        <v>136</v>
      </c>
      <c r="CP52" s="344"/>
      <c r="CQ52" s="397"/>
      <c r="CR52" s="237"/>
      <c r="CS52" s="336"/>
    </row>
    <row r="53" spans="1:97" s="14" customFormat="1" ht="46.5" x14ac:dyDescent="0.25">
      <c r="A53" s="390">
        <v>43469</v>
      </c>
      <c r="B53" s="398" t="s">
        <v>12</v>
      </c>
      <c r="C53" s="31" t="s">
        <v>2606</v>
      </c>
      <c r="D53" s="398" t="s">
        <v>54</v>
      </c>
      <c r="E53" s="399" t="s">
        <v>2607</v>
      </c>
      <c r="F53" s="392" t="s">
        <v>2608</v>
      </c>
      <c r="G53" s="392"/>
      <c r="H53" s="392"/>
      <c r="I53" s="392"/>
      <c r="J53" s="398" t="s">
        <v>705</v>
      </c>
      <c r="K53" s="341" t="s">
        <v>2609</v>
      </c>
      <c r="L53" s="398"/>
      <c r="M53" s="398"/>
      <c r="N53" s="398"/>
      <c r="O53" s="398"/>
      <c r="P53" s="398"/>
      <c r="Q53" s="398"/>
      <c r="R53" s="398"/>
      <c r="S53" s="398"/>
      <c r="T53" s="398"/>
      <c r="U53" s="398"/>
      <c r="V53" s="398"/>
      <c r="W53" s="398"/>
      <c r="X53" s="398"/>
      <c r="Y53" s="398"/>
      <c r="Z53" s="398"/>
      <c r="AA53" s="398"/>
      <c r="AB53" s="398"/>
      <c r="AC53" s="398"/>
      <c r="AD53" s="398"/>
      <c r="AE53" s="398"/>
      <c r="AF53" s="398"/>
      <c r="AG53" s="398"/>
      <c r="AH53" s="398"/>
      <c r="AI53" s="398"/>
      <c r="AJ53" s="398"/>
      <c r="AK53" s="398"/>
      <c r="AL53" s="398"/>
      <c r="AM53" s="398"/>
      <c r="AN53" s="31" t="s">
        <v>2610</v>
      </c>
      <c r="AO53" s="31"/>
      <c r="AP53" s="31"/>
      <c r="AQ53" s="33"/>
      <c r="AR53" s="31" t="s">
        <v>2611</v>
      </c>
      <c r="AS53" s="33"/>
      <c r="AT53" s="388" t="s">
        <v>2612</v>
      </c>
      <c r="AU53" s="41"/>
      <c r="AV53" s="398"/>
      <c r="AW53" s="41"/>
      <c r="AX53" s="398"/>
      <c r="AY53" s="398"/>
      <c r="AZ53" s="398"/>
      <c r="BA53" s="398"/>
      <c r="BB53" s="398"/>
      <c r="BC53" s="398"/>
      <c r="BD53" s="398"/>
      <c r="BE53" s="31"/>
      <c r="BF53" s="398"/>
      <c r="BG53" s="398"/>
      <c r="BH53" s="398"/>
      <c r="BI53" s="398"/>
      <c r="BJ53" s="25"/>
      <c r="BK53" s="170">
        <v>125.77</v>
      </c>
      <c r="BL53" s="393" t="s">
        <v>2616</v>
      </c>
      <c r="BM53" s="394">
        <v>10038568746020</v>
      </c>
      <c r="BN53" s="148"/>
      <c r="BO53" s="148"/>
      <c r="BP53" s="148"/>
      <c r="BQ53" s="164">
        <v>13.06</v>
      </c>
      <c r="BR53" s="164">
        <v>25.73</v>
      </c>
      <c r="BS53" s="164"/>
      <c r="BT53" s="156"/>
      <c r="BU53" s="156"/>
      <c r="BV53" s="156"/>
      <c r="BW53" s="47"/>
      <c r="BX53" s="395"/>
      <c r="BY53" s="396">
        <v>26.52</v>
      </c>
      <c r="BZ53" s="396">
        <v>14.34</v>
      </c>
      <c r="CA53" s="396">
        <v>14.68</v>
      </c>
      <c r="CB53" s="47">
        <v>3.23</v>
      </c>
      <c r="CC53" s="395">
        <v>2.85</v>
      </c>
      <c r="CD53" s="395">
        <v>13.52</v>
      </c>
      <c r="CE53" s="395">
        <v>13.52</v>
      </c>
      <c r="CF53" s="75" t="s">
        <v>2423</v>
      </c>
      <c r="CG53" s="75">
        <v>1</v>
      </c>
      <c r="CH53" s="75">
        <v>6</v>
      </c>
      <c r="CI53" s="75">
        <v>1</v>
      </c>
      <c r="CJ53" s="153">
        <v>6</v>
      </c>
      <c r="CK53" s="153">
        <f>CE53*6</f>
        <v>81.12</v>
      </c>
      <c r="CL53" s="75" t="s">
        <v>256</v>
      </c>
      <c r="CM53" s="25" t="s">
        <v>136</v>
      </c>
      <c r="CN53" s="344"/>
      <c r="CO53" s="344"/>
      <c r="CP53" s="237"/>
      <c r="CQ53" s="336"/>
    </row>
    <row r="54" spans="1:97" ht="46.5" x14ac:dyDescent="0.25">
      <c r="A54" s="390">
        <v>43469</v>
      </c>
      <c r="B54" s="398" t="s">
        <v>12</v>
      </c>
      <c r="C54" s="31" t="s">
        <v>2613</v>
      </c>
      <c r="D54" s="398" t="s">
        <v>54</v>
      </c>
      <c r="E54" s="399" t="s">
        <v>2614</v>
      </c>
      <c r="F54" s="392" t="s">
        <v>2608</v>
      </c>
      <c r="G54" s="392"/>
      <c r="H54" s="392"/>
      <c r="I54" s="392"/>
      <c r="J54" s="398" t="s">
        <v>705</v>
      </c>
      <c r="K54" s="341" t="s">
        <v>2615</v>
      </c>
      <c r="L54" s="398"/>
      <c r="M54" s="398"/>
      <c r="N54" s="398"/>
      <c r="O54" s="398"/>
      <c r="P54" s="398"/>
      <c r="Q54" s="398"/>
      <c r="R54" s="398"/>
      <c r="S54" s="398"/>
      <c r="T54" s="398"/>
      <c r="U54" s="398"/>
      <c r="V54" s="398"/>
      <c r="W54" s="398"/>
      <c r="X54" s="398"/>
      <c r="Y54" s="398"/>
      <c r="Z54" s="398"/>
      <c r="AA54" s="398"/>
      <c r="AB54" s="398"/>
      <c r="AC54" s="398"/>
      <c r="AD54" s="398"/>
      <c r="AE54" s="398"/>
      <c r="AF54" s="398"/>
      <c r="AG54" s="398"/>
      <c r="AH54" s="398"/>
      <c r="AI54" s="398"/>
      <c r="AJ54" s="398"/>
      <c r="AK54" s="398"/>
      <c r="AL54" s="398"/>
      <c r="AM54" s="398"/>
      <c r="AN54" s="31" t="s">
        <v>2610</v>
      </c>
      <c r="AO54" s="31"/>
      <c r="AP54" s="31"/>
      <c r="AQ54" s="33"/>
      <c r="AR54" s="31" t="s">
        <v>2446</v>
      </c>
      <c r="AS54" s="33"/>
      <c r="AT54" s="388" t="s">
        <v>2612</v>
      </c>
      <c r="AU54" s="41"/>
      <c r="AV54" s="398"/>
      <c r="AW54" s="41"/>
      <c r="AX54" s="398"/>
      <c r="AY54" s="398"/>
      <c r="AZ54" s="398"/>
      <c r="BA54" s="398"/>
      <c r="BB54" s="398"/>
      <c r="BC54" s="398"/>
      <c r="BD54" s="398"/>
      <c r="BE54" s="31"/>
      <c r="BF54" s="398"/>
      <c r="BG54" s="398"/>
      <c r="BH54" s="398"/>
      <c r="BI54" s="398"/>
      <c r="BJ54" s="25"/>
      <c r="BK54" s="170">
        <v>173.01</v>
      </c>
      <c r="BL54" s="393" t="s">
        <v>2617</v>
      </c>
      <c r="BM54" s="394">
        <v>10038568746013</v>
      </c>
      <c r="BN54" s="148"/>
      <c r="BO54" s="148"/>
      <c r="BP54" s="148"/>
      <c r="BQ54" s="164">
        <v>13.06</v>
      </c>
      <c r="BR54" s="164">
        <v>25.73</v>
      </c>
      <c r="BS54" s="164"/>
      <c r="BT54" s="156"/>
      <c r="BU54" s="156"/>
      <c r="BV54" s="156"/>
      <c r="BW54" s="47"/>
      <c r="BX54" s="395"/>
      <c r="BY54" s="396">
        <v>26.52</v>
      </c>
      <c r="BZ54" s="396">
        <v>14.34</v>
      </c>
      <c r="CA54" s="396">
        <v>14.68</v>
      </c>
      <c r="CB54" s="47">
        <v>3.23</v>
      </c>
      <c r="CC54" s="395">
        <v>2.85</v>
      </c>
      <c r="CD54" s="395">
        <v>13.52</v>
      </c>
      <c r="CE54" s="395">
        <v>13.52</v>
      </c>
      <c r="CF54" s="75" t="s">
        <v>2423</v>
      </c>
      <c r="CG54" s="75">
        <v>1</v>
      </c>
      <c r="CH54" s="75">
        <v>6</v>
      </c>
      <c r="CI54" s="75">
        <v>1</v>
      </c>
      <c r="CJ54" s="153">
        <v>6</v>
      </c>
      <c r="CK54" s="153">
        <f>CE54*6</f>
        <v>81.12</v>
      </c>
      <c r="CL54" s="75" t="s">
        <v>256</v>
      </c>
      <c r="CM54" s="25" t="s">
        <v>136</v>
      </c>
      <c r="CN54" s="23"/>
      <c r="CO54" s="20"/>
      <c r="CP54" s="14"/>
      <c r="CQ54" s="14"/>
    </row>
    <row r="55" spans="1:97" x14ac:dyDescent="0.25">
      <c r="A55" s="358">
        <v>43409</v>
      </c>
      <c r="B55" s="385" t="s">
        <v>12</v>
      </c>
      <c r="C55" s="31" t="s">
        <v>2551</v>
      </c>
      <c r="D55" s="385" t="s">
        <v>54</v>
      </c>
      <c r="E55" s="169" t="s">
        <v>2561</v>
      </c>
      <c r="F55" s="26" t="s">
        <v>2552</v>
      </c>
      <c r="G55" s="26"/>
      <c r="H55" s="26"/>
      <c r="I55" s="26"/>
      <c r="J55" s="385" t="s">
        <v>894</v>
      </c>
      <c r="K55" s="26">
        <v>5303604</v>
      </c>
      <c r="L55" s="385" t="s">
        <v>44</v>
      </c>
      <c r="M55" s="385" t="s">
        <v>2553</v>
      </c>
      <c r="N55" s="385" t="s">
        <v>894</v>
      </c>
      <c r="O55" s="385">
        <v>2880298</v>
      </c>
      <c r="P55" s="385" t="s">
        <v>894</v>
      </c>
      <c r="Q55" s="385">
        <v>2888182</v>
      </c>
      <c r="R55" s="385" t="s">
        <v>721</v>
      </c>
      <c r="S55" s="385">
        <v>21496419</v>
      </c>
      <c r="T55" s="385" t="s">
        <v>721</v>
      </c>
      <c r="U55" s="385">
        <v>21516229</v>
      </c>
      <c r="V55" s="385" t="s">
        <v>721</v>
      </c>
      <c r="W55" s="385">
        <v>97177027</v>
      </c>
      <c r="X55" s="385" t="s">
        <v>226</v>
      </c>
      <c r="Y55" s="385">
        <v>3783187</v>
      </c>
      <c r="Z55" s="385" t="s">
        <v>333</v>
      </c>
      <c r="AA55" s="385" t="s">
        <v>2557</v>
      </c>
      <c r="AB55" s="385" t="s">
        <v>1972</v>
      </c>
      <c r="AC55" s="385">
        <v>21496421</v>
      </c>
      <c r="AD55" s="385" t="s">
        <v>1972</v>
      </c>
      <c r="AE55" s="385">
        <v>21516231</v>
      </c>
      <c r="AF55" s="385" t="s">
        <v>2558</v>
      </c>
      <c r="AG55" s="385" t="s">
        <v>2559</v>
      </c>
      <c r="AH55" s="387" t="s">
        <v>2560</v>
      </c>
      <c r="AI55" s="387">
        <v>2934690</v>
      </c>
      <c r="AJ55" s="387" t="s">
        <v>2560</v>
      </c>
      <c r="AK55" s="387">
        <v>4601354</v>
      </c>
      <c r="AL55" s="387" t="s">
        <v>2560</v>
      </c>
      <c r="AM55" s="387">
        <v>4602317</v>
      </c>
      <c r="AN55" s="31"/>
      <c r="AO55" s="31" t="s">
        <v>2586</v>
      </c>
      <c r="AP55" s="31"/>
      <c r="AQ55" s="33"/>
      <c r="AR55" s="31"/>
      <c r="AS55" s="33"/>
      <c r="AT55" s="25" t="s">
        <v>2554</v>
      </c>
      <c r="AU55" s="41"/>
      <c r="AV55" s="385"/>
      <c r="AW55" s="41" t="s">
        <v>2587</v>
      </c>
      <c r="AX55" s="385"/>
      <c r="AY55" s="385"/>
      <c r="AZ55" s="385"/>
      <c r="BA55" s="385" t="s">
        <v>2588</v>
      </c>
      <c r="BB55" s="385"/>
      <c r="BC55" s="385"/>
      <c r="BD55" s="385"/>
      <c r="BE55" s="31"/>
      <c r="BF55" s="385"/>
      <c r="BG55" s="385"/>
      <c r="BH55" s="385"/>
      <c r="BI55" s="385"/>
      <c r="BJ55" s="25" t="s">
        <v>2555</v>
      </c>
      <c r="BK55" s="170">
        <v>101.95</v>
      </c>
      <c r="BL55" s="377" t="s">
        <v>2556</v>
      </c>
      <c r="BM55" s="187">
        <v>10038568746419</v>
      </c>
      <c r="BN55" s="38"/>
      <c r="BO55" s="38"/>
      <c r="BP55" s="38"/>
      <c r="BQ55" s="384">
        <v>2.09</v>
      </c>
      <c r="BR55" s="384">
        <v>3.7589999999999999</v>
      </c>
      <c r="BS55" s="384"/>
      <c r="BT55" s="116">
        <v>2.2400000000000002</v>
      </c>
      <c r="BU55" s="116">
        <v>2.2400000000000002</v>
      </c>
      <c r="BV55" s="116">
        <v>5.51</v>
      </c>
      <c r="BW55" s="386">
        <v>1.6E-2</v>
      </c>
      <c r="BX55" s="188">
        <v>3.3000000000000002E-2</v>
      </c>
      <c r="BY55" s="189">
        <v>9.84</v>
      </c>
      <c r="BZ55" s="189">
        <v>7.48</v>
      </c>
      <c r="CA55" s="189">
        <v>6.29</v>
      </c>
      <c r="CB55" s="386">
        <v>0.26916000000000001</v>
      </c>
      <c r="CC55" s="188">
        <v>0.04</v>
      </c>
      <c r="CD55" s="188">
        <v>0.57299999999999995</v>
      </c>
      <c r="CE55" s="188">
        <f>CD55*12</f>
        <v>6.8759999999999994</v>
      </c>
      <c r="CF55" s="72" t="s">
        <v>2423</v>
      </c>
      <c r="CG55" s="72">
        <v>12</v>
      </c>
      <c r="CH55" s="72">
        <v>20</v>
      </c>
      <c r="CI55" s="72">
        <v>6</v>
      </c>
      <c r="CJ55" s="27">
        <v>1440</v>
      </c>
      <c r="CK55" s="27">
        <f>CJ55*CD55</f>
        <v>825.11999999999989</v>
      </c>
      <c r="CL55" s="72" t="s">
        <v>139</v>
      </c>
      <c r="CM55" s="25" t="s">
        <v>150</v>
      </c>
      <c r="CN55" s="23"/>
      <c r="CO55" s="20"/>
      <c r="CP55" s="14"/>
      <c r="CQ55" s="14"/>
    </row>
    <row r="56" spans="1:97" x14ac:dyDescent="0.25">
      <c r="A56" s="358">
        <v>43409</v>
      </c>
      <c r="B56" s="385" t="s">
        <v>12</v>
      </c>
      <c r="C56" s="31" t="s">
        <v>2589</v>
      </c>
      <c r="D56" s="385" t="s">
        <v>54</v>
      </c>
      <c r="E56" s="169" t="s">
        <v>2561</v>
      </c>
      <c r="F56" s="26" t="s">
        <v>2590</v>
      </c>
      <c r="G56" s="26"/>
      <c r="H56" s="26"/>
      <c r="I56" s="26"/>
      <c r="J56" s="385" t="s">
        <v>2476</v>
      </c>
      <c r="K56" s="26" t="s">
        <v>2591</v>
      </c>
      <c r="L56" s="385" t="s">
        <v>2592</v>
      </c>
      <c r="M56" s="385" t="s">
        <v>2593</v>
      </c>
      <c r="N56" s="385"/>
      <c r="O56" s="385"/>
      <c r="P56" s="385"/>
      <c r="Q56" s="385"/>
      <c r="R56" s="385"/>
      <c r="S56" s="385"/>
      <c r="T56" s="385"/>
      <c r="U56" s="385"/>
      <c r="V56" s="385"/>
      <c r="W56" s="385"/>
      <c r="X56" s="385"/>
      <c r="Y56" s="385"/>
      <c r="Z56" s="385"/>
      <c r="AA56" s="385"/>
      <c r="AB56" s="385"/>
      <c r="AC56" s="385"/>
      <c r="AD56" s="385"/>
      <c r="AE56" s="385"/>
      <c r="AF56" s="385"/>
      <c r="AG56" s="385"/>
      <c r="AH56" s="385"/>
      <c r="AI56" s="385"/>
      <c r="AJ56" s="385"/>
      <c r="AK56" s="385"/>
      <c r="AL56" s="385"/>
      <c r="AM56" s="385"/>
      <c r="AN56" s="388" t="s">
        <v>2594</v>
      </c>
      <c r="AO56" s="31"/>
      <c r="AP56" s="31"/>
      <c r="AQ56" s="33"/>
      <c r="AR56" s="31"/>
      <c r="AS56" s="33"/>
      <c r="AT56" s="25" t="s">
        <v>2595</v>
      </c>
      <c r="AU56" s="41"/>
      <c r="AV56" s="385"/>
      <c r="AW56" s="385" t="s">
        <v>2596</v>
      </c>
      <c r="AX56" s="385"/>
      <c r="AY56" s="385"/>
      <c r="AZ56" s="385"/>
      <c r="BA56" s="385"/>
      <c r="BB56" s="385"/>
      <c r="BC56" s="385"/>
      <c r="BD56" s="385"/>
      <c r="BE56" s="31"/>
      <c r="BF56" s="385"/>
      <c r="BG56" s="385"/>
      <c r="BH56" s="385"/>
      <c r="BI56" s="385"/>
      <c r="BJ56" s="25"/>
      <c r="BK56" s="170">
        <v>43.44</v>
      </c>
      <c r="BL56" s="377" t="s">
        <v>2597</v>
      </c>
      <c r="BM56" s="187">
        <v>10038568746402</v>
      </c>
      <c r="BN56" s="38"/>
      <c r="BO56" s="38"/>
      <c r="BP56" s="38"/>
      <c r="BQ56" s="384">
        <v>2.7949999999999999</v>
      </c>
      <c r="BR56" s="384">
        <v>3.8780000000000001</v>
      </c>
      <c r="BS56" s="384"/>
      <c r="BT56" s="116">
        <v>3.14</v>
      </c>
      <c r="BU56" s="116">
        <v>3.14</v>
      </c>
      <c r="BV56" s="116">
        <v>4.37</v>
      </c>
      <c r="BW56" s="386">
        <v>2.4899999999999999E-2</v>
      </c>
      <c r="BX56" s="188">
        <v>0.04</v>
      </c>
      <c r="BY56" s="189">
        <v>12.99</v>
      </c>
      <c r="BZ56" s="189">
        <v>9.84</v>
      </c>
      <c r="CA56" s="189">
        <v>5.35</v>
      </c>
      <c r="CB56" s="386">
        <v>0.3957</v>
      </c>
      <c r="CC56" s="188">
        <v>5.8999999999999997E-2</v>
      </c>
      <c r="CD56" s="188">
        <v>0.59916000000000003</v>
      </c>
      <c r="CE56" s="188">
        <v>7.1879999999999997</v>
      </c>
      <c r="CF56" s="72" t="s">
        <v>2423</v>
      </c>
      <c r="CG56" s="72">
        <v>12</v>
      </c>
      <c r="CH56" s="72">
        <v>11</v>
      </c>
      <c r="CI56" s="72">
        <v>7</v>
      </c>
      <c r="CJ56" s="27">
        <v>924</v>
      </c>
      <c r="CK56" s="27">
        <f>CJ56*0.599</f>
        <v>553.476</v>
      </c>
      <c r="CL56" s="72" t="s">
        <v>139</v>
      </c>
      <c r="CM56" s="25" t="s">
        <v>150</v>
      </c>
      <c r="CN56" s="10"/>
      <c r="CO56" s="14"/>
      <c r="CP56" s="14"/>
      <c r="CQ56" s="14"/>
    </row>
    <row r="57" spans="1:97" s="14" customFormat="1" x14ac:dyDescent="0.25">
      <c r="A57" s="358">
        <v>43367</v>
      </c>
      <c r="B57" s="380" t="s">
        <v>12</v>
      </c>
      <c r="C57" s="31" t="s">
        <v>2571</v>
      </c>
      <c r="D57" s="380" t="s">
        <v>54</v>
      </c>
      <c r="E57" s="169" t="s">
        <v>2572</v>
      </c>
      <c r="F57" s="26" t="s">
        <v>2573</v>
      </c>
      <c r="G57" s="26"/>
      <c r="H57" s="26"/>
      <c r="I57" s="26"/>
      <c r="J57" s="380" t="s">
        <v>2574</v>
      </c>
      <c r="K57" s="26" t="s">
        <v>2575</v>
      </c>
      <c r="L57" s="380" t="s">
        <v>107</v>
      </c>
      <c r="M57" s="380">
        <v>25043809</v>
      </c>
      <c r="N57" s="380"/>
      <c r="O57" s="380"/>
      <c r="P57" s="380"/>
      <c r="Q57" s="380"/>
      <c r="R57" s="380"/>
      <c r="S57" s="380"/>
      <c r="T57" s="380"/>
      <c r="U57" s="380"/>
      <c r="V57" s="380"/>
      <c r="W57" s="380"/>
      <c r="X57" s="380"/>
      <c r="Y57" s="380"/>
      <c r="Z57" s="380"/>
      <c r="AA57" s="380"/>
      <c r="AB57" s="380"/>
      <c r="AC57" s="380"/>
      <c r="AD57" s="380"/>
      <c r="AE57" s="380"/>
      <c r="AF57" s="380"/>
      <c r="AG57" s="380"/>
      <c r="AH57" s="380"/>
      <c r="AI57" s="380"/>
      <c r="AJ57" s="380"/>
      <c r="AK57" s="380"/>
      <c r="AL57" s="380"/>
      <c r="AM57" s="380"/>
      <c r="AN57" s="31" t="s">
        <v>2577</v>
      </c>
      <c r="AO57" s="31"/>
      <c r="AP57" s="31"/>
      <c r="AQ57" s="33"/>
      <c r="AR57" s="31"/>
      <c r="AS57" s="33"/>
      <c r="AT57" s="25" t="s">
        <v>2578</v>
      </c>
      <c r="AU57" s="41" t="s">
        <v>2579</v>
      </c>
      <c r="AV57" s="380" t="s">
        <v>2580</v>
      </c>
      <c r="AW57" s="41"/>
      <c r="AX57" s="380"/>
      <c r="AY57" s="380"/>
      <c r="AZ57" s="380"/>
      <c r="BA57" s="380"/>
      <c r="BB57" s="380"/>
      <c r="BC57" s="380"/>
      <c r="BD57" s="380">
        <v>6247</v>
      </c>
      <c r="BE57" s="31" t="s">
        <v>2581</v>
      </c>
      <c r="BF57" s="380"/>
      <c r="BG57" s="380"/>
      <c r="BH57" s="380"/>
      <c r="BI57" s="380"/>
      <c r="BJ57" s="25">
        <v>46247</v>
      </c>
      <c r="BK57" s="170">
        <v>14.33</v>
      </c>
      <c r="BL57" s="377" t="s">
        <v>2584</v>
      </c>
      <c r="BM57" s="187">
        <v>10038568746167</v>
      </c>
      <c r="BN57" s="382">
        <v>6.89</v>
      </c>
      <c r="BO57" s="382">
        <v>6.89</v>
      </c>
      <c r="BP57" s="382">
        <v>5.79</v>
      </c>
      <c r="BQ57" s="36"/>
      <c r="BR57" s="36"/>
      <c r="BS57" s="36"/>
      <c r="BT57" s="116">
        <v>7.09</v>
      </c>
      <c r="BU57" s="116">
        <v>7.09</v>
      </c>
      <c r="BV57" s="116">
        <v>6.3</v>
      </c>
      <c r="BW57" s="38"/>
      <c r="BX57" s="188">
        <v>0.14000000000000001</v>
      </c>
      <c r="BY57" s="189">
        <v>23.23</v>
      </c>
      <c r="BZ57" s="189">
        <v>15.36</v>
      </c>
      <c r="CA57" s="189">
        <v>6.77</v>
      </c>
      <c r="CB57" s="382">
        <v>0.71534351399999996</v>
      </c>
      <c r="CC57" s="188">
        <v>1.37</v>
      </c>
      <c r="CD57" s="188">
        <v>0.78666700000000001</v>
      </c>
      <c r="CE57" s="188">
        <f>CD57*6</f>
        <v>4.720002</v>
      </c>
      <c r="CF57" s="72" t="s">
        <v>2423</v>
      </c>
      <c r="CG57" s="72">
        <v>6</v>
      </c>
      <c r="CH57" s="72">
        <v>5</v>
      </c>
      <c r="CI57" s="72">
        <v>5</v>
      </c>
      <c r="CJ57" s="27">
        <v>150</v>
      </c>
      <c r="CK57" s="27">
        <f>CJ57*CD57</f>
        <v>118.00005</v>
      </c>
      <c r="CL57" s="72" t="s">
        <v>135</v>
      </c>
      <c r="CM57" s="25" t="s">
        <v>136</v>
      </c>
      <c r="CN57" s="344"/>
      <c r="CO57" s="344"/>
      <c r="CP57" s="237"/>
      <c r="CQ57" s="336"/>
    </row>
    <row r="58" spans="1:97" s="14" customFormat="1" ht="30" x14ac:dyDescent="0.25">
      <c r="A58" s="358">
        <v>43367</v>
      </c>
      <c r="B58" s="380" t="s">
        <v>12</v>
      </c>
      <c r="C58" s="31" t="s">
        <v>2576</v>
      </c>
      <c r="D58" s="380" t="s">
        <v>54</v>
      </c>
      <c r="E58" s="169" t="s">
        <v>1785</v>
      </c>
      <c r="F58" s="26" t="s">
        <v>2583</v>
      </c>
      <c r="G58" s="26"/>
      <c r="H58" s="26"/>
      <c r="I58" s="26"/>
      <c r="J58" s="380" t="s">
        <v>1972</v>
      </c>
      <c r="K58" s="26">
        <v>85151124</v>
      </c>
      <c r="L58" s="380"/>
      <c r="M58" s="380"/>
      <c r="N58" s="380"/>
      <c r="O58" s="380"/>
      <c r="P58" s="380"/>
      <c r="Q58" s="380"/>
      <c r="R58" s="380"/>
      <c r="S58" s="380"/>
      <c r="T58" s="380"/>
      <c r="U58" s="380"/>
      <c r="V58" s="380"/>
      <c r="W58" s="380"/>
      <c r="X58" s="380"/>
      <c r="Y58" s="380"/>
      <c r="Z58" s="380"/>
      <c r="AA58" s="380"/>
      <c r="AB58" s="380"/>
      <c r="AC58" s="380"/>
      <c r="AD58" s="380"/>
      <c r="AE58" s="380"/>
      <c r="AF58" s="380"/>
      <c r="AG58" s="380"/>
      <c r="AH58" s="380"/>
      <c r="AI58" s="380"/>
      <c r="AJ58" s="380"/>
      <c r="AK58" s="380"/>
      <c r="AL58" s="380"/>
      <c r="AM58" s="380"/>
      <c r="AN58" s="31"/>
      <c r="AO58" s="31"/>
      <c r="AP58" s="31"/>
      <c r="AQ58" s="33"/>
      <c r="AR58" s="31"/>
      <c r="AS58" s="33"/>
      <c r="AT58" s="25"/>
      <c r="AU58" s="41"/>
      <c r="AV58" s="380"/>
      <c r="AW58" s="41"/>
      <c r="AX58" s="380"/>
      <c r="AY58" s="380"/>
      <c r="AZ58" s="380"/>
      <c r="BA58" s="380"/>
      <c r="BB58" s="380"/>
      <c r="BC58" s="380"/>
      <c r="BD58" s="380"/>
      <c r="BE58" s="31"/>
      <c r="BF58" s="380"/>
      <c r="BG58" s="380"/>
      <c r="BH58" s="380"/>
      <c r="BI58" s="380"/>
      <c r="BJ58" s="25" t="s">
        <v>2582</v>
      </c>
      <c r="BK58" s="170">
        <v>24.23</v>
      </c>
      <c r="BL58" s="377" t="s">
        <v>2585</v>
      </c>
      <c r="BM58" s="187">
        <v>10038568746150</v>
      </c>
      <c r="BN58" s="382">
        <v>9.84</v>
      </c>
      <c r="BO58" s="382">
        <v>9.84</v>
      </c>
      <c r="BP58" s="382">
        <v>0.98</v>
      </c>
      <c r="BQ58" s="36"/>
      <c r="BR58" s="36"/>
      <c r="BS58" s="36"/>
      <c r="BT58" s="116">
        <v>10.23</v>
      </c>
      <c r="BU58" s="116">
        <v>1.18</v>
      </c>
      <c r="BV58" s="116">
        <v>10.23</v>
      </c>
      <c r="BW58" s="38"/>
      <c r="BX58" s="188">
        <v>0.1</v>
      </c>
      <c r="BY58" s="189">
        <v>11.02</v>
      </c>
      <c r="BZ58" s="189">
        <v>11.02</v>
      </c>
      <c r="CA58" s="189">
        <v>4.33</v>
      </c>
      <c r="CB58" s="382">
        <v>3.2861889999999998</v>
      </c>
      <c r="CC58" s="188">
        <v>0.4</v>
      </c>
      <c r="CD58" s="188">
        <v>0.26400230000000002</v>
      </c>
      <c r="CE58" s="188">
        <v>0.79200000000000004</v>
      </c>
      <c r="CF58" s="72" t="s">
        <v>2423</v>
      </c>
      <c r="CG58" s="72">
        <v>3</v>
      </c>
      <c r="CH58" s="72">
        <v>32</v>
      </c>
      <c r="CI58" s="72">
        <v>4</v>
      </c>
      <c r="CJ58" s="27">
        <v>384</v>
      </c>
      <c r="CK58" s="383">
        <f>CJ58*CD58</f>
        <v>101.37688320000001</v>
      </c>
      <c r="CL58" s="72" t="s">
        <v>139</v>
      </c>
      <c r="CM58" s="25" t="s">
        <v>140</v>
      </c>
      <c r="CN58" s="344"/>
      <c r="CO58" s="344"/>
      <c r="CP58" s="237"/>
      <c r="CQ58" s="336"/>
    </row>
    <row r="59" spans="1:97" s="14" customFormat="1" x14ac:dyDescent="0.25">
      <c r="A59" s="358">
        <v>43270</v>
      </c>
      <c r="B59" s="374" t="s">
        <v>12</v>
      </c>
      <c r="C59" s="31" t="s">
        <v>517</v>
      </c>
      <c r="D59" s="374" t="s">
        <v>54</v>
      </c>
      <c r="E59" s="169" t="s">
        <v>2548</v>
      </c>
      <c r="F59" s="26" t="s">
        <v>2549</v>
      </c>
      <c r="G59" s="183"/>
      <c r="H59" s="183"/>
      <c r="I59" s="183"/>
      <c r="J59" s="131" t="s">
        <v>519</v>
      </c>
      <c r="K59" s="26" t="s">
        <v>520</v>
      </c>
      <c r="L59" s="374"/>
      <c r="M59" s="374"/>
      <c r="N59" s="25"/>
      <c r="O59" s="26"/>
      <c r="P59" s="26"/>
      <c r="Q59" s="26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25" t="s">
        <v>521</v>
      </c>
      <c r="AO59" s="33"/>
      <c r="AP59" s="25"/>
      <c r="AQ59" s="33"/>
      <c r="AR59" s="31"/>
      <c r="AS59" s="33"/>
      <c r="AT59" s="25" t="s">
        <v>522</v>
      </c>
      <c r="AU59" s="41" t="s">
        <v>523</v>
      </c>
      <c r="AV59" s="374"/>
      <c r="AW59" s="41"/>
      <c r="AX59" s="374"/>
      <c r="AY59" s="374"/>
      <c r="AZ59" s="374"/>
      <c r="BA59" s="374"/>
      <c r="BB59" s="374"/>
      <c r="BC59" s="374"/>
      <c r="BD59" s="374"/>
      <c r="BE59" s="31"/>
      <c r="BF59" s="374"/>
      <c r="BG59" s="374"/>
      <c r="BH59" s="374"/>
      <c r="BI59" s="374"/>
      <c r="BJ59" s="25">
        <v>57707</v>
      </c>
      <c r="BK59" s="170">
        <v>35.18</v>
      </c>
      <c r="BL59" s="377" t="s">
        <v>2550</v>
      </c>
      <c r="BM59" s="187">
        <v>10038568741575</v>
      </c>
      <c r="BN59" s="38"/>
      <c r="BO59" s="38"/>
      <c r="BP59" s="38"/>
      <c r="BQ59" s="375">
        <v>3.83</v>
      </c>
      <c r="BR59" s="375">
        <v>7</v>
      </c>
      <c r="BS59" s="375"/>
      <c r="BT59" s="116">
        <v>3.875</v>
      </c>
      <c r="BU59" s="116">
        <v>3.875</v>
      </c>
      <c r="BV59" s="116">
        <v>7.25</v>
      </c>
      <c r="BW59" s="376">
        <v>6.2999899999999998E-2</v>
      </c>
      <c r="BX59" s="188">
        <v>0.19</v>
      </c>
      <c r="BY59" s="189">
        <v>16.187000000000001</v>
      </c>
      <c r="BZ59" s="189">
        <v>12.186999999999999</v>
      </c>
      <c r="CA59" s="189">
        <v>7.375</v>
      </c>
      <c r="CB59" s="376">
        <v>0.84194000000000002</v>
      </c>
      <c r="CC59" s="188">
        <v>1.68</v>
      </c>
      <c r="CD59" s="188">
        <v>1.3332999999999999</v>
      </c>
      <c r="CE59" s="188">
        <v>15.96</v>
      </c>
      <c r="CF59" s="72" t="s">
        <v>2465</v>
      </c>
      <c r="CG59" s="72">
        <v>12</v>
      </c>
      <c r="CH59" s="72">
        <v>9</v>
      </c>
      <c r="CI59" s="72">
        <v>5</v>
      </c>
      <c r="CJ59" s="27">
        <v>540</v>
      </c>
      <c r="CK59" s="27">
        <f>540*1.33</f>
        <v>718.2</v>
      </c>
      <c r="CL59" s="72" t="s">
        <v>256</v>
      </c>
      <c r="CM59" s="25" t="s">
        <v>150</v>
      </c>
      <c r="CN59" s="344"/>
      <c r="CO59" s="344"/>
      <c r="CP59" s="237"/>
      <c r="CQ59" s="336"/>
    </row>
    <row r="60" spans="1:97" s="14" customFormat="1" x14ac:dyDescent="0.25">
      <c r="A60" s="358">
        <v>43263</v>
      </c>
      <c r="B60" s="73" t="s">
        <v>12</v>
      </c>
      <c r="C60" s="72" t="s">
        <v>2543</v>
      </c>
      <c r="D60" s="213" t="s">
        <v>54</v>
      </c>
      <c r="E60" s="213" t="s">
        <v>1785</v>
      </c>
      <c r="F60" s="29" t="s">
        <v>2544</v>
      </c>
      <c r="G60" s="29"/>
      <c r="H60" s="29"/>
      <c r="I60" s="29"/>
      <c r="J60" s="223" t="s">
        <v>721</v>
      </c>
      <c r="K60" s="223">
        <v>22474709</v>
      </c>
      <c r="L60" s="16" t="s">
        <v>1972</v>
      </c>
      <c r="M60" s="16">
        <v>22094967</v>
      </c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 t="s">
        <v>2545</v>
      </c>
      <c r="AO60" s="16"/>
      <c r="AP60" s="16"/>
      <c r="AQ60" s="16"/>
      <c r="AR60" s="31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70">
        <v>50.19</v>
      </c>
      <c r="BL60" s="359" t="s">
        <v>2546</v>
      </c>
      <c r="BM60" s="360">
        <v>10038568745658</v>
      </c>
      <c r="BN60" s="275"/>
      <c r="BO60" s="275"/>
      <c r="BP60" s="275"/>
      <c r="BQ60" s="361">
        <v>4.28</v>
      </c>
      <c r="BR60" s="361">
        <v>9</v>
      </c>
      <c r="BS60" s="362"/>
      <c r="BT60" s="373">
        <v>4.5599999999999996</v>
      </c>
      <c r="BU60" s="373">
        <v>4.5599999999999996</v>
      </c>
      <c r="BV60" s="373">
        <v>9.5</v>
      </c>
      <c r="BW60" s="373">
        <v>0.12</v>
      </c>
      <c r="BX60" s="373">
        <v>0.18</v>
      </c>
      <c r="BY60" s="363">
        <v>14.49</v>
      </c>
      <c r="BZ60" s="24">
        <v>10.11</v>
      </c>
      <c r="CA60" s="363">
        <v>10.35</v>
      </c>
      <c r="CB60" s="363">
        <v>0.87743000000000004</v>
      </c>
      <c r="CC60" s="24">
        <v>0.72</v>
      </c>
      <c r="CD60" s="24">
        <v>2.9</v>
      </c>
      <c r="CE60" s="363">
        <v>17.399999999999999</v>
      </c>
      <c r="CF60" s="24" t="s">
        <v>2465</v>
      </c>
      <c r="CG60" s="101" t="s">
        <v>2547</v>
      </c>
      <c r="CH60" s="223">
        <v>11</v>
      </c>
      <c r="CI60" s="223">
        <v>4</v>
      </c>
      <c r="CJ60" s="24">
        <v>264</v>
      </c>
      <c r="CK60" s="101">
        <v>765.6</v>
      </c>
      <c r="CL60" s="24" t="s">
        <v>256</v>
      </c>
      <c r="CM60" s="79" t="s">
        <v>150</v>
      </c>
      <c r="CN60" s="344"/>
      <c r="CO60" s="344"/>
      <c r="CP60" s="237"/>
      <c r="CQ60" s="336"/>
    </row>
    <row r="61" spans="1:97" s="14" customFormat="1" x14ac:dyDescent="0.25">
      <c r="A61" s="358">
        <v>43250</v>
      </c>
      <c r="B61" s="73" t="s">
        <v>12</v>
      </c>
      <c r="C61" s="72" t="s">
        <v>2527</v>
      </c>
      <c r="D61" s="213" t="s">
        <v>54</v>
      </c>
      <c r="E61" s="213" t="s">
        <v>1785</v>
      </c>
      <c r="F61" s="29" t="s">
        <v>2528</v>
      </c>
      <c r="G61" s="29"/>
      <c r="H61" s="29"/>
      <c r="I61" s="29"/>
      <c r="J61" s="223" t="s">
        <v>2529</v>
      </c>
      <c r="K61" s="101" t="s">
        <v>2530</v>
      </c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 t="s">
        <v>2531</v>
      </c>
      <c r="AO61" s="16"/>
      <c r="AP61" s="16"/>
      <c r="AQ61" s="16"/>
      <c r="AR61" s="31" t="s">
        <v>2532</v>
      </c>
      <c r="AS61" s="16"/>
      <c r="AT61" s="16" t="s">
        <v>2533</v>
      </c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70">
        <v>9.2799999999999994</v>
      </c>
      <c r="BL61" s="359" t="s">
        <v>2538</v>
      </c>
      <c r="BM61" s="360">
        <v>10038568745580</v>
      </c>
      <c r="BN61" s="275">
        <v>6.73</v>
      </c>
      <c r="BO61" s="275">
        <v>0.24</v>
      </c>
      <c r="BP61" s="275">
        <v>9.5299999999999994</v>
      </c>
      <c r="BQ61" s="361"/>
      <c r="BR61" s="361"/>
      <c r="BS61" s="362"/>
      <c r="BT61" s="373">
        <v>6.89</v>
      </c>
      <c r="BU61" s="373">
        <v>0.47</v>
      </c>
      <c r="BV61" s="373">
        <v>9.64</v>
      </c>
      <c r="BW61" s="373">
        <v>1.8065000000000001E-2</v>
      </c>
      <c r="BX61" s="373">
        <v>0.03</v>
      </c>
      <c r="BY61" s="363">
        <v>7.28</v>
      </c>
      <c r="BZ61" s="24">
        <v>1.57</v>
      </c>
      <c r="CA61" s="363">
        <v>10.029999999999999</v>
      </c>
      <c r="CB61" s="363">
        <v>6.6339999999999996E-2</v>
      </c>
      <c r="CC61" s="24">
        <v>9.1999999999999998E-2</v>
      </c>
      <c r="CD61" s="24">
        <v>0.217997</v>
      </c>
      <c r="CE61" s="363">
        <v>0.65400000000000003</v>
      </c>
      <c r="CF61" s="24" t="s">
        <v>134</v>
      </c>
      <c r="CG61" s="101" t="s">
        <v>2539</v>
      </c>
      <c r="CH61" s="223">
        <v>20</v>
      </c>
      <c r="CI61" s="223">
        <v>27</v>
      </c>
      <c r="CJ61" s="24">
        <v>1620</v>
      </c>
      <c r="CK61" s="101">
        <v>353.16</v>
      </c>
      <c r="CL61" s="24" t="s">
        <v>139</v>
      </c>
      <c r="CM61" s="79" t="s">
        <v>140</v>
      </c>
      <c r="CN61" s="344"/>
      <c r="CO61" s="344"/>
      <c r="CP61" s="237"/>
      <c r="CQ61" s="336"/>
    </row>
    <row r="62" spans="1:97" s="14" customFormat="1" ht="30" x14ac:dyDescent="0.25">
      <c r="A62" s="358">
        <v>43250</v>
      </c>
      <c r="B62" s="73" t="s">
        <v>12</v>
      </c>
      <c r="C62" s="213" t="s">
        <v>2542</v>
      </c>
      <c r="D62" s="213" t="s">
        <v>54</v>
      </c>
      <c r="E62" s="213" t="s">
        <v>1785</v>
      </c>
      <c r="F62" s="231" t="s">
        <v>2541</v>
      </c>
      <c r="G62" s="231"/>
      <c r="H62" s="231"/>
      <c r="I62" s="231"/>
      <c r="J62" s="222" t="s">
        <v>2529</v>
      </c>
      <c r="K62" s="371" t="s">
        <v>2534</v>
      </c>
      <c r="L62" s="370"/>
      <c r="M62" s="370"/>
      <c r="N62" s="370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355" t="s">
        <v>2535</v>
      </c>
      <c r="AO62" s="33"/>
      <c r="AP62" s="25"/>
      <c r="AQ62" s="33"/>
      <c r="AR62" s="31" t="s">
        <v>2536</v>
      </c>
      <c r="AS62" s="33"/>
      <c r="AT62" s="25" t="s">
        <v>2537</v>
      </c>
      <c r="AU62" s="370"/>
      <c r="AV62" s="370"/>
      <c r="AW62" s="41"/>
      <c r="AX62" s="370"/>
      <c r="AY62" s="370"/>
      <c r="AZ62" s="370"/>
      <c r="BA62" s="370"/>
      <c r="BB62" s="370"/>
      <c r="BC62" s="370"/>
      <c r="BD62" s="370"/>
      <c r="BE62" s="31"/>
      <c r="BF62" s="370"/>
      <c r="BG62" s="370"/>
      <c r="BH62" s="370"/>
      <c r="BI62" s="370"/>
      <c r="BJ62" s="370"/>
      <c r="BK62" s="170">
        <v>8.98</v>
      </c>
      <c r="BL62" s="151" t="s">
        <v>2540</v>
      </c>
      <c r="BM62" s="364">
        <v>10038568745597</v>
      </c>
      <c r="BN62" s="275">
        <v>5.2</v>
      </c>
      <c r="BO62" s="275">
        <v>0.24</v>
      </c>
      <c r="BP62" s="275">
        <v>9.33</v>
      </c>
      <c r="BQ62" s="164"/>
      <c r="BR62" s="164"/>
      <c r="BS62" s="362"/>
      <c r="BT62" s="365">
        <v>5.31</v>
      </c>
      <c r="BU62" s="365">
        <v>0.47</v>
      </c>
      <c r="BV62" s="365">
        <v>9.64</v>
      </c>
      <c r="BW62" s="365">
        <v>1.39227E-2</v>
      </c>
      <c r="BX62" s="365">
        <v>0.05</v>
      </c>
      <c r="BY62" s="156">
        <v>5.7</v>
      </c>
      <c r="BZ62" s="156">
        <v>1.57</v>
      </c>
      <c r="CA62" s="156">
        <v>10.029999999999999</v>
      </c>
      <c r="CB62" s="156">
        <v>5.1943499999999997E-2</v>
      </c>
      <c r="CC62" s="157">
        <v>8.3000000000000004E-2</v>
      </c>
      <c r="CD62" s="363">
        <v>0.26400000000000001</v>
      </c>
      <c r="CE62" s="363">
        <v>0.78</v>
      </c>
      <c r="CF62" s="24" t="s">
        <v>134</v>
      </c>
      <c r="CG62" s="24" t="s">
        <v>2539</v>
      </c>
      <c r="CH62" s="24">
        <v>28</v>
      </c>
      <c r="CI62" s="24">
        <v>27</v>
      </c>
      <c r="CJ62" s="24">
        <v>2268</v>
      </c>
      <c r="CK62" s="101">
        <v>589.67999999999995</v>
      </c>
      <c r="CL62" s="24" t="s">
        <v>139</v>
      </c>
      <c r="CM62" s="79" t="s">
        <v>140</v>
      </c>
      <c r="CN62" s="344"/>
      <c r="CO62" s="344"/>
      <c r="CP62" s="237"/>
      <c r="CQ62" s="336"/>
    </row>
    <row r="63" spans="1:97" s="14" customFormat="1" ht="30" x14ac:dyDescent="0.25">
      <c r="A63" s="358">
        <v>43234</v>
      </c>
      <c r="B63" s="73" t="s">
        <v>12</v>
      </c>
      <c r="C63" s="72" t="s">
        <v>2511</v>
      </c>
      <c r="D63" s="213" t="s">
        <v>54</v>
      </c>
      <c r="E63" s="213" t="s">
        <v>2512</v>
      </c>
      <c r="F63" s="29" t="s">
        <v>2513</v>
      </c>
      <c r="G63" s="11"/>
      <c r="H63" s="11"/>
      <c r="I63" s="11"/>
      <c r="J63" s="1" t="s">
        <v>894</v>
      </c>
      <c r="K63" s="101">
        <v>5365988</v>
      </c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 t="s">
        <v>2514</v>
      </c>
      <c r="AO63" s="16"/>
      <c r="AP63" s="16"/>
      <c r="AQ63" s="16"/>
      <c r="AR63" s="16" t="s">
        <v>2515</v>
      </c>
      <c r="AS63" s="16"/>
      <c r="AT63" s="16" t="s">
        <v>2516</v>
      </c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70">
        <v>69.94</v>
      </c>
      <c r="BL63" s="359" t="s">
        <v>2523</v>
      </c>
      <c r="BM63" s="360">
        <v>10038568745962</v>
      </c>
      <c r="BN63" s="275"/>
      <c r="BO63" s="275"/>
      <c r="BP63" s="275"/>
      <c r="BQ63" s="361">
        <v>4.6500000000000004</v>
      </c>
      <c r="BR63" s="361">
        <v>8.9499999999999993</v>
      </c>
      <c r="BS63" s="362"/>
      <c r="BT63" s="594"/>
      <c r="BU63" s="595"/>
      <c r="BV63" s="595"/>
      <c r="BW63" s="595"/>
      <c r="BX63" s="596"/>
      <c r="BY63" s="363">
        <v>14.86</v>
      </c>
      <c r="BZ63" s="24">
        <v>9.99</v>
      </c>
      <c r="CA63" s="363">
        <v>10.48</v>
      </c>
      <c r="CB63" s="363">
        <v>1.1107039000000001</v>
      </c>
      <c r="CC63" s="24">
        <v>0.87</v>
      </c>
      <c r="CD63" s="24">
        <v>4.2450000000000001</v>
      </c>
      <c r="CE63" s="363">
        <v>25.47</v>
      </c>
      <c r="CF63" s="24" t="s">
        <v>2465</v>
      </c>
      <c r="CG63" s="101" t="s">
        <v>2524</v>
      </c>
      <c r="CH63" s="223">
        <v>12</v>
      </c>
      <c r="CI63" s="223">
        <v>4</v>
      </c>
      <c r="CJ63" s="24">
        <v>288</v>
      </c>
      <c r="CK63" s="101">
        <v>1222.56</v>
      </c>
      <c r="CL63" s="24" t="s">
        <v>256</v>
      </c>
      <c r="CM63" s="79" t="s">
        <v>150</v>
      </c>
      <c r="CN63" s="344"/>
      <c r="CO63" s="344"/>
    </row>
    <row r="64" spans="1:97" s="14" customFormat="1" x14ac:dyDescent="0.25">
      <c r="A64" s="358">
        <v>43234</v>
      </c>
      <c r="B64" s="73" t="s">
        <v>12</v>
      </c>
      <c r="C64" s="213" t="s">
        <v>2517</v>
      </c>
      <c r="D64" s="213" t="s">
        <v>54</v>
      </c>
      <c r="E64" s="213" t="s">
        <v>1785</v>
      </c>
      <c r="F64" s="175" t="s">
        <v>2518</v>
      </c>
      <c r="G64" s="175"/>
      <c r="H64" s="175"/>
      <c r="I64" s="175"/>
      <c r="J64" s="41" t="s">
        <v>2519</v>
      </c>
      <c r="K64" s="341" t="s">
        <v>2520</v>
      </c>
      <c r="L64" s="366"/>
      <c r="M64" s="366"/>
      <c r="N64" s="36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355" t="s">
        <v>2521</v>
      </c>
      <c r="AO64" s="33"/>
      <c r="AP64" s="25"/>
      <c r="AQ64" s="33"/>
      <c r="AR64" s="31"/>
      <c r="AS64" s="33"/>
      <c r="AT64" s="25" t="s">
        <v>2522</v>
      </c>
      <c r="AU64" s="366"/>
      <c r="AV64" s="366"/>
      <c r="AW64" s="41"/>
      <c r="AX64" s="366"/>
      <c r="AY64" s="366"/>
      <c r="AZ64" s="366"/>
      <c r="BA64" s="366"/>
      <c r="BB64" s="366"/>
      <c r="BC64" s="366"/>
      <c r="BD64" s="366"/>
      <c r="BE64" s="31"/>
      <c r="BF64" s="366"/>
      <c r="BG64" s="366"/>
      <c r="BH64" s="366"/>
      <c r="BI64" s="366"/>
      <c r="BJ64" s="366">
        <v>24479</v>
      </c>
      <c r="BK64" s="170">
        <v>19.670000000000002</v>
      </c>
      <c r="BL64" s="151" t="s">
        <v>2525</v>
      </c>
      <c r="BM64" s="364">
        <v>10038568746136</v>
      </c>
      <c r="BN64" s="275">
        <v>7.87</v>
      </c>
      <c r="BO64" s="275">
        <v>1.1599999999999999</v>
      </c>
      <c r="BP64" s="275">
        <v>9.0500000000000007</v>
      </c>
      <c r="BQ64" s="164"/>
      <c r="BR64" s="164"/>
      <c r="BS64" s="362"/>
      <c r="BT64" s="365">
        <v>8.93</v>
      </c>
      <c r="BU64" s="365">
        <v>1.31</v>
      </c>
      <c r="BV64" s="365">
        <v>9.75</v>
      </c>
      <c r="BW64" s="365"/>
      <c r="BX64" s="365">
        <v>0.12</v>
      </c>
      <c r="BY64" s="156">
        <v>10.49</v>
      </c>
      <c r="BZ64" s="156">
        <v>9.99</v>
      </c>
      <c r="CA64" s="156">
        <v>4.7300000000000004</v>
      </c>
      <c r="CB64" s="156">
        <v>3.4861426</v>
      </c>
      <c r="CC64" s="157">
        <v>0.34</v>
      </c>
      <c r="CD64" s="363">
        <v>0.36</v>
      </c>
      <c r="CE64" s="363">
        <v>1.0900000000000001</v>
      </c>
      <c r="CF64" s="24" t="s">
        <v>2465</v>
      </c>
      <c r="CG64" s="24" t="s">
        <v>2526</v>
      </c>
      <c r="CH64" s="24">
        <v>16</v>
      </c>
      <c r="CI64" s="24">
        <v>9</v>
      </c>
      <c r="CJ64" s="24">
        <v>432</v>
      </c>
      <c r="CK64" s="101">
        <v>470.88</v>
      </c>
      <c r="CL64" s="24" t="s">
        <v>256</v>
      </c>
      <c r="CM64" s="153" t="s">
        <v>140</v>
      </c>
      <c r="CN64" s="344"/>
      <c r="CO64" s="344"/>
    </row>
    <row r="65" spans="1:99" s="14" customFormat="1" ht="45" x14ac:dyDescent="0.25">
      <c r="A65" s="358">
        <v>43144</v>
      </c>
      <c r="B65" s="73" t="s">
        <v>12</v>
      </c>
      <c r="C65" s="72" t="s">
        <v>2499</v>
      </c>
      <c r="D65" s="213" t="s">
        <v>54</v>
      </c>
      <c r="E65" s="213" t="s">
        <v>2500</v>
      </c>
      <c r="F65" s="29" t="s">
        <v>2501</v>
      </c>
      <c r="G65" s="11"/>
      <c r="H65" s="11"/>
      <c r="I65" s="11"/>
      <c r="J65" s="1" t="s">
        <v>1972</v>
      </c>
      <c r="K65" s="101" t="s">
        <v>2502</v>
      </c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 t="s">
        <v>2503</v>
      </c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70">
        <v>81.88</v>
      </c>
      <c r="BL65" s="359" t="s">
        <v>2508</v>
      </c>
      <c r="BM65" s="360">
        <v>10038568745405</v>
      </c>
      <c r="BN65" s="275"/>
      <c r="BO65" s="275"/>
      <c r="BP65" s="275"/>
      <c r="BQ65" s="361">
        <v>10.82</v>
      </c>
      <c r="BR65" s="361">
        <v>23.66</v>
      </c>
      <c r="BS65" s="362"/>
      <c r="BT65" s="594" t="s">
        <v>916</v>
      </c>
      <c r="BU65" s="595"/>
      <c r="BV65" s="595"/>
      <c r="BW65" s="595"/>
      <c r="BX65" s="596"/>
      <c r="BY65" s="24">
        <v>24.84</v>
      </c>
      <c r="BZ65" s="24">
        <v>11.59</v>
      </c>
      <c r="CA65" s="24">
        <v>11.93</v>
      </c>
      <c r="CB65" s="363">
        <v>1.99</v>
      </c>
      <c r="CC65" s="24">
        <v>2.2799999999999998</v>
      </c>
      <c r="CD65" s="24">
        <v>6.27</v>
      </c>
      <c r="CE65" s="363">
        <f>CC65+CD65</f>
        <v>8.5499999999999989</v>
      </c>
      <c r="CF65" s="24" t="s">
        <v>134</v>
      </c>
      <c r="CG65" s="101">
        <v>1</v>
      </c>
      <c r="CH65" s="223">
        <v>12</v>
      </c>
      <c r="CI65" s="223">
        <v>1</v>
      </c>
      <c r="CJ65" s="24">
        <v>12</v>
      </c>
      <c r="CK65" s="101">
        <f>(CE65*CJ65)+50</f>
        <v>152.6</v>
      </c>
      <c r="CL65" s="24" t="s">
        <v>256</v>
      </c>
      <c r="CM65" s="79" t="s">
        <v>136</v>
      </c>
      <c r="CN65" s="344"/>
      <c r="CO65" s="344"/>
    </row>
    <row r="66" spans="1:99" s="14" customFormat="1" ht="30" x14ac:dyDescent="0.25">
      <c r="A66" s="358">
        <v>43144</v>
      </c>
      <c r="B66" s="73" t="s">
        <v>12</v>
      </c>
      <c r="C66" s="213" t="s">
        <v>2504</v>
      </c>
      <c r="D66" s="213" t="s">
        <v>54</v>
      </c>
      <c r="E66" s="213" t="s">
        <v>2493</v>
      </c>
      <c r="F66" s="175" t="s">
        <v>2505</v>
      </c>
      <c r="G66" s="175"/>
      <c r="H66" s="175"/>
      <c r="I66" s="175"/>
      <c r="J66" s="41" t="s">
        <v>333</v>
      </c>
      <c r="K66" s="341" t="s">
        <v>2506</v>
      </c>
      <c r="L66" s="357"/>
      <c r="M66" s="357"/>
      <c r="N66" s="357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355"/>
      <c r="AO66" s="33"/>
      <c r="AP66" s="25"/>
      <c r="AQ66" s="33"/>
      <c r="AR66" s="31"/>
      <c r="AS66" s="33"/>
      <c r="AT66" s="25" t="s">
        <v>2507</v>
      </c>
      <c r="AU66" s="357"/>
      <c r="AV66" s="357"/>
      <c r="AW66" s="41"/>
      <c r="AX66" s="357"/>
      <c r="AY66" s="357"/>
      <c r="AZ66" s="357"/>
      <c r="BA66" s="357"/>
      <c r="BB66" s="357"/>
      <c r="BC66" s="357"/>
      <c r="BD66" s="357"/>
      <c r="BE66" s="31"/>
      <c r="BF66" s="357"/>
      <c r="BG66" s="357"/>
      <c r="BH66" s="357"/>
      <c r="BI66" s="357"/>
      <c r="BJ66" s="357"/>
      <c r="BK66" s="170">
        <v>58</v>
      </c>
      <c r="BL66" s="151" t="s">
        <v>2509</v>
      </c>
      <c r="BM66" s="364">
        <v>10038568745412</v>
      </c>
      <c r="BN66" s="275"/>
      <c r="BO66" s="275"/>
      <c r="BP66" s="275"/>
      <c r="BQ66" s="164">
        <v>4.2699999999999996</v>
      </c>
      <c r="BR66" s="164">
        <v>5.29</v>
      </c>
      <c r="BS66" s="362"/>
      <c r="BT66" s="365">
        <v>4.62</v>
      </c>
      <c r="BU66" s="365">
        <v>4.62</v>
      </c>
      <c r="BV66" s="365">
        <v>6</v>
      </c>
      <c r="BW66" s="365">
        <v>7.4999999999999997E-2</v>
      </c>
      <c r="BX66" s="365">
        <v>0.12</v>
      </c>
      <c r="BY66" s="156">
        <v>14.74</v>
      </c>
      <c r="BZ66" s="156">
        <v>9.99</v>
      </c>
      <c r="CA66" s="156">
        <v>6.6</v>
      </c>
      <c r="CB66" s="156">
        <v>0.56242000000000003</v>
      </c>
      <c r="CC66" s="157">
        <v>0.68</v>
      </c>
      <c r="CD66" s="363">
        <v>0.75</v>
      </c>
      <c r="CE66" s="363">
        <f>CC66+CD66+BX66</f>
        <v>1.5500000000000003</v>
      </c>
      <c r="CF66" s="24" t="s">
        <v>134</v>
      </c>
      <c r="CG66" s="24">
        <v>6</v>
      </c>
      <c r="CH66" s="24">
        <v>12</v>
      </c>
      <c r="CI66" s="24">
        <v>6</v>
      </c>
      <c r="CJ66" s="24">
        <f>(CH66*6)*CI66</f>
        <v>432</v>
      </c>
      <c r="CK66" s="101">
        <f>(CJ66*CE66)+50</f>
        <v>719.60000000000014</v>
      </c>
      <c r="CL66" s="24" t="s">
        <v>2238</v>
      </c>
      <c r="CM66" s="153" t="s">
        <v>136</v>
      </c>
      <c r="CN66" s="344"/>
      <c r="CO66" s="344"/>
    </row>
    <row r="67" spans="1:99" s="1" customFormat="1" ht="30" x14ac:dyDescent="0.25">
      <c r="A67" s="314">
        <v>43084</v>
      </c>
      <c r="B67" s="213" t="s">
        <v>12</v>
      </c>
      <c r="C67" s="72" t="s">
        <v>2487</v>
      </c>
      <c r="D67" s="213" t="s">
        <v>54</v>
      </c>
      <c r="E67" s="213" t="s">
        <v>2491</v>
      </c>
      <c r="F67" s="29" t="s">
        <v>2488</v>
      </c>
      <c r="G67" s="11"/>
      <c r="H67" s="11"/>
      <c r="I67" s="11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70">
        <v>310.25</v>
      </c>
      <c r="BL67" s="334" t="s">
        <v>2489</v>
      </c>
      <c r="BM67" s="343">
        <v>10038568745436</v>
      </c>
      <c r="BN67" s="36"/>
      <c r="BO67" s="36"/>
      <c r="BP67" s="36"/>
      <c r="BQ67" s="265">
        <v>17.61</v>
      </c>
      <c r="BR67" s="265">
        <v>23.5</v>
      </c>
      <c r="BS67" s="322"/>
      <c r="BT67" s="576" t="s">
        <v>2490</v>
      </c>
      <c r="BU67" s="577"/>
      <c r="BV67" s="577"/>
      <c r="BW67" s="577"/>
      <c r="BX67" s="578"/>
      <c r="BY67" s="74">
        <v>19</v>
      </c>
      <c r="BZ67" s="74">
        <v>18.62</v>
      </c>
      <c r="CA67" s="74">
        <v>24.5</v>
      </c>
      <c r="CB67" s="318">
        <v>0.1993</v>
      </c>
      <c r="CC67" s="74">
        <v>1.5</v>
      </c>
      <c r="CD67" s="74">
        <v>26</v>
      </c>
      <c r="CE67" s="318">
        <v>27.5</v>
      </c>
      <c r="CF67" s="74" t="s">
        <v>134</v>
      </c>
      <c r="CG67" s="16">
        <v>1</v>
      </c>
      <c r="CH67" s="222">
        <v>4</v>
      </c>
      <c r="CI67" s="222">
        <v>2</v>
      </c>
      <c r="CJ67" s="74">
        <v>8</v>
      </c>
      <c r="CK67" s="16">
        <v>270</v>
      </c>
      <c r="CL67" s="74" t="s">
        <v>256</v>
      </c>
      <c r="CM67" s="79" t="s">
        <v>150</v>
      </c>
      <c r="CN67" s="71"/>
      <c r="CO67" s="71"/>
    </row>
    <row r="68" spans="1:99" s="14" customFormat="1" x14ac:dyDescent="0.25">
      <c r="A68" s="314">
        <v>43084</v>
      </c>
      <c r="B68" s="213" t="s">
        <v>12</v>
      </c>
      <c r="C68" s="213" t="s">
        <v>2492</v>
      </c>
      <c r="D68" s="213" t="s">
        <v>54</v>
      </c>
      <c r="E68" s="213" t="s">
        <v>2493</v>
      </c>
      <c r="F68" s="175" t="s">
        <v>2494</v>
      </c>
      <c r="G68" s="175"/>
      <c r="H68" s="175"/>
      <c r="I68" s="175"/>
      <c r="J68" s="41" t="s">
        <v>350</v>
      </c>
      <c r="K68" s="341">
        <v>4679981</v>
      </c>
      <c r="L68" s="346"/>
      <c r="M68" s="346"/>
      <c r="N68" s="34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355" t="s">
        <v>2495</v>
      </c>
      <c r="AO68" s="33"/>
      <c r="AP68" s="25"/>
      <c r="AQ68" s="33"/>
      <c r="AR68" s="31" t="s">
        <v>2496</v>
      </c>
      <c r="AS68" s="33"/>
      <c r="AT68" s="25" t="s">
        <v>2497</v>
      </c>
      <c r="AU68" s="346"/>
      <c r="AV68" s="346"/>
      <c r="AW68" s="41"/>
      <c r="AX68" s="346"/>
      <c r="AY68" s="346"/>
      <c r="AZ68" s="346"/>
      <c r="BA68" s="346"/>
      <c r="BB68" s="346"/>
      <c r="BC68" s="346"/>
      <c r="BD68" s="346"/>
      <c r="BE68" s="31"/>
      <c r="BF68" s="346"/>
      <c r="BG68" s="346"/>
      <c r="BH68" s="346"/>
      <c r="BI68" s="346"/>
      <c r="BJ68" s="346">
        <v>33740</v>
      </c>
      <c r="BK68" s="170">
        <v>36.880000000000003</v>
      </c>
      <c r="BL68" s="163" t="s">
        <v>2498</v>
      </c>
      <c r="BM68" s="337">
        <v>10038568744613</v>
      </c>
      <c r="BN68" s="36"/>
      <c r="BO68" s="36"/>
      <c r="BP68" s="36"/>
      <c r="BQ68" s="345">
        <v>3.72</v>
      </c>
      <c r="BR68" s="345">
        <v>8.0299999999999994</v>
      </c>
      <c r="BS68" s="322"/>
      <c r="BT68" s="356">
        <v>4.13</v>
      </c>
      <c r="BU68" s="356">
        <v>4.13</v>
      </c>
      <c r="BV68" s="356">
        <v>8.66</v>
      </c>
      <c r="BW68" s="356">
        <v>0.1169</v>
      </c>
      <c r="BX68" s="356">
        <v>0.12</v>
      </c>
      <c r="BY68" s="116">
        <v>12.91</v>
      </c>
      <c r="BZ68" s="116">
        <v>9.17</v>
      </c>
      <c r="CA68" s="116">
        <v>9.0500000000000007</v>
      </c>
      <c r="CB68" s="116">
        <f>(BY68*BZ68*CA68)/1728</f>
        <v>0.62001246238425922</v>
      </c>
      <c r="CC68" s="317">
        <v>1.1200000000000001</v>
      </c>
      <c r="CD68" s="318">
        <v>0.5</v>
      </c>
      <c r="CE68" s="318">
        <f>(BX68*6)+CC68+CD68</f>
        <v>2.34</v>
      </c>
      <c r="CF68" s="74" t="s">
        <v>2465</v>
      </c>
      <c r="CG68" s="74">
        <v>6</v>
      </c>
      <c r="CH68" s="74">
        <v>12</v>
      </c>
      <c r="CI68" s="74">
        <v>5</v>
      </c>
      <c r="CJ68" s="74">
        <v>60</v>
      </c>
      <c r="CK68" s="16">
        <f>(60*2.34)+50</f>
        <v>190.39999999999998</v>
      </c>
      <c r="CL68" s="74" t="s">
        <v>139</v>
      </c>
      <c r="CM68" s="79" t="s">
        <v>136</v>
      </c>
      <c r="CN68" s="71"/>
      <c r="CO68" s="71"/>
      <c r="CP68" s="1"/>
      <c r="CQ68" s="1"/>
      <c r="CR68" s="1"/>
      <c r="CS68" s="1"/>
      <c r="CT68" s="1"/>
      <c r="CU68" s="1"/>
    </row>
    <row r="69" spans="1:99" s="1" customFormat="1" ht="30" x14ac:dyDescent="0.25">
      <c r="A69" s="314">
        <v>43035</v>
      </c>
      <c r="B69" s="213" t="s">
        <v>12</v>
      </c>
      <c r="C69" s="75" t="s">
        <v>2474</v>
      </c>
      <c r="D69" s="213" t="s">
        <v>54</v>
      </c>
      <c r="E69" s="213" t="s">
        <v>2439</v>
      </c>
      <c r="F69" s="29" t="s">
        <v>2475</v>
      </c>
      <c r="G69" s="11"/>
      <c r="H69" s="11"/>
      <c r="I69" s="11"/>
      <c r="J69" s="1" t="s">
        <v>2476</v>
      </c>
      <c r="K69" s="347" t="s">
        <v>2477</v>
      </c>
      <c r="L69" s="347"/>
      <c r="M69" s="347"/>
      <c r="N69" s="347"/>
      <c r="O69" s="347"/>
      <c r="P69" s="347"/>
      <c r="Q69" s="347"/>
      <c r="R69" s="347"/>
      <c r="S69" s="347"/>
      <c r="T69" s="347"/>
      <c r="U69" s="347"/>
      <c r="V69" s="347"/>
      <c r="W69" s="347"/>
      <c r="X69" s="347"/>
      <c r="Y69" s="347"/>
      <c r="Z69" s="347"/>
      <c r="AA69" s="347"/>
      <c r="AB69" s="347"/>
      <c r="AC69" s="347"/>
      <c r="AD69" s="347"/>
      <c r="AE69" s="347"/>
      <c r="AF69" s="347"/>
      <c r="AG69" s="347"/>
      <c r="AH69" s="347"/>
      <c r="AI69" s="347"/>
      <c r="AJ69" s="347"/>
      <c r="AK69" s="347"/>
      <c r="AL69" s="347"/>
      <c r="AM69" s="347"/>
      <c r="AN69" s="347" t="s">
        <v>2478</v>
      </c>
      <c r="AO69" s="347"/>
      <c r="AP69" s="347"/>
      <c r="AQ69" s="347"/>
      <c r="AR69" s="347" t="s">
        <v>2479</v>
      </c>
      <c r="AS69" s="347"/>
      <c r="AT69" s="347" t="s">
        <v>2480</v>
      </c>
      <c r="AU69" s="347"/>
      <c r="AV69" s="347"/>
      <c r="AW69" s="347"/>
      <c r="AX69" s="347"/>
      <c r="AY69" s="347"/>
      <c r="AZ69" s="347"/>
      <c r="BA69" s="347"/>
      <c r="BB69" s="347"/>
      <c r="BC69" s="347"/>
      <c r="BD69" s="347"/>
      <c r="BE69" s="347"/>
      <c r="BF69" s="347"/>
      <c r="BG69" s="347"/>
      <c r="BH69" s="347"/>
      <c r="BI69" s="347"/>
      <c r="BJ69" s="347"/>
      <c r="BK69" s="348">
        <v>38.729999999999997</v>
      </c>
      <c r="BL69" s="349" t="s">
        <v>2485</v>
      </c>
      <c r="BM69" s="350">
        <v>10038568745337</v>
      </c>
      <c r="BN69" s="351"/>
      <c r="BO69" s="351"/>
      <c r="BP69" s="351"/>
      <c r="BQ69" s="352">
        <v>7.29</v>
      </c>
      <c r="BR69" s="352">
        <v>13.94</v>
      </c>
      <c r="BS69" s="353"/>
      <c r="BT69" s="588" t="s">
        <v>916</v>
      </c>
      <c r="BU69" s="589"/>
      <c r="BV69" s="589"/>
      <c r="BW69" s="589"/>
      <c r="BX69" s="590"/>
      <c r="BY69" s="354">
        <v>8.11</v>
      </c>
      <c r="BZ69" s="74">
        <v>7.77</v>
      </c>
      <c r="CA69" s="74">
        <v>15.34</v>
      </c>
      <c r="CB69" s="318">
        <v>0.55940000000000001</v>
      </c>
      <c r="CC69" s="74">
        <v>0.85</v>
      </c>
      <c r="CD69" s="74">
        <v>2.63</v>
      </c>
      <c r="CE69" s="318">
        <f>CC69+CD69</f>
        <v>3.48</v>
      </c>
      <c r="CF69" s="74" t="s">
        <v>2465</v>
      </c>
      <c r="CG69" s="16">
        <v>1</v>
      </c>
      <c r="CH69" s="222">
        <v>30</v>
      </c>
      <c r="CI69" s="222">
        <v>2</v>
      </c>
      <c r="CJ69" s="74">
        <v>60</v>
      </c>
      <c r="CK69" s="16">
        <v>258.8</v>
      </c>
      <c r="CL69" s="74" t="s">
        <v>256</v>
      </c>
      <c r="CM69" s="79" t="s">
        <v>136</v>
      </c>
      <c r="CN69" s="71"/>
      <c r="CO69" s="71"/>
    </row>
    <row r="70" spans="1:99" s="14" customFormat="1" ht="30" x14ac:dyDescent="0.25">
      <c r="A70" s="314">
        <v>43035</v>
      </c>
      <c r="B70" s="213" t="s">
        <v>12</v>
      </c>
      <c r="C70" s="213" t="s">
        <v>2481</v>
      </c>
      <c r="D70" s="213" t="s">
        <v>54</v>
      </c>
      <c r="E70" s="213" t="s">
        <v>2444</v>
      </c>
      <c r="F70" s="175" t="s">
        <v>2482</v>
      </c>
      <c r="G70" s="175"/>
      <c r="H70" s="175"/>
      <c r="I70" s="175"/>
      <c r="J70" s="41" t="s">
        <v>350</v>
      </c>
      <c r="K70" s="341" t="s">
        <v>2483</v>
      </c>
      <c r="L70" s="339"/>
      <c r="M70" s="339"/>
      <c r="N70" s="339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342" t="s">
        <v>2484</v>
      </c>
      <c r="AO70" s="33"/>
      <c r="AP70" s="25"/>
      <c r="AQ70" s="33"/>
      <c r="AR70" s="31"/>
      <c r="AS70" s="33"/>
      <c r="AT70" s="25"/>
      <c r="AU70" s="339"/>
      <c r="AV70" s="339"/>
      <c r="AW70" s="41"/>
      <c r="AX70" s="339"/>
      <c r="AY70" s="339"/>
      <c r="AZ70" s="339"/>
      <c r="BA70" s="339"/>
      <c r="BB70" s="339"/>
      <c r="BC70" s="339"/>
      <c r="BD70" s="339"/>
      <c r="BE70" s="31"/>
      <c r="BF70" s="339"/>
      <c r="BG70" s="339"/>
      <c r="BH70" s="339"/>
      <c r="BI70" s="339"/>
      <c r="BJ70" s="339"/>
      <c r="BK70" s="170">
        <v>76.260000000000005</v>
      </c>
      <c r="BL70" s="163" t="s">
        <v>2486</v>
      </c>
      <c r="BM70" s="337">
        <v>10038568745344</v>
      </c>
      <c r="BN70" s="36"/>
      <c r="BO70" s="36"/>
      <c r="BP70" s="36"/>
      <c r="BQ70" s="340">
        <v>8</v>
      </c>
      <c r="BR70" s="340">
        <v>11.64</v>
      </c>
      <c r="BS70" s="322"/>
      <c r="BT70" s="591" t="s">
        <v>916</v>
      </c>
      <c r="BU70" s="592"/>
      <c r="BV70" s="592"/>
      <c r="BW70" s="592"/>
      <c r="BX70" s="593"/>
      <c r="BY70" s="116">
        <v>8.93</v>
      </c>
      <c r="BZ70" s="116">
        <v>8.59</v>
      </c>
      <c r="CA70" s="116">
        <v>12.59</v>
      </c>
      <c r="CB70" s="116">
        <v>0.55000000000000004</v>
      </c>
      <c r="CC70" s="317">
        <v>0.89</v>
      </c>
      <c r="CD70" s="318">
        <v>2.5</v>
      </c>
      <c r="CE70" s="318">
        <f>CC70+CD70</f>
        <v>3.39</v>
      </c>
      <c r="CF70" s="74" t="s">
        <v>2465</v>
      </c>
      <c r="CG70" s="74">
        <v>1</v>
      </c>
      <c r="CH70" s="74">
        <v>20</v>
      </c>
      <c r="CI70" s="74">
        <v>3</v>
      </c>
      <c r="CJ70" s="74">
        <v>60</v>
      </c>
      <c r="CK70" s="16">
        <v>253.4</v>
      </c>
      <c r="CL70" s="74" t="s">
        <v>256</v>
      </c>
      <c r="CM70" s="79" t="s">
        <v>136</v>
      </c>
      <c r="CN70" s="71"/>
      <c r="CO70" s="71"/>
      <c r="CP70" s="1"/>
      <c r="CQ70" s="1"/>
      <c r="CR70" s="1"/>
      <c r="CS70" s="1"/>
      <c r="CT70" s="1"/>
      <c r="CU70" s="1"/>
    </row>
    <row r="71" spans="1:99" x14ac:dyDescent="0.25">
      <c r="A71" s="314">
        <v>43004</v>
      </c>
      <c r="B71" s="213" t="s">
        <v>12</v>
      </c>
      <c r="C71" s="213" t="s">
        <v>2438</v>
      </c>
      <c r="D71" s="213" t="s">
        <v>54</v>
      </c>
      <c r="E71" s="213" t="s">
        <v>2439</v>
      </c>
      <c r="F71" s="221" t="s">
        <v>2440</v>
      </c>
      <c r="G71" s="221"/>
      <c r="H71" s="221"/>
      <c r="I71" s="221"/>
      <c r="J71" s="41"/>
      <c r="K71" s="25"/>
      <c r="L71" s="333"/>
      <c r="M71" s="333"/>
      <c r="N71" s="333"/>
      <c r="O71" s="26"/>
      <c r="P71" s="26"/>
      <c r="Q71" s="26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5" t="s">
        <v>2441</v>
      </c>
      <c r="AO71" s="33"/>
      <c r="AP71" s="25"/>
      <c r="AQ71" s="33"/>
      <c r="AR71" s="31" t="s">
        <v>2442</v>
      </c>
      <c r="AS71" s="33"/>
      <c r="AT71" s="25"/>
      <c r="AU71" s="333"/>
      <c r="AV71" s="333"/>
      <c r="AW71" s="41"/>
      <c r="AX71" s="333"/>
      <c r="AY71" s="333"/>
      <c r="AZ71" s="333"/>
      <c r="BA71" s="333"/>
      <c r="BB71" s="333"/>
      <c r="BC71" s="333"/>
      <c r="BD71" s="333"/>
      <c r="BE71" s="31"/>
      <c r="BF71" s="333"/>
      <c r="BG71" s="333"/>
      <c r="BH71" s="333"/>
      <c r="BI71" s="333"/>
      <c r="BJ71" s="333">
        <v>49767</v>
      </c>
      <c r="BK71" s="170">
        <v>45.28</v>
      </c>
      <c r="BL71" s="163" t="s">
        <v>2463</v>
      </c>
      <c r="BM71" s="163" t="s">
        <v>2464</v>
      </c>
      <c r="BN71" s="36"/>
      <c r="BO71" s="36"/>
      <c r="BP71" s="36"/>
      <c r="BQ71" s="332">
        <v>9.25</v>
      </c>
      <c r="BR71" s="332">
        <v>13.52</v>
      </c>
      <c r="BS71" s="322"/>
      <c r="BT71" s="585" t="s">
        <v>916</v>
      </c>
      <c r="BU71" s="586"/>
      <c r="BV71" s="586"/>
      <c r="BW71" s="586"/>
      <c r="BX71" s="587"/>
      <c r="BY71" s="318">
        <v>10.06</v>
      </c>
      <c r="BZ71" s="116">
        <v>9.7200000000000006</v>
      </c>
      <c r="CA71" s="116">
        <v>14.09</v>
      </c>
      <c r="CB71" s="116">
        <v>0.79732000000000003</v>
      </c>
      <c r="CC71" s="317">
        <v>1.1200000000000001</v>
      </c>
      <c r="CD71" s="318">
        <v>7.66</v>
      </c>
      <c r="CE71" s="318">
        <f>CC71+CD71</f>
        <v>8.7800000000000011</v>
      </c>
      <c r="CF71" s="74" t="s">
        <v>2465</v>
      </c>
      <c r="CG71" s="74">
        <v>1</v>
      </c>
      <c r="CH71" s="74">
        <v>16</v>
      </c>
      <c r="CI71" s="74">
        <v>3</v>
      </c>
      <c r="CJ71" s="74">
        <f>CH71*CI71</f>
        <v>48</v>
      </c>
      <c r="CK71" s="147">
        <f>(CE71*CJ71)+50</f>
        <v>471.44000000000005</v>
      </c>
      <c r="CL71" s="74" t="s">
        <v>256</v>
      </c>
      <c r="CM71" s="79" t="s">
        <v>136</v>
      </c>
      <c r="CN71" s="71"/>
      <c r="CO71" s="71"/>
      <c r="CP71" s="1"/>
      <c r="CQ71" s="1"/>
      <c r="CR71" s="1"/>
      <c r="CS71" s="1"/>
      <c r="CT71" s="1"/>
      <c r="CU71" s="1"/>
    </row>
    <row r="72" spans="1:99" x14ac:dyDescent="0.25">
      <c r="A72" s="314">
        <v>43004</v>
      </c>
      <c r="B72" s="213" t="s">
        <v>12</v>
      </c>
      <c r="C72" s="75" t="s">
        <v>2443</v>
      </c>
      <c r="D72" s="213" t="s">
        <v>54</v>
      </c>
      <c r="E72" s="213" t="s">
        <v>2444</v>
      </c>
      <c r="F72" s="29" t="s">
        <v>1102</v>
      </c>
      <c r="G72" s="29"/>
      <c r="H72" s="29"/>
      <c r="I72" s="29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 t="s">
        <v>2445</v>
      </c>
      <c r="AO72" s="16"/>
      <c r="AP72" s="16"/>
      <c r="AQ72" s="16"/>
      <c r="AR72" s="16" t="s">
        <v>2446</v>
      </c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70">
        <v>163.21</v>
      </c>
      <c r="BL72" s="334" t="s">
        <v>2466</v>
      </c>
      <c r="BM72" s="335" t="s">
        <v>2467</v>
      </c>
      <c r="BN72" s="36"/>
      <c r="BO72" s="36"/>
      <c r="BP72" s="36"/>
      <c r="BQ72" s="265">
        <v>13.06</v>
      </c>
      <c r="BR72" s="265">
        <v>25.73</v>
      </c>
      <c r="BS72" s="322"/>
      <c r="BT72" s="576" t="s">
        <v>916</v>
      </c>
      <c r="BU72" s="577"/>
      <c r="BV72" s="577"/>
      <c r="BW72" s="577"/>
      <c r="BX72" s="578"/>
      <c r="BY72" s="74">
        <v>14.34</v>
      </c>
      <c r="BZ72" s="74">
        <v>14.68</v>
      </c>
      <c r="CA72" s="74">
        <v>26.52</v>
      </c>
      <c r="CB72" s="318">
        <v>3.23</v>
      </c>
      <c r="CC72" s="74">
        <v>2.85</v>
      </c>
      <c r="CD72" s="74">
        <v>10.67</v>
      </c>
      <c r="CE72" s="318">
        <f t="shared" ref="CE72:CE76" si="0">CC72+CD72</f>
        <v>13.52</v>
      </c>
      <c r="CF72" s="74" t="s">
        <v>2465</v>
      </c>
      <c r="CG72" s="16">
        <v>1</v>
      </c>
      <c r="CH72" s="222">
        <v>6</v>
      </c>
      <c r="CI72" s="222">
        <v>1</v>
      </c>
      <c r="CJ72" s="74">
        <f t="shared" ref="CJ72:CJ76" si="1">CH72*CI72</f>
        <v>6</v>
      </c>
      <c r="CK72" s="147">
        <f t="shared" ref="CK72:CK76" si="2">(CE72*CJ72)+50</f>
        <v>131.12</v>
      </c>
      <c r="CL72" s="74" t="s">
        <v>256</v>
      </c>
      <c r="CM72" s="79" t="s">
        <v>136</v>
      </c>
      <c r="CN72" s="71"/>
      <c r="CO72" s="71"/>
      <c r="CP72" s="1"/>
      <c r="CQ72" s="1"/>
      <c r="CR72" s="1"/>
      <c r="CS72" s="1"/>
      <c r="CT72" s="1"/>
      <c r="CU72" s="1"/>
    </row>
    <row r="73" spans="1:99" ht="30" x14ac:dyDescent="0.25">
      <c r="A73" s="314">
        <v>43004</v>
      </c>
      <c r="B73" s="213" t="s">
        <v>12</v>
      </c>
      <c r="C73" s="213" t="s">
        <v>2447</v>
      </c>
      <c r="D73" s="213" t="s">
        <v>54</v>
      </c>
      <c r="E73" s="213" t="s">
        <v>2444</v>
      </c>
      <c r="F73" s="175" t="s">
        <v>2448</v>
      </c>
      <c r="G73" s="175"/>
      <c r="H73" s="175"/>
      <c r="I73" s="175"/>
      <c r="J73" s="41"/>
      <c r="K73" s="333"/>
      <c r="L73" s="333"/>
      <c r="M73" s="333"/>
      <c r="N73" s="333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5" t="s">
        <v>2449</v>
      </c>
      <c r="AO73" s="33"/>
      <c r="AP73" s="25"/>
      <c r="AQ73" s="33"/>
      <c r="AR73" s="31" t="s">
        <v>2450</v>
      </c>
      <c r="AS73" s="33"/>
      <c r="AT73" s="25" t="s">
        <v>2451</v>
      </c>
      <c r="AU73" s="333"/>
      <c r="AV73" s="333"/>
      <c r="AW73" s="41"/>
      <c r="AX73" s="333"/>
      <c r="AY73" s="333"/>
      <c r="AZ73" s="333"/>
      <c r="BA73" s="333"/>
      <c r="BB73" s="333"/>
      <c r="BC73" s="333"/>
      <c r="BD73" s="333"/>
      <c r="BE73" s="31"/>
      <c r="BF73" s="333"/>
      <c r="BG73" s="333"/>
      <c r="BH73" s="333"/>
      <c r="BI73" s="333"/>
      <c r="BJ73" s="333"/>
      <c r="BK73" s="170">
        <v>114</v>
      </c>
      <c r="BL73" s="163" t="s">
        <v>2468</v>
      </c>
      <c r="BM73" s="163" t="s">
        <v>2469</v>
      </c>
      <c r="BN73" s="36"/>
      <c r="BO73" s="36"/>
      <c r="BP73" s="36"/>
      <c r="BQ73" s="332">
        <v>11.53</v>
      </c>
      <c r="BR73" s="332">
        <v>23.34</v>
      </c>
      <c r="BS73" s="322"/>
      <c r="BT73" s="576" t="s">
        <v>916</v>
      </c>
      <c r="BU73" s="577"/>
      <c r="BV73" s="577"/>
      <c r="BW73" s="577"/>
      <c r="BX73" s="578"/>
      <c r="BY73" s="116">
        <v>12.34</v>
      </c>
      <c r="BZ73" s="116">
        <v>12.68</v>
      </c>
      <c r="CA73" s="116">
        <v>25.59</v>
      </c>
      <c r="CB73" s="116">
        <v>2.3170000000000002</v>
      </c>
      <c r="CC73" s="317">
        <v>2.2400000000000002</v>
      </c>
      <c r="CD73" s="318">
        <v>7.62</v>
      </c>
      <c r="CE73" s="318">
        <f t="shared" si="0"/>
        <v>9.86</v>
      </c>
      <c r="CF73" s="74" t="s">
        <v>2465</v>
      </c>
      <c r="CG73" s="74">
        <v>1</v>
      </c>
      <c r="CH73" s="74">
        <v>9</v>
      </c>
      <c r="CI73" s="74">
        <v>1</v>
      </c>
      <c r="CJ73" s="74">
        <f t="shared" si="1"/>
        <v>9</v>
      </c>
      <c r="CK73" s="147">
        <f t="shared" si="2"/>
        <v>138.74</v>
      </c>
      <c r="CL73" s="74" t="s">
        <v>256</v>
      </c>
      <c r="CM73" s="79" t="s">
        <v>136</v>
      </c>
      <c r="CN73" s="71"/>
      <c r="CO73" s="71"/>
      <c r="CP73" s="1"/>
      <c r="CQ73" s="1"/>
      <c r="CR73" s="1"/>
      <c r="CS73" s="1"/>
      <c r="CT73" s="1"/>
      <c r="CU73" s="1"/>
    </row>
    <row r="74" spans="1:99" x14ac:dyDescent="0.25">
      <c r="A74" s="314">
        <v>43004</v>
      </c>
      <c r="B74" s="213" t="s">
        <v>12</v>
      </c>
      <c r="C74" s="213" t="s">
        <v>2452</v>
      </c>
      <c r="D74" s="213" t="s">
        <v>54</v>
      </c>
      <c r="E74" s="213" t="s">
        <v>2453</v>
      </c>
      <c r="F74" s="175" t="s">
        <v>2454</v>
      </c>
      <c r="G74" s="175"/>
      <c r="H74" s="175"/>
      <c r="I74" s="175"/>
      <c r="J74" s="41"/>
      <c r="K74" s="333"/>
      <c r="L74" s="333"/>
      <c r="M74" s="333"/>
      <c r="N74" s="333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5" t="s">
        <v>2455</v>
      </c>
      <c r="AO74" s="33"/>
      <c r="AP74" s="25"/>
      <c r="AQ74" s="33"/>
      <c r="AR74" s="31"/>
      <c r="AS74" s="33"/>
      <c r="AT74" s="25"/>
      <c r="AU74" s="333"/>
      <c r="AV74" s="333"/>
      <c r="AW74" s="41"/>
      <c r="AX74" s="333"/>
      <c r="AY74" s="333"/>
      <c r="AZ74" s="333"/>
      <c r="BA74" s="333"/>
      <c r="BB74" s="333"/>
      <c r="BC74" s="333"/>
      <c r="BD74" s="333"/>
      <c r="BE74" s="31"/>
      <c r="BF74" s="333"/>
      <c r="BG74" s="333"/>
      <c r="BH74" s="333"/>
      <c r="BI74" s="333"/>
      <c r="BJ74" s="333"/>
      <c r="BK74" s="170">
        <v>138.97</v>
      </c>
      <c r="BL74" s="163" t="s">
        <v>2470</v>
      </c>
      <c r="BM74" s="163" t="s">
        <v>2471</v>
      </c>
      <c r="BN74" s="36"/>
      <c r="BO74" s="36"/>
      <c r="BP74" s="36"/>
      <c r="BQ74" s="332">
        <v>12.09</v>
      </c>
      <c r="BR74" s="332">
        <v>22.94</v>
      </c>
      <c r="BS74" s="322"/>
      <c r="BT74" s="576" t="s">
        <v>916</v>
      </c>
      <c r="BU74" s="577"/>
      <c r="BV74" s="577"/>
      <c r="BW74" s="577"/>
      <c r="BX74" s="578"/>
      <c r="BY74" s="116">
        <v>13.86</v>
      </c>
      <c r="BZ74" s="116">
        <v>13.52</v>
      </c>
      <c r="CA74" s="116">
        <v>24.34</v>
      </c>
      <c r="CB74" s="116">
        <v>2.6389999999999998</v>
      </c>
      <c r="CC74" s="317">
        <v>2.48</v>
      </c>
      <c r="CD74" s="318">
        <v>11.46</v>
      </c>
      <c r="CE74" s="318">
        <f>CC74+CD74</f>
        <v>13.940000000000001</v>
      </c>
      <c r="CF74" s="74" t="s">
        <v>2465</v>
      </c>
      <c r="CG74" s="74">
        <v>1</v>
      </c>
      <c r="CH74" s="74">
        <v>9</v>
      </c>
      <c r="CI74" s="74">
        <v>2</v>
      </c>
      <c r="CJ74" s="74">
        <f>CH74*CI74</f>
        <v>18</v>
      </c>
      <c r="CK74" s="147">
        <f>(CE74*CJ74)+50</f>
        <v>300.92</v>
      </c>
      <c r="CL74" s="74" t="s">
        <v>256</v>
      </c>
      <c r="CM74" s="79" t="s">
        <v>136</v>
      </c>
      <c r="CN74" s="71"/>
      <c r="CO74" s="71"/>
      <c r="CP74" s="1"/>
      <c r="CQ74" s="1"/>
      <c r="CR74" s="1"/>
      <c r="CS74" s="1"/>
      <c r="CT74" s="1"/>
      <c r="CU74" s="1"/>
    </row>
    <row r="75" spans="1:99" s="1" customFormat="1" ht="30" x14ac:dyDescent="0.25">
      <c r="A75" s="314">
        <v>43004</v>
      </c>
      <c r="B75" s="213"/>
      <c r="C75" s="213" t="s">
        <v>2351</v>
      </c>
      <c r="D75" s="213" t="s">
        <v>54</v>
      </c>
      <c r="E75" s="213" t="s">
        <v>2456</v>
      </c>
      <c r="F75" s="175" t="s">
        <v>2457</v>
      </c>
      <c r="G75" s="175"/>
      <c r="H75" s="175"/>
      <c r="I75" s="175"/>
      <c r="J75" s="41" t="s">
        <v>2354</v>
      </c>
      <c r="K75" s="333">
        <v>87404270</v>
      </c>
      <c r="L75" s="333"/>
      <c r="M75" s="333"/>
      <c r="N75" s="333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5" t="s">
        <v>2458</v>
      </c>
      <c r="AO75" s="33"/>
      <c r="AP75" s="25"/>
      <c r="AQ75" s="33"/>
      <c r="AR75" s="31" t="s">
        <v>2360</v>
      </c>
      <c r="AS75" s="33"/>
      <c r="AT75" s="25"/>
      <c r="AU75" s="333"/>
      <c r="AV75" s="333"/>
      <c r="AW75" s="41"/>
      <c r="AX75" s="333"/>
      <c r="AY75" s="333"/>
      <c r="AZ75" s="333"/>
      <c r="BA75" s="333"/>
      <c r="BB75" s="333"/>
      <c r="BC75" s="333"/>
      <c r="BD75" s="333"/>
      <c r="BE75" s="31"/>
      <c r="BF75" s="333"/>
      <c r="BG75" s="333"/>
      <c r="BH75" s="333"/>
      <c r="BI75" s="333"/>
      <c r="BJ75" s="333"/>
      <c r="BK75" s="170">
        <v>190.23</v>
      </c>
      <c r="BL75" s="163" t="s">
        <v>2371</v>
      </c>
      <c r="BM75" s="337">
        <v>10038568704051</v>
      </c>
      <c r="BN75" s="36"/>
      <c r="BO75" s="36"/>
      <c r="BP75" s="36"/>
      <c r="BQ75" s="332">
        <v>13.17</v>
      </c>
      <c r="BR75" s="332">
        <v>24.44</v>
      </c>
      <c r="BS75" s="322"/>
      <c r="BT75" s="576" t="s">
        <v>916</v>
      </c>
      <c r="BU75" s="577"/>
      <c r="BV75" s="577"/>
      <c r="BW75" s="577"/>
      <c r="BX75" s="578"/>
      <c r="BY75" s="116">
        <v>14.22</v>
      </c>
      <c r="BZ75" s="116">
        <v>14.56</v>
      </c>
      <c r="CA75" s="116">
        <v>25.52</v>
      </c>
      <c r="CB75" s="116">
        <v>3.0569999999999999</v>
      </c>
      <c r="CC75" s="317">
        <v>2.75</v>
      </c>
      <c r="CD75" s="318">
        <v>13.61</v>
      </c>
      <c r="CE75" s="318">
        <f t="shared" si="0"/>
        <v>16.36</v>
      </c>
      <c r="CF75" s="74" t="s">
        <v>2465</v>
      </c>
      <c r="CG75" s="74">
        <v>1</v>
      </c>
      <c r="CH75" s="74">
        <v>6</v>
      </c>
      <c r="CI75" s="74">
        <v>1</v>
      </c>
      <c r="CJ75" s="74">
        <f t="shared" si="1"/>
        <v>6</v>
      </c>
      <c r="CK75" s="147">
        <f t="shared" si="2"/>
        <v>148.16</v>
      </c>
      <c r="CL75" s="74" t="s">
        <v>256</v>
      </c>
      <c r="CM75" s="79" t="s">
        <v>136</v>
      </c>
      <c r="CN75" s="71"/>
      <c r="CO75" s="71"/>
    </row>
    <row r="76" spans="1:99" s="1" customFormat="1" x14ac:dyDescent="0.25">
      <c r="A76" s="314">
        <v>43004</v>
      </c>
      <c r="B76" s="213" t="s">
        <v>12</v>
      </c>
      <c r="C76" s="213" t="s">
        <v>2459</v>
      </c>
      <c r="D76" s="213" t="s">
        <v>54</v>
      </c>
      <c r="E76" s="213" t="s">
        <v>2444</v>
      </c>
      <c r="F76" s="175" t="s">
        <v>2460</v>
      </c>
      <c r="G76" s="175"/>
      <c r="H76" s="175"/>
      <c r="I76" s="175"/>
      <c r="J76" s="41"/>
      <c r="K76" s="333"/>
      <c r="L76" s="333"/>
      <c r="M76" s="333"/>
      <c r="N76" s="333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5" t="s">
        <v>2461</v>
      </c>
      <c r="AO76" s="33"/>
      <c r="AP76" s="25"/>
      <c r="AQ76" s="33"/>
      <c r="AR76" s="31" t="s">
        <v>2462</v>
      </c>
      <c r="AS76" s="33"/>
      <c r="AT76" s="25"/>
      <c r="AU76" s="333"/>
      <c r="AV76" s="333"/>
      <c r="AW76" s="41"/>
      <c r="AX76" s="333"/>
      <c r="AY76" s="333"/>
      <c r="AZ76" s="333"/>
      <c r="BA76" s="333"/>
      <c r="BB76" s="333"/>
      <c r="BC76" s="333"/>
      <c r="BD76" s="333"/>
      <c r="BE76" s="31"/>
      <c r="BF76" s="333"/>
      <c r="BG76" s="333"/>
      <c r="BH76" s="333"/>
      <c r="BI76" s="333"/>
      <c r="BJ76" s="333"/>
      <c r="BK76" s="170">
        <v>122.5</v>
      </c>
      <c r="BL76" s="163" t="s">
        <v>2472</v>
      </c>
      <c r="BM76" s="163" t="s">
        <v>2473</v>
      </c>
      <c r="BN76" s="36"/>
      <c r="BO76" s="36"/>
      <c r="BP76" s="36"/>
      <c r="BQ76" s="332">
        <v>11.53</v>
      </c>
      <c r="BR76" s="332">
        <v>24.15</v>
      </c>
      <c r="BS76" s="322"/>
      <c r="BT76" s="576" t="s">
        <v>916</v>
      </c>
      <c r="BU76" s="577"/>
      <c r="BV76" s="577"/>
      <c r="BW76" s="577"/>
      <c r="BX76" s="578"/>
      <c r="BY76" s="116">
        <v>12.34</v>
      </c>
      <c r="BZ76" s="116">
        <v>12.68</v>
      </c>
      <c r="CA76" s="116">
        <v>25.59</v>
      </c>
      <c r="CB76" s="116">
        <v>2.3170000000000002</v>
      </c>
      <c r="CC76" s="317">
        <v>2.2400000000000002</v>
      </c>
      <c r="CD76" s="318">
        <v>7.52</v>
      </c>
      <c r="CE76" s="318">
        <f t="shared" si="0"/>
        <v>9.76</v>
      </c>
      <c r="CF76" s="74" t="s">
        <v>2465</v>
      </c>
      <c r="CG76" s="74">
        <v>1</v>
      </c>
      <c r="CH76" s="74">
        <v>9</v>
      </c>
      <c r="CI76" s="74">
        <v>1</v>
      </c>
      <c r="CJ76" s="74">
        <f t="shared" si="1"/>
        <v>9</v>
      </c>
      <c r="CK76" s="147">
        <f t="shared" si="2"/>
        <v>137.84</v>
      </c>
      <c r="CL76" s="74" t="s">
        <v>256</v>
      </c>
      <c r="CM76" s="79" t="s">
        <v>136</v>
      </c>
      <c r="CN76" s="71"/>
      <c r="CO76" s="71"/>
    </row>
    <row r="77" spans="1:99" s="1" customFormat="1" ht="30" x14ac:dyDescent="0.25">
      <c r="A77" s="314">
        <v>42933</v>
      </c>
      <c r="B77" s="213" t="s">
        <v>12</v>
      </c>
      <c r="C77" s="213" t="s">
        <v>2428</v>
      </c>
      <c r="D77" s="213" t="s">
        <v>54</v>
      </c>
      <c r="E77" s="213" t="s">
        <v>2429</v>
      </c>
      <c r="F77" s="221" t="s">
        <v>2430</v>
      </c>
      <c r="G77" s="221"/>
      <c r="H77" s="221"/>
      <c r="I77" s="221"/>
      <c r="J77" s="329" t="s">
        <v>705</v>
      </c>
      <c r="K77" s="329" t="s">
        <v>2431</v>
      </c>
      <c r="L77" s="329"/>
      <c r="M77" s="329"/>
      <c r="N77" s="25"/>
      <c r="O77" s="26"/>
      <c r="P77" s="26"/>
      <c r="Q77" s="26"/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5" t="s">
        <v>2432</v>
      </c>
      <c r="AO77" s="33"/>
      <c r="AP77" s="25"/>
      <c r="AQ77" s="33"/>
      <c r="AR77" s="31" t="s">
        <v>2433</v>
      </c>
      <c r="AS77" s="33"/>
      <c r="AT77" s="25" t="s">
        <v>2434</v>
      </c>
      <c r="AU77" s="329"/>
      <c r="AV77" s="329"/>
      <c r="AW77" s="41"/>
      <c r="AX77" s="329"/>
      <c r="AY77" s="329"/>
      <c r="AZ77" s="329"/>
      <c r="BA77" s="329"/>
      <c r="BB77" s="329"/>
      <c r="BC77" s="329"/>
      <c r="BD77" s="329"/>
      <c r="BE77" s="31"/>
      <c r="BF77" s="329"/>
      <c r="BG77" s="329"/>
      <c r="BH77" s="329"/>
      <c r="BI77" s="329"/>
      <c r="BJ77" s="329" t="s">
        <v>2435</v>
      </c>
      <c r="BK77" s="170">
        <v>44</v>
      </c>
      <c r="BL77" s="163" t="s">
        <v>2436</v>
      </c>
      <c r="BM77" s="163" t="s">
        <v>2437</v>
      </c>
      <c r="BN77" s="36"/>
      <c r="BO77" s="36"/>
      <c r="BP77" s="36"/>
      <c r="BQ77" s="328">
        <v>4.12</v>
      </c>
      <c r="BR77" s="328">
        <v>7.46</v>
      </c>
      <c r="BS77" s="322"/>
      <c r="BT77" s="116">
        <v>4.125</v>
      </c>
      <c r="BU77" s="116">
        <v>4.125</v>
      </c>
      <c r="BV77" s="116">
        <v>7.625</v>
      </c>
      <c r="BW77" s="331">
        <f>(BT77*BU77*BV77)/1728</f>
        <v>7.5083414713541671E-2</v>
      </c>
      <c r="BX77" s="116">
        <v>0.11</v>
      </c>
      <c r="BY77" s="318">
        <v>12.62</v>
      </c>
      <c r="BZ77" s="116">
        <v>8.81</v>
      </c>
      <c r="CA77" s="116">
        <v>8.3800000000000008</v>
      </c>
      <c r="CB77" s="116">
        <v>0.59899999999999998</v>
      </c>
      <c r="CC77" s="317">
        <v>0.8</v>
      </c>
      <c r="CD77" s="318">
        <v>0.87</v>
      </c>
      <c r="CE77" s="318">
        <f>((CD77+BX77)*6)+CC77</f>
        <v>6.68</v>
      </c>
      <c r="CF77" s="74" t="s">
        <v>134</v>
      </c>
      <c r="CG77" s="74">
        <v>6</v>
      </c>
      <c r="CH77" s="74">
        <v>15</v>
      </c>
      <c r="CI77" s="74">
        <v>5</v>
      </c>
      <c r="CJ77" s="74">
        <f>CG77*CH77*CI77</f>
        <v>450</v>
      </c>
      <c r="CK77" s="147">
        <f>(CE77*CH77*CI77)+50</f>
        <v>551</v>
      </c>
      <c r="CL77" s="74" t="s">
        <v>256</v>
      </c>
      <c r="CM77" s="330" t="s">
        <v>150</v>
      </c>
      <c r="CN77" s="71"/>
      <c r="CO77" s="71"/>
    </row>
    <row r="78" spans="1:99" s="1" customFormat="1" x14ac:dyDescent="0.25">
      <c r="A78" s="314">
        <v>42915</v>
      </c>
      <c r="B78" s="213" t="s">
        <v>12</v>
      </c>
      <c r="C78" s="213" t="s">
        <v>2409</v>
      </c>
      <c r="D78" s="213" t="s">
        <v>54</v>
      </c>
      <c r="E78" s="213" t="s">
        <v>2410</v>
      </c>
      <c r="F78" s="221" t="s">
        <v>2411</v>
      </c>
      <c r="G78" s="221"/>
      <c r="H78" s="221"/>
      <c r="I78" s="221"/>
      <c r="J78" s="325" t="s">
        <v>894</v>
      </c>
      <c r="K78" s="325" t="s">
        <v>916</v>
      </c>
      <c r="L78" s="325"/>
      <c r="M78" s="325"/>
      <c r="N78" s="25"/>
      <c r="O78" s="26"/>
      <c r="P78" s="26"/>
      <c r="Q78" s="26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5"/>
      <c r="AO78" s="33"/>
      <c r="AP78" s="25"/>
      <c r="AQ78" s="33"/>
      <c r="AR78" s="31"/>
      <c r="AS78" s="33"/>
      <c r="AT78" s="25"/>
      <c r="AU78" s="325"/>
      <c r="AV78" s="325"/>
      <c r="AW78" s="41"/>
      <c r="AX78" s="325"/>
      <c r="AY78" s="325"/>
      <c r="AZ78" s="325"/>
      <c r="BA78" s="325"/>
      <c r="BB78" s="325"/>
      <c r="BC78" s="325"/>
      <c r="BD78" s="325"/>
      <c r="BE78" s="31"/>
      <c r="BF78" s="325"/>
      <c r="BG78" s="325"/>
      <c r="BH78" s="325"/>
      <c r="BI78" s="325"/>
      <c r="BJ78" s="325"/>
      <c r="BK78" s="170">
        <v>74.099999999999994</v>
      </c>
      <c r="BL78" s="163" t="s">
        <v>2420</v>
      </c>
      <c r="BM78" s="163" t="s">
        <v>2421</v>
      </c>
      <c r="BN78" s="36"/>
      <c r="BO78" s="36"/>
      <c r="BP78" s="36"/>
      <c r="BQ78" s="324">
        <v>4.6500000000000004</v>
      </c>
      <c r="BR78" s="324">
        <v>13.9</v>
      </c>
      <c r="BS78" s="322"/>
      <c r="BT78" s="559" t="s">
        <v>2422</v>
      </c>
      <c r="BU78" s="560"/>
      <c r="BV78" s="560"/>
      <c r="BW78" s="560"/>
      <c r="BX78" s="561"/>
      <c r="BY78" s="318">
        <v>15.09</v>
      </c>
      <c r="BZ78" s="116">
        <v>10.09</v>
      </c>
      <c r="CA78" s="116">
        <v>14.81</v>
      </c>
      <c r="CB78" s="116">
        <f t="shared" ref="CB78" si="3">(BY78*BZ78*CA78)/1728</f>
        <v>1.3049435538194443</v>
      </c>
      <c r="CC78" s="317">
        <v>1.17</v>
      </c>
      <c r="CD78" s="318">
        <v>3.93</v>
      </c>
      <c r="CE78" s="318">
        <f>(CD78*CG78)+CC78</f>
        <v>24.75</v>
      </c>
      <c r="CF78" s="74" t="s">
        <v>2423</v>
      </c>
      <c r="CG78" s="74">
        <v>6</v>
      </c>
      <c r="CH78" s="74">
        <v>12</v>
      </c>
      <c r="CI78" s="74">
        <v>3</v>
      </c>
      <c r="CJ78" s="74">
        <f t="shared" ref="CJ78" si="4">CG78*CH78*CI78</f>
        <v>216</v>
      </c>
      <c r="CK78" s="147">
        <f>(CH78*CI78*CE78)+50</f>
        <v>941</v>
      </c>
      <c r="CL78" s="74" t="s">
        <v>256</v>
      </c>
      <c r="CM78" s="79" t="s">
        <v>150</v>
      </c>
      <c r="CN78" s="71"/>
      <c r="CO78" s="71"/>
    </row>
    <row r="79" spans="1:99" s="1" customFormat="1" x14ac:dyDescent="0.25">
      <c r="A79" s="314">
        <v>42915</v>
      </c>
      <c r="B79" s="213" t="s">
        <v>12</v>
      </c>
      <c r="C79" s="213" t="s">
        <v>2412</v>
      </c>
      <c r="D79" s="213" t="s">
        <v>54</v>
      </c>
      <c r="E79" s="213" t="s">
        <v>2410</v>
      </c>
      <c r="F79" s="175" t="s">
        <v>2413</v>
      </c>
      <c r="G79" s="175"/>
      <c r="H79" s="175"/>
      <c r="I79" s="175"/>
      <c r="J79" s="41" t="s">
        <v>894</v>
      </c>
      <c r="K79" s="325">
        <v>4367100</v>
      </c>
      <c r="L79" s="325"/>
      <c r="M79" s="325"/>
      <c r="N79" s="25"/>
      <c r="O79" s="26"/>
      <c r="P79" s="26"/>
      <c r="Q79" s="26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5" t="s">
        <v>2414</v>
      </c>
      <c r="AO79" s="33"/>
      <c r="AP79" s="25"/>
      <c r="AQ79" s="33"/>
      <c r="AR79" s="31" t="s">
        <v>2415</v>
      </c>
      <c r="AS79" s="33"/>
      <c r="AT79" s="25" t="s">
        <v>2416</v>
      </c>
      <c r="AU79" s="325"/>
      <c r="AV79" s="325"/>
      <c r="AW79" s="41"/>
      <c r="AX79" s="325"/>
      <c r="AY79" s="325"/>
      <c r="AZ79" s="325"/>
      <c r="BA79" s="325"/>
      <c r="BB79" s="325"/>
      <c r="BC79" s="325"/>
      <c r="BD79" s="325"/>
      <c r="BE79" s="31"/>
      <c r="BF79" s="325"/>
      <c r="BG79" s="325"/>
      <c r="BH79" s="325"/>
      <c r="BI79" s="325"/>
      <c r="BJ79" s="31" t="s">
        <v>2417</v>
      </c>
      <c r="BK79" s="170">
        <v>55.89</v>
      </c>
      <c r="BL79" s="163" t="s">
        <v>2424</v>
      </c>
      <c r="BM79" s="163" t="s">
        <v>2425</v>
      </c>
      <c r="BN79" s="36"/>
      <c r="BO79" s="36"/>
      <c r="BP79" s="36"/>
      <c r="BQ79" s="324">
        <v>4.6500000000000004</v>
      </c>
      <c r="BR79" s="324">
        <v>11.904</v>
      </c>
      <c r="BS79" s="322"/>
      <c r="BT79" s="559" t="s">
        <v>2422</v>
      </c>
      <c r="BU79" s="560"/>
      <c r="BV79" s="560"/>
      <c r="BW79" s="560"/>
      <c r="BX79" s="561"/>
      <c r="BY79" s="318">
        <v>15.01</v>
      </c>
      <c r="BZ79" s="116">
        <v>10.26</v>
      </c>
      <c r="CA79" s="116">
        <v>13.27</v>
      </c>
      <c r="CB79" s="116">
        <f>(BY79*BZ79*CA79)/1728</f>
        <v>1.18264728125</v>
      </c>
      <c r="CC79" s="317">
        <v>1.1000000000000001</v>
      </c>
      <c r="CD79" s="318">
        <v>3.6</v>
      </c>
      <c r="CE79" s="318">
        <f>(CD79*CG79)+CC79</f>
        <v>22.700000000000003</v>
      </c>
      <c r="CF79" s="74" t="s">
        <v>2423</v>
      </c>
      <c r="CG79" s="74">
        <v>6</v>
      </c>
      <c r="CH79" s="74">
        <v>10</v>
      </c>
      <c r="CI79" s="74">
        <v>3</v>
      </c>
      <c r="CJ79" s="74">
        <f>CG79*CH79*CI79</f>
        <v>180</v>
      </c>
      <c r="CK79" s="147">
        <f>(CH79*CI79*CE79)+50</f>
        <v>731.00000000000011</v>
      </c>
      <c r="CL79" s="74" t="s">
        <v>256</v>
      </c>
      <c r="CM79" s="79" t="s">
        <v>150</v>
      </c>
      <c r="CN79" s="71"/>
      <c r="CO79" s="71"/>
    </row>
    <row r="80" spans="1:99" s="1" customFormat="1" ht="30" x14ac:dyDescent="0.25">
      <c r="A80" s="314">
        <v>42915</v>
      </c>
      <c r="B80" s="213" t="s">
        <v>12</v>
      </c>
      <c r="C80" s="213" t="s">
        <v>2418</v>
      </c>
      <c r="D80" s="213" t="s">
        <v>54</v>
      </c>
      <c r="E80" s="213" t="s">
        <v>2381</v>
      </c>
      <c r="F80" s="175" t="s">
        <v>2419</v>
      </c>
      <c r="G80" s="175"/>
      <c r="H80" s="175"/>
      <c r="I80" s="175"/>
      <c r="J80" s="41" t="s">
        <v>721</v>
      </c>
      <c r="K80" s="325" t="s">
        <v>916</v>
      </c>
      <c r="L80" s="325"/>
      <c r="M80" s="325"/>
      <c r="N80" s="25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5"/>
      <c r="AO80" s="33"/>
      <c r="AP80" s="25"/>
      <c r="AQ80" s="33"/>
      <c r="AR80" s="31"/>
      <c r="AS80" s="33"/>
      <c r="AT80" s="25"/>
      <c r="AU80" s="325"/>
      <c r="AV80" s="325"/>
      <c r="AW80" s="41"/>
      <c r="AX80" s="325"/>
      <c r="AY80" s="325"/>
      <c r="AZ80" s="325"/>
      <c r="BA80" s="325"/>
      <c r="BB80" s="325"/>
      <c r="BC80" s="325"/>
      <c r="BD80" s="325"/>
      <c r="BE80" s="31"/>
      <c r="BF80" s="325"/>
      <c r="BG80" s="325"/>
      <c r="BH80" s="325"/>
      <c r="BI80" s="325"/>
      <c r="BJ80" s="31"/>
      <c r="BK80" s="170">
        <v>115.63</v>
      </c>
      <c r="BL80" s="163" t="s">
        <v>2426</v>
      </c>
      <c r="BM80" s="163" t="s">
        <v>2427</v>
      </c>
      <c r="BN80" s="36"/>
      <c r="BO80" s="36"/>
      <c r="BP80" s="36"/>
      <c r="BQ80" s="36"/>
      <c r="BR80" s="36"/>
      <c r="BS80" s="322"/>
      <c r="BT80" s="559" t="s">
        <v>2422</v>
      </c>
      <c r="BU80" s="560"/>
      <c r="BV80" s="560"/>
      <c r="BW80" s="560"/>
      <c r="BX80" s="561"/>
      <c r="BY80" s="116">
        <v>13.59</v>
      </c>
      <c r="BZ80" s="116">
        <v>9.09</v>
      </c>
      <c r="CA80" s="116">
        <v>11.18</v>
      </c>
      <c r="CB80" s="116">
        <f t="shared" ref="CB80" si="5">(BY80*BZ80*CA80)/1728</f>
        <v>0.79924771874999989</v>
      </c>
      <c r="CC80" s="317">
        <v>0.84</v>
      </c>
      <c r="CD80" s="318">
        <v>10.5</v>
      </c>
      <c r="CE80" s="318">
        <f t="shared" ref="CE80" si="6">(CD80*CG80)+CC80</f>
        <v>11.34</v>
      </c>
      <c r="CF80" s="74" t="s">
        <v>2423</v>
      </c>
      <c r="CG80" s="74">
        <v>1</v>
      </c>
      <c r="CH80" s="74">
        <v>13</v>
      </c>
      <c r="CI80" s="74">
        <v>4</v>
      </c>
      <c r="CJ80" s="74">
        <f t="shared" ref="CJ80" si="7">CG80*CH80*CI80</f>
        <v>52</v>
      </c>
      <c r="CK80" s="147">
        <f t="shared" ref="CK80" si="8">(CH80*CI80*CE80)+50</f>
        <v>639.67999999999995</v>
      </c>
      <c r="CL80" s="74" t="s">
        <v>256</v>
      </c>
      <c r="CM80" s="79" t="s">
        <v>150</v>
      </c>
      <c r="CN80" s="71"/>
      <c r="CO80" s="71"/>
    </row>
    <row r="81" spans="1:93" s="1" customFormat="1" x14ac:dyDescent="0.25">
      <c r="A81" s="314">
        <v>42902</v>
      </c>
      <c r="B81" s="213" t="s">
        <v>12</v>
      </c>
      <c r="C81" s="213" t="s">
        <v>2405</v>
      </c>
      <c r="D81" s="213" t="s">
        <v>54</v>
      </c>
      <c r="E81" s="326" t="s">
        <v>2408</v>
      </c>
      <c r="F81" s="221" t="s">
        <v>2373</v>
      </c>
      <c r="G81" s="221"/>
      <c r="H81" s="221"/>
      <c r="I81" s="221"/>
      <c r="J81" s="41" t="s">
        <v>739</v>
      </c>
      <c r="K81" s="25" t="s">
        <v>2374</v>
      </c>
      <c r="L81" s="319"/>
      <c r="M81" s="319"/>
      <c r="N81" s="25"/>
      <c r="O81" s="26"/>
      <c r="P81" s="26"/>
      <c r="Q81" s="26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5" t="s">
        <v>2375</v>
      </c>
      <c r="AO81" s="33"/>
      <c r="AP81" s="25"/>
      <c r="AQ81" s="33"/>
      <c r="AR81" s="31" t="s">
        <v>2376</v>
      </c>
      <c r="AS81" s="33"/>
      <c r="AT81" s="25" t="s">
        <v>2377</v>
      </c>
      <c r="AU81" s="319" t="s">
        <v>2378</v>
      </c>
      <c r="AV81" s="319"/>
      <c r="AW81" s="41"/>
      <c r="AX81" s="319"/>
      <c r="AY81" s="319"/>
      <c r="AZ81" s="319"/>
      <c r="BA81" s="319"/>
      <c r="BB81" s="319"/>
      <c r="BC81" s="319"/>
      <c r="BD81" s="319"/>
      <c r="BE81" s="31" t="s">
        <v>2379</v>
      </c>
      <c r="BF81" s="319"/>
      <c r="BG81" s="319"/>
      <c r="BH81" s="319"/>
      <c r="BI81" s="319"/>
      <c r="BJ81" s="319">
        <v>57909</v>
      </c>
      <c r="BK81" s="170">
        <v>39.869999999999997</v>
      </c>
      <c r="BL81" s="163" t="s">
        <v>2393</v>
      </c>
      <c r="BM81" s="163" t="s">
        <v>2394</v>
      </c>
      <c r="BN81" s="36"/>
      <c r="BO81" s="36"/>
      <c r="BP81" s="36"/>
      <c r="BQ81" s="320">
        <v>4.6849999999999996</v>
      </c>
      <c r="BR81" s="320">
        <v>10.413</v>
      </c>
      <c r="BS81" s="322"/>
      <c r="BT81" s="573" t="s">
        <v>2395</v>
      </c>
      <c r="BU81" s="574"/>
      <c r="BV81" s="574"/>
      <c r="BW81" s="574"/>
      <c r="BX81" s="575"/>
      <c r="BY81" s="318">
        <f>15.748+0.25</f>
        <v>15.997999999999999</v>
      </c>
      <c r="BZ81" s="116">
        <f>10.039+0.25</f>
        <v>10.289</v>
      </c>
      <c r="CA81" s="116">
        <f>10.827+0.5</f>
        <v>11.327</v>
      </c>
      <c r="CB81" s="116">
        <f>(BY81*BZ81*CA81)/1728</f>
        <v>1.078971620945602</v>
      </c>
      <c r="CC81" s="317">
        <v>1.3</v>
      </c>
      <c r="CD81" s="318">
        <v>0.8</v>
      </c>
      <c r="CE81" s="318">
        <f>(CD81*CG81)+CC81</f>
        <v>6.1000000000000005</v>
      </c>
      <c r="CF81" s="74" t="s">
        <v>134</v>
      </c>
      <c r="CG81" s="74">
        <v>6</v>
      </c>
      <c r="CH81" s="74">
        <v>10</v>
      </c>
      <c r="CI81" s="74">
        <v>3</v>
      </c>
      <c r="CJ81" s="74">
        <f>CG81*CH81*CI81</f>
        <v>180</v>
      </c>
      <c r="CK81" s="147">
        <f>(CE81*CH81*CI81)+50</f>
        <v>233.00000000000003</v>
      </c>
      <c r="CL81" s="74" t="s">
        <v>149</v>
      </c>
      <c r="CM81" s="79" t="s">
        <v>150</v>
      </c>
      <c r="CN81" s="71"/>
      <c r="CO81" s="71"/>
    </row>
    <row r="82" spans="1:93" s="1" customFormat="1" ht="30" x14ac:dyDescent="0.25">
      <c r="A82" s="314">
        <v>42902</v>
      </c>
      <c r="B82" s="213" t="s">
        <v>12</v>
      </c>
      <c r="C82" s="213" t="s">
        <v>2380</v>
      </c>
      <c r="D82" s="213" t="s">
        <v>54</v>
      </c>
      <c r="E82" s="213" t="s">
        <v>2381</v>
      </c>
      <c r="F82" s="175" t="s">
        <v>2382</v>
      </c>
      <c r="G82" s="175"/>
      <c r="H82" s="175"/>
      <c r="I82" s="175"/>
      <c r="J82" s="41" t="s">
        <v>1972</v>
      </c>
      <c r="K82" s="319" t="s">
        <v>916</v>
      </c>
      <c r="L82" s="319"/>
      <c r="M82" s="319"/>
      <c r="N82" s="25"/>
      <c r="O82" s="26"/>
      <c r="P82" s="26"/>
      <c r="Q82" s="26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5"/>
      <c r="AO82" s="33"/>
      <c r="AP82" s="25"/>
      <c r="AQ82" s="33"/>
      <c r="AR82" s="31"/>
      <c r="AS82" s="33"/>
      <c r="AT82" s="25"/>
      <c r="AU82" s="319"/>
      <c r="AV82" s="319"/>
      <c r="AW82" s="41"/>
      <c r="AX82" s="319"/>
      <c r="AY82" s="319"/>
      <c r="AZ82" s="319"/>
      <c r="BA82" s="319"/>
      <c r="BB82" s="319"/>
      <c r="BC82" s="319"/>
      <c r="BD82" s="319"/>
      <c r="BE82" s="31"/>
      <c r="BF82" s="319"/>
      <c r="BG82" s="319"/>
      <c r="BH82" s="319"/>
      <c r="BI82" s="319"/>
      <c r="BJ82" s="319"/>
      <c r="BK82" s="170">
        <v>99.93</v>
      </c>
      <c r="BL82" s="163" t="s">
        <v>2396</v>
      </c>
      <c r="BM82" s="163" t="s">
        <v>2397</v>
      </c>
      <c r="BN82" s="36"/>
      <c r="BO82" s="36"/>
      <c r="BP82" s="36"/>
      <c r="BQ82" s="36"/>
      <c r="BR82" s="36"/>
      <c r="BS82" s="322"/>
      <c r="BT82" s="559" t="s">
        <v>2398</v>
      </c>
      <c r="BU82" s="560"/>
      <c r="BV82" s="560"/>
      <c r="BW82" s="560"/>
      <c r="BX82" s="561"/>
      <c r="BY82" s="116">
        <v>13.59</v>
      </c>
      <c r="BZ82" s="116">
        <v>9.09</v>
      </c>
      <c r="CA82" s="116">
        <v>11.18</v>
      </c>
      <c r="CB82" s="116">
        <f t="shared" ref="CB82:CB85" si="9">(BY82*BZ82*CA82)/1728</f>
        <v>0.79924771874999989</v>
      </c>
      <c r="CC82" s="317">
        <v>0.82</v>
      </c>
      <c r="CD82" s="318">
        <v>10.39</v>
      </c>
      <c r="CE82" s="318">
        <f>(CD82*CG82)+CC82</f>
        <v>11.21</v>
      </c>
      <c r="CF82" s="74" t="s">
        <v>134</v>
      </c>
      <c r="CG82" s="74">
        <v>1</v>
      </c>
      <c r="CH82" s="74">
        <v>13</v>
      </c>
      <c r="CI82" s="74">
        <v>4</v>
      </c>
      <c r="CJ82" s="74">
        <f>CG82*CH82*CI82</f>
        <v>52</v>
      </c>
      <c r="CK82" s="147">
        <f t="shared" ref="CK82:CK85" si="10">(CE82*CH82*CI82)+50</f>
        <v>632.92000000000007</v>
      </c>
      <c r="CL82" s="74" t="s">
        <v>256</v>
      </c>
      <c r="CM82" s="79" t="s">
        <v>150</v>
      </c>
      <c r="CN82" s="71"/>
      <c r="CO82" s="71"/>
    </row>
    <row r="83" spans="1:93" s="1" customFormat="1" ht="30" x14ac:dyDescent="0.25">
      <c r="A83" s="314">
        <v>42902</v>
      </c>
      <c r="B83" s="213" t="s">
        <v>12</v>
      </c>
      <c r="C83" s="213" t="s">
        <v>2383</v>
      </c>
      <c r="D83" s="213" t="s">
        <v>54</v>
      </c>
      <c r="E83" s="213" t="s">
        <v>2381</v>
      </c>
      <c r="F83" s="175" t="s">
        <v>2384</v>
      </c>
      <c r="G83" s="175"/>
      <c r="H83" s="175"/>
      <c r="I83" s="175"/>
      <c r="J83" s="41" t="s">
        <v>1972</v>
      </c>
      <c r="K83" s="319" t="s">
        <v>916</v>
      </c>
      <c r="L83" s="319"/>
      <c r="M83" s="319"/>
      <c r="N83" s="25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5"/>
      <c r="AO83" s="33"/>
      <c r="AP83" s="25"/>
      <c r="AQ83" s="33"/>
      <c r="AR83" s="31"/>
      <c r="AS83" s="33"/>
      <c r="AT83" s="25"/>
      <c r="AU83" s="319"/>
      <c r="AV83" s="319"/>
      <c r="AW83" s="41"/>
      <c r="AX83" s="319"/>
      <c r="AY83" s="319"/>
      <c r="AZ83" s="319"/>
      <c r="BA83" s="319"/>
      <c r="BB83" s="319"/>
      <c r="BC83" s="319"/>
      <c r="BD83" s="319"/>
      <c r="BE83" s="31"/>
      <c r="BF83" s="319"/>
      <c r="BG83" s="319"/>
      <c r="BH83" s="319"/>
      <c r="BI83" s="319"/>
      <c r="BJ83" s="319"/>
      <c r="BK83" s="170">
        <v>162.51</v>
      </c>
      <c r="BL83" s="163" t="s">
        <v>2399</v>
      </c>
      <c r="BM83" s="163" t="s">
        <v>2400</v>
      </c>
      <c r="BN83" s="36"/>
      <c r="BO83" s="36"/>
      <c r="BP83" s="36"/>
      <c r="BQ83" s="36"/>
      <c r="BR83" s="36"/>
      <c r="BS83" s="322"/>
      <c r="BT83" s="559" t="s">
        <v>2398</v>
      </c>
      <c r="BU83" s="560"/>
      <c r="BV83" s="560"/>
      <c r="BW83" s="560"/>
      <c r="BX83" s="561"/>
      <c r="BY83" s="116">
        <v>14.59</v>
      </c>
      <c r="BZ83" s="116">
        <v>9.7100000000000009</v>
      </c>
      <c r="CA83" s="116">
        <v>11.74</v>
      </c>
      <c r="CB83" s="116">
        <f t="shared" si="9"/>
        <v>0.96249588310185186</v>
      </c>
      <c r="CC83" s="317">
        <v>1.34</v>
      </c>
      <c r="CD83" s="318">
        <v>11.6</v>
      </c>
      <c r="CE83" s="318">
        <f t="shared" ref="CE83:CE84" si="11">(CD83*CG83)+CC83</f>
        <v>12.94</v>
      </c>
      <c r="CF83" s="74" t="s">
        <v>134</v>
      </c>
      <c r="CG83" s="74">
        <v>1</v>
      </c>
      <c r="CH83" s="74">
        <v>12</v>
      </c>
      <c r="CI83" s="74">
        <v>3</v>
      </c>
      <c r="CJ83" s="74">
        <f t="shared" ref="CJ83:CJ85" si="12">CG83*CH83*CI83</f>
        <v>36</v>
      </c>
      <c r="CK83" s="147">
        <f t="shared" si="10"/>
        <v>515.84</v>
      </c>
      <c r="CL83" s="74" t="s">
        <v>256</v>
      </c>
      <c r="CM83" s="79" t="s">
        <v>150</v>
      </c>
      <c r="CN83" s="71"/>
      <c r="CO83" s="71"/>
    </row>
    <row r="84" spans="1:93" s="1" customFormat="1" x14ac:dyDescent="0.25">
      <c r="A84" s="314">
        <v>42902</v>
      </c>
      <c r="B84" s="213" t="s">
        <v>12</v>
      </c>
      <c r="C84" s="213" t="s">
        <v>2385</v>
      </c>
      <c r="D84" s="213" t="s">
        <v>54</v>
      </c>
      <c r="E84" s="213" t="s">
        <v>2381</v>
      </c>
      <c r="F84" s="175" t="s">
        <v>2386</v>
      </c>
      <c r="G84" s="175"/>
      <c r="H84" s="175"/>
      <c r="I84" s="175"/>
      <c r="J84" s="41" t="s">
        <v>721</v>
      </c>
      <c r="K84" s="319" t="s">
        <v>916</v>
      </c>
      <c r="L84" s="319"/>
      <c r="M84" s="319"/>
      <c r="N84" s="25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5"/>
      <c r="AO84" s="33"/>
      <c r="AP84" s="25"/>
      <c r="AQ84" s="33"/>
      <c r="AR84" s="31"/>
      <c r="AS84" s="33"/>
      <c r="AT84" s="25"/>
      <c r="AU84" s="319"/>
      <c r="AV84" s="319"/>
      <c r="AW84" s="41"/>
      <c r="AX84" s="319"/>
      <c r="AY84" s="319"/>
      <c r="AZ84" s="319"/>
      <c r="BA84" s="319"/>
      <c r="BB84" s="319"/>
      <c r="BC84" s="319"/>
      <c r="BD84" s="319"/>
      <c r="BE84" s="31"/>
      <c r="BF84" s="319"/>
      <c r="BG84" s="319"/>
      <c r="BH84" s="319"/>
      <c r="BI84" s="319"/>
      <c r="BJ84" s="319"/>
      <c r="BK84" s="170">
        <v>84.29</v>
      </c>
      <c r="BL84" s="163" t="s">
        <v>2401</v>
      </c>
      <c r="BM84" s="163" t="s">
        <v>2402</v>
      </c>
      <c r="BN84" s="36"/>
      <c r="BO84" s="36"/>
      <c r="BP84" s="36"/>
      <c r="BQ84" s="36"/>
      <c r="BR84" s="36"/>
      <c r="BS84" s="322"/>
      <c r="BT84" s="559" t="s">
        <v>2398</v>
      </c>
      <c r="BU84" s="560"/>
      <c r="BV84" s="560"/>
      <c r="BW84" s="560"/>
      <c r="BX84" s="561"/>
      <c r="BY84" s="116">
        <v>9.09</v>
      </c>
      <c r="BZ84" s="116">
        <v>9.09</v>
      </c>
      <c r="CA84" s="116">
        <v>11.93</v>
      </c>
      <c r="CB84" s="116">
        <f t="shared" si="9"/>
        <v>0.57045904687500004</v>
      </c>
      <c r="CC84" s="317">
        <v>1</v>
      </c>
      <c r="CD84" s="318">
        <v>9.4</v>
      </c>
      <c r="CE84" s="318">
        <f t="shared" si="11"/>
        <v>10.4</v>
      </c>
      <c r="CF84" s="74" t="s">
        <v>134</v>
      </c>
      <c r="CG84" s="74">
        <v>1</v>
      </c>
      <c r="CH84" s="74">
        <v>20</v>
      </c>
      <c r="CI84" s="74">
        <v>3</v>
      </c>
      <c r="CJ84" s="74">
        <f t="shared" si="12"/>
        <v>60</v>
      </c>
      <c r="CK84" s="147">
        <f t="shared" si="10"/>
        <v>674</v>
      </c>
      <c r="CL84" s="74" t="s">
        <v>256</v>
      </c>
      <c r="CM84" s="79" t="s">
        <v>150</v>
      </c>
      <c r="CN84" s="71"/>
      <c r="CO84" s="71"/>
    </row>
    <row r="85" spans="1:93" s="1" customFormat="1" x14ac:dyDescent="0.25">
      <c r="A85" s="314">
        <v>42902</v>
      </c>
      <c r="B85" s="213" t="s">
        <v>12</v>
      </c>
      <c r="C85" s="263" t="s">
        <v>2406</v>
      </c>
      <c r="D85" s="213" t="s">
        <v>54</v>
      </c>
      <c r="E85" s="327" t="s">
        <v>2407</v>
      </c>
      <c r="F85" s="175" t="s">
        <v>2387</v>
      </c>
      <c r="G85" s="175"/>
      <c r="H85" s="175"/>
      <c r="I85" s="175"/>
      <c r="J85" s="41" t="s">
        <v>1825</v>
      </c>
      <c r="K85" s="25">
        <v>1561200</v>
      </c>
      <c r="L85" s="319"/>
      <c r="M85" s="319"/>
      <c r="N85" s="25"/>
      <c r="O85" s="26"/>
      <c r="P85" s="26"/>
      <c r="Q85" s="26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5" t="s">
        <v>2388</v>
      </c>
      <c r="AO85" s="33"/>
      <c r="AP85" s="25"/>
      <c r="AQ85" s="33"/>
      <c r="AR85" s="31" t="s">
        <v>2389</v>
      </c>
      <c r="AS85" s="33"/>
      <c r="AT85" s="25" t="s">
        <v>2390</v>
      </c>
      <c r="AU85" s="319" t="s">
        <v>2391</v>
      </c>
      <c r="AV85" s="319"/>
      <c r="AW85" s="41"/>
      <c r="AX85" s="319"/>
      <c r="AY85" s="319"/>
      <c r="AZ85" s="319"/>
      <c r="BA85" s="319"/>
      <c r="BB85" s="319"/>
      <c r="BC85" s="319"/>
      <c r="BD85" s="319"/>
      <c r="BE85" s="31"/>
      <c r="BF85" s="319"/>
      <c r="BG85" s="319"/>
      <c r="BH85" s="319"/>
      <c r="BI85" s="319"/>
      <c r="BJ85" s="319" t="s">
        <v>2392</v>
      </c>
      <c r="BK85" s="170">
        <v>24.08</v>
      </c>
      <c r="BL85" s="323" t="s">
        <v>2403</v>
      </c>
      <c r="BM85" s="323" t="s">
        <v>2404</v>
      </c>
      <c r="BN85" s="36"/>
      <c r="BO85" s="36"/>
      <c r="BP85" s="36"/>
      <c r="BQ85" s="320">
        <v>3.27</v>
      </c>
      <c r="BR85" s="320">
        <v>5.29</v>
      </c>
      <c r="BS85" s="95"/>
      <c r="BT85" s="287">
        <v>3.81</v>
      </c>
      <c r="BU85" s="287">
        <v>3.81</v>
      </c>
      <c r="BV85" s="287">
        <v>5.37</v>
      </c>
      <c r="BW85" s="285">
        <v>4.5999999999999999E-2</v>
      </c>
      <c r="BX85" s="77">
        <v>0.08</v>
      </c>
      <c r="BY85" s="284">
        <v>11.92</v>
      </c>
      <c r="BZ85" s="284">
        <v>7.99</v>
      </c>
      <c r="CA85" s="284">
        <v>5.98</v>
      </c>
      <c r="CB85" s="116">
        <f t="shared" si="9"/>
        <v>0.32959489814814824</v>
      </c>
      <c r="CC85" s="80">
        <v>0.42</v>
      </c>
      <c r="CD85" s="80">
        <v>0.64200000000000002</v>
      </c>
      <c r="CE85" s="318">
        <f>((BX85+CD85)*CG85)+CC85</f>
        <v>4.7519999999999998</v>
      </c>
      <c r="CF85" s="104" t="s">
        <v>134</v>
      </c>
      <c r="CG85" s="321">
        <v>6</v>
      </c>
      <c r="CH85" s="321">
        <v>20</v>
      </c>
      <c r="CI85" s="321">
        <v>7</v>
      </c>
      <c r="CJ85" s="74">
        <f t="shared" si="12"/>
        <v>840</v>
      </c>
      <c r="CK85" s="147">
        <f t="shared" si="10"/>
        <v>715.28</v>
      </c>
      <c r="CL85" s="27" t="s">
        <v>256</v>
      </c>
      <c r="CM85" s="79" t="s">
        <v>150</v>
      </c>
      <c r="CN85" s="71"/>
      <c r="CO85" s="71"/>
    </row>
    <row r="86" spans="1:93" s="1" customFormat="1" ht="30" x14ac:dyDescent="0.25">
      <c r="A86" s="314">
        <v>42888</v>
      </c>
      <c r="B86" s="213" t="s">
        <v>12</v>
      </c>
      <c r="C86" s="213" t="s">
        <v>2339</v>
      </c>
      <c r="D86" s="213" t="s">
        <v>54</v>
      </c>
      <c r="E86" s="213" t="s">
        <v>1077</v>
      </c>
      <c r="F86" s="221" t="s">
        <v>2340</v>
      </c>
      <c r="G86" s="221"/>
      <c r="H86" s="221"/>
      <c r="I86" s="221"/>
      <c r="J86" s="41" t="s">
        <v>871</v>
      </c>
      <c r="K86" s="25" t="s">
        <v>916</v>
      </c>
      <c r="L86" s="313"/>
      <c r="M86" s="313"/>
      <c r="N86" s="25"/>
      <c r="O86" s="26"/>
      <c r="P86" s="26"/>
      <c r="Q86" s="26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5"/>
      <c r="AO86" s="33"/>
      <c r="AP86" s="25"/>
      <c r="AQ86" s="33"/>
      <c r="AR86" s="31"/>
      <c r="AS86" s="33"/>
      <c r="AT86" s="25"/>
      <c r="AU86" s="313"/>
      <c r="AV86" s="313"/>
      <c r="AW86" s="41"/>
      <c r="AX86" s="313"/>
      <c r="AY86" s="313"/>
      <c r="AZ86" s="313"/>
      <c r="BA86" s="313"/>
      <c r="BB86" s="313"/>
      <c r="BC86" s="313"/>
      <c r="BD86" s="313"/>
      <c r="BE86" s="31"/>
      <c r="BF86" s="313"/>
      <c r="BG86" s="313"/>
      <c r="BH86" s="313"/>
      <c r="BI86" s="313"/>
      <c r="BJ86" s="313"/>
      <c r="BK86" s="170">
        <v>54.68</v>
      </c>
      <c r="BL86" s="163" t="s">
        <v>2365</v>
      </c>
      <c r="BM86" s="163" t="s">
        <v>2366</v>
      </c>
      <c r="BN86" s="36"/>
      <c r="BO86" s="36"/>
      <c r="BP86" s="36"/>
      <c r="BQ86" s="36"/>
      <c r="BR86" s="36"/>
      <c r="BS86" s="316">
        <v>3.18</v>
      </c>
      <c r="BT86" s="559" t="s">
        <v>2367</v>
      </c>
      <c r="BU86" s="560"/>
      <c r="BV86" s="560"/>
      <c r="BW86" s="560"/>
      <c r="BX86" s="561"/>
      <c r="BY86" s="116">
        <v>8.99</v>
      </c>
      <c r="BZ86" s="116">
        <v>8.99</v>
      </c>
      <c r="CA86" s="116">
        <v>8.85</v>
      </c>
      <c r="CB86" s="116">
        <f>(CA86*BZ86*BY86)/1728</f>
        <v>0.41392238715277779</v>
      </c>
      <c r="CC86" s="317">
        <f>0.48+0.1</f>
        <v>0.57999999999999996</v>
      </c>
      <c r="CD86" s="318">
        <f>BS86</f>
        <v>3.18</v>
      </c>
      <c r="CE86" s="318">
        <f>(BS86*CG86)+CC86</f>
        <v>3.7600000000000002</v>
      </c>
      <c r="CF86" s="74" t="s">
        <v>134</v>
      </c>
      <c r="CG86" s="74">
        <v>1</v>
      </c>
      <c r="CH86" s="74">
        <v>20</v>
      </c>
      <c r="CI86" s="74">
        <v>5</v>
      </c>
      <c r="CJ86" s="74">
        <f>CG86*CH86*CI86</f>
        <v>100</v>
      </c>
      <c r="CK86" s="147">
        <f>((((BS86+BX86)*CG86)+CC86)*CH86*CI86)+50</f>
        <v>426</v>
      </c>
      <c r="CL86" s="74" t="s">
        <v>256</v>
      </c>
      <c r="CM86" s="79" t="s">
        <v>150</v>
      </c>
      <c r="CN86" s="71"/>
      <c r="CO86" s="71"/>
    </row>
    <row r="87" spans="1:93" s="1" customFormat="1" x14ac:dyDescent="0.25">
      <c r="A87" s="314">
        <v>42888</v>
      </c>
      <c r="B87" s="213" t="s">
        <v>12</v>
      </c>
      <c r="C87" s="213" t="s">
        <v>2341</v>
      </c>
      <c r="D87" s="213" t="s">
        <v>54</v>
      </c>
      <c r="E87" s="213" t="s">
        <v>2342</v>
      </c>
      <c r="F87" s="175" t="s">
        <v>2343</v>
      </c>
      <c r="G87" s="175"/>
      <c r="H87" s="175"/>
      <c r="I87" s="175"/>
      <c r="J87" s="41" t="s">
        <v>2344</v>
      </c>
      <c r="K87" s="315" t="s">
        <v>2345</v>
      </c>
      <c r="L87" s="313"/>
      <c r="M87" s="313"/>
      <c r="N87" s="25"/>
      <c r="O87" s="26"/>
      <c r="P87" s="26"/>
      <c r="Q87" s="26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5" t="s">
        <v>2346</v>
      </c>
      <c r="AO87" s="33"/>
      <c r="AP87" s="25">
        <v>93060</v>
      </c>
      <c r="AQ87" s="33"/>
      <c r="AR87" s="31" t="s">
        <v>2347</v>
      </c>
      <c r="AS87" s="33"/>
      <c r="AT87" s="25" t="s">
        <v>2348</v>
      </c>
      <c r="AU87" s="313"/>
      <c r="AV87" s="313" t="s">
        <v>2349</v>
      </c>
      <c r="AW87" s="41"/>
      <c r="AX87" s="313"/>
      <c r="AY87" s="313"/>
      <c r="AZ87" s="313"/>
      <c r="BA87" s="313"/>
      <c r="BB87" s="313"/>
      <c r="BC87" s="313"/>
      <c r="BD87" s="313">
        <v>500060</v>
      </c>
      <c r="BE87" s="31"/>
      <c r="BF87" s="313"/>
      <c r="BG87" s="313"/>
      <c r="BH87" s="313"/>
      <c r="BI87" s="313"/>
      <c r="BJ87" s="313" t="s">
        <v>2350</v>
      </c>
      <c r="BK87" s="170">
        <v>48.81</v>
      </c>
      <c r="BL87" s="163" t="s">
        <v>2368</v>
      </c>
      <c r="BM87" s="163" t="s">
        <v>2369</v>
      </c>
      <c r="BN87" s="36"/>
      <c r="BO87" s="36"/>
      <c r="BP87" s="36"/>
      <c r="BQ87" s="312">
        <v>7.3</v>
      </c>
      <c r="BR87" s="312">
        <v>11.365</v>
      </c>
      <c r="BS87" s="316">
        <v>0.95</v>
      </c>
      <c r="BT87" s="559" t="s">
        <v>2370</v>
      </c>
      <c r="BU87" s="560"/>
      <c r="BV87" s="560"/>
      <c r="BW87" s="560"/>
      <c r="BX87" s="561"/>
      <c r="BY87" s="116">
        <v>11.86</v>
      </c>
      <c r="BZ87" s="116">
        <v>7.86</v>
      </c>
      <c r="CA87" s="116">
        <v>7.98</v>
      </c>
      <c r="CB87" s="116">
        <f>(CA87*BZ87*BY87)/1728</f>
        <v>0.43049329166666667</v>
      </c>
      <c r="CC87" s="317">
        <v>0.44</v>
      </c>
      <c r="CD87" s="318">
        <f>BS87</f>
        <v>0.95</v>
      </c>
      <c r="CE87" s="318">
        <f>(BS87*CG87)+CC87</f>
        <v>1.39</v>
      </c>
      <c r="CF87" s="74" t="s">
        <v>134</v>
      </c>
      <c r="CG87" s="74">
        <v>1</v>
      </c>
      <c r="CH87" s="74">
        <v>30</v>
      </c>
      <c r="CI87" s="74">
        <v>3</v>
      </c>
      <c r="CJ87" s="74">
        <f>CG87*CH87*CI87</f>
        <v>90</v>
      </c>
      <c r="CK87" s="147">
        <f>((((BS87+BX87)*CG87)+CC87)*CH87*CI87)+50</f>
        <v>175.1</v>
      </c>
      <c r="CL87" s="74" t="s">
        <v>256</v>
      </c>
      <c r="CM87" s="79" t="s">
        <v>136</v>
      </c>
      <c r="CN87" s="71"/>
      <c r="CO87" s="71"/>
    </row>
    <row r="88" spans="1:93" s="1" customFormat="1" ht="30" x14ac:dyDescent="0.25">
      <c r="A88" s="314">
        <v>42888</v>
      </c>
      <c r="B88" s="213" t="s">
        <v>12</v>
      </c>
      <c r="C88" s="213" t="s">
        <v>2351</v>
      </c>
      <c r="D88" s="213" t="s">
        <v>54</v>
      </c>
      <c r="E88" s="72" t="s">
        <v>2352</v>
      </c>
      <c r="F88" s="175" t="s">
        <v>2353</v>
      </c>
      <c r="G88" s="175"/>
      <c r="H88" s="175"/>
      <c r="I88" s="175"/>
      <c r="J88" s="41" t="s">
        <v>2354</v>
      </c>
      <c r="K88" s="313">
        <v>87404270</v>
      </c>
      <c r="L88" s="313" t="s">
        <v>108</v>
      </c>
      <c r="M88" s="313" t="s">
        <v>2355</v>
      </c>
      <c r="N88" s="25" t="s">
        <v>1825</v>
      </c>
      <c r="O88" s="26" t="s">
        <v>2356</v>
      </c>
      <c r="P88" s="26" t="s">
        <v>2357</v>
      </c>
      <c r="Q88" s="26">
        <v>961416</v>
      </c>
      <c r="R88" s="26" t="s">
        <v>894</v>
      </c>
      <c r="S88" s="26">
        <v>3013210</v>
      </c>
      <c r="T88" s="26" t="s">
        <v>269</v>
      </c>
      <c r="U88" s="26" t="s">
        <v>2358</v>
      </c>
      <c r="V88" s="26" t="s">
        <v>1833</v>
      </c>
      <c r="W88" s="26">
        <v>35123512</v>
      </c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5" t="s">
        <v>2359</v>
      </c>
      <c r="AO88" s="33"/>
      <c r="AP88" s="25">
        <v>87546</v>
      </c>
      <c r="AQ88" s="33"/>
      <c r="AR88" s="31" t="s">
        <v>2360</v>
      </c>
      <c r="AS88" s="33"/>
      <c r="AT88" s="25" t="s">
        <v>2361</v>
      </c>
      <c r="AU88" s="313" t="s">
        <v>2362</v>
      </c>
      <c r="AV88" s="313"/>
      <c r="AW88" s="41"/>
      <c r="AX88" s="313"/>
      <c r="AY88" s="313"/>
      <c r="AZ88" s="313"/>
      <c r="BA88" s="313"/>
      <c r="BB88" s="313"/>
      <c r="BC88" s="313"/>
      <c r="BD88" s="313" t="s">
        <v>2363</v>
      </c>
      <c r="BE88" s="31"/>
      <c r="BF88" s="313"/>
      <c r="BG88" s="313"/>
      <c r="BH88" s="313"/>
      <c r="BI88" s="313"/>
      <c r="BJ88" s="313" t="s">
        <v>2364</v>
      </c>
      <c r="BK88" s="170">
        <v>175.63</v>
      </c>
      <c r="BL88" s="163" t="s">
        <v>2371</v>
      </c>
      <c r="BM88" s="163" t="s">
        <v>2372</v>
      </c>
      <c r="BN88" s="36"/>
      <c r="BO88" s="36"/>
      <c r="BP88" s="36"/>
      <c r="BQ88" s="312">
        <v>12.75</v>
      </c>
      <c r="BR88" s="312">
        <v>24.06</v>
      </c>
      <c r="BS88" s="316">
        <v>9.3800000000000008</v>
      </c>
      <c r="BT88" s="559" t="s">
        <v>2370</v>
      </c>
      <c r="BU88" s="560"/>
      <c r="BV88" s="560"/>
      <c r="BW88" s="560"/>
      <c r="BX88" s="561"/>
      <c r="BY88" s="116">
        <v>25.52</v>
      </c>
      <c r="BZ88" s="116">
        <v>14.22</v>
      </c>
      <c r="CA88" s="116">
        <v>14.56</v>
      </c>
      <c r="CB88" s="116">
        <f>(CA88*BZ88*BY88)/1728</f>
        <v>3.0577213333333333</v>
      </c>
      <c r="CC88" s="317">
        <v>2.75</v>
      </c>
      <c r="CD88" s="318">
        <f>BS88</f>
        <v>9.3800000000000008</v>
      </c>
      <c r="CE88" s="318">
        <f>(BS88*CG88)+CC88</f>
        <v>12.13</v>
      </c>
      <c r="CF88" s="74" t="s">
        <v>134</v>
      </c>
      <c r="CG88" s="74">
        <v>1</v>
      </c>
      <c r="CH88" s="74">
        <v>6</v>
      </c>
      <c r="CI88" s="74">
        <v>1</v>
      </c>
      <c r="CJ88" s="74">
        <f>CG88*CH88*CI88</f>
        <v>6</v>
      </c>
      <c r="CK88" s="147">
        <f>((((BS88+BX88)*CG88)+CC88)*CH88*CI88)+50</f>
        <v>122.78</v>
      </c>
      <c r="CL88" s="74" t="s">
        <v>256</v>
      </c>
      <c r="CM88" s="79" t="s">
        <v>136</v>
      </c>
      <c r="CN88" s="71"/>
      <c r="CO88" s="71"/>
    </row>
    <row r="89" spans="1:93" s="1" customFormat="1" x14ac:dyDescent="0.25">
      <c r="A89" s="87">
        <v>42781</v>
      </c>
      <c r="B89" s="169" t="s">
        <v>12</v>
      </c>
      <c r="C89" s="169" t="s">
        <v>2259</v>
      </c>
      <c r="D89" s="169" t="s">
        <v>105</v>
      </c>
      <c r="E89" s="169" t="s">
        <v>300</v>
      </c>
      <c r="F89" s="175" t="s">
        <v>2260</v>
      </c>
      <c r="G89" s="175"/>
      <c r="H89" s="175"/>
      <c r="I89" s="175"/>
      <c r="J89" s="41" t="s">
        <v>333</v>
      </c>
      <c r="K89" s="25" t="s">
        <v>2261</v>
      </c>
      <c r="L89" s="305"/>
      <c r="M89" s="305"/>
      <c r="N89" s="25"/>
      <c r="O89" s="26"/>
      <c r="P89" s="26"/>
      <c r="Q89" s="26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5"/>
      <c r="AO89" s="33"/>
      <c r="AP89" s="25"/>
      <c r="AQ89" s="33"/>
      <c r="AR89" s="31"/>
      <c r="AS89" s="33"/>
      <c r="AT89" s="25"/>
      <c r="AU89" s="305"/>
      <c r="AV89" s="305"/>
      <c r="AW89" s="41"/>
      <c r="AX89" s="305" t="s">
        <v>2262</v>
      </c>
      <c r="AY89" s="305"/>
      <c r="AZ89" s="305"/>
      <c r="BA89" s="305"/>
      <c r="BB89" s="305"/>
      <c r="BC89" s="305"/>
      <c r="BD89" s="305"/>
      <c r="BE89" s="31"/>
      <c r="BF89" s="305"/>
      <c r="BG89" s="305"/>
      <c r="BH89" s="305"/>
      <c r="BI89" s="305"/>
      <c r="BJ89" s="305" t="s">
        <v>2263</v>
      </c>
      <c r="BK89" s="311">
        <v>34.47</v>
      </c>
      <c r="BL89" s="310" t="s">
        <v>2320</v>
      </c>
      <c r="BM89" s="310" t="s">
        <v>2321</v>
      </c>
      <c r="BN89" s="275">
        <v>9.17</v>
      </c>
      <c r="BO89" s="275">
        <v>5.57</v>
      </c>
      <c r="BP89" s="275">
        <v>2.2200000000000002</v>
      </c>
      <c r="BQ89" s="164"/>
      <c r="BR89" s="164"/>
      <c r="BS89" s="276">
        <v>0.39</v>
      </c>
      <c r="BT89" s="277">
        <v>7.0359999999999996</v>
      </c>
      <c r="BU89" s="277">
        <v>2.536</v>
      </c>
      <c r="BV89" s="277">
        <v>11.821999999999999</v>
      </c>
      <c r="BW89" s="278">
        <v>0.12207375307407406</v>
      </c>
      <c r="BX89" s="276">
        <v>0.19</v>
      </c>
      <c r="BY89" s="279">
        <v>12.25</v>
      </c>
      <c r="BZ89" s="279">
        <v>7.5</v>
      </c>
      <c r="CA89" s="279">
        <v>8.5</v>
      </c>
      <c r="CB89" s="279">
        <v>0.4519314236111111</v>
      </c>
      <c r="CC89" s="283">
        <v>0.44</v>
      </c>
      <c r="CD89" s="283">
        <v>0.58000000000000007</v>
      </c>
      <c r="CE89" s="283">
        <v>2.1800000000000002</v>
      </c>
      <c r="CF89" s="248" t="s">
        <v>134</v>
      </c>
      <c r="CG89" s="305">
        <v>3</v>
      </c>
      <c r="CH89" s="305">
        <v>20</v>
      </c>
      <c r="CI89" s="305">
        <v>5</v>
      </c>
      <c r="CJ89" s="153">
        <v>300</v>
      </c>
      <c r="CK89" s="281">
        <v>268</v>
      </c>
      <c r="CL89" s="153" t="s">
        <v>139</v>
      </c>
      <c r="CM89" s="250" t="s">
        <v>136</v>
      </c>
      <c r="CN89" s="71"/>
      <c r="CO89" s="71"/>
    </row>
    <row r="90" spans="1:93" s="1" customFormat="1" ht="30" x14ac:dyDescent="0.25">
      <c r="A90" s="87">
        <v>42781</v>
      </c>
      <c r="B90" s="169" t="s">
        <v>12</v>
      </c>
      <c r="C90" s="169" t="s">
        <v>2264</v>
      </c>
      <c r="D90" s="169" t="s">
        <v>105</v>
      </c>
      <c r="E90" s="169" t="s">
        <v>357</v>
      </c>
      <c r="F90" s="175" t="s">
        <v>2265</v>
      </c>
      <c r="G90" s="175"/>
      <c r="H90" s="175"/>
      <c r="I90" s="175"/>
      <c r="J90" s="41" t="s">
        <v>269</v>
      </c>
      <c r="K90" s="25" t="s">
        <v>2266</v>
      </c>
      <c r="L90" s="305"/>
      <c r="M90" s="305"/>
      <c r="N90" s="25"/>
      <c r="O90" s="26"/>
      <c r="P90" s="26"/>
      <c r="Q90" s="26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5"/>
      <c r="AO90" s="33"/>
      <c r="AP90" s="25"/>
      <c r="AQ90" s="33"/>
      <c r="AR90" s="31"/>
      <c r="AS90" s="33"/>
      <c r="AT90" s="25"/>
      <c r="AU90" s="305" t="s">
        <v>2267</v>
      </c>
      <c r="AV90" s="305"/>
      <c r="AW90" s="41"/>
      <c r="AX90" s="305"/>
      <c r="AY90" s="305"/>
      <c r="AZ90" s="305"/>
      <c r="BA90" s="305"/>
      <c r="BB90" s="305"/>
      <c r="BC90" s="305"/>
      <c r="BD90" s="305"/>
      <c r="BE90" s="31"/>
      <c r="BF90" s="305" t="s">
        <v>2268</v>
      </c>
      <c r="BG90" s="305" t="s">
        <v>2269</v>
      </c>
      <c r="BH90" s="305"/>
      <c r="BI90" s="305"/>
      <c r="BJ90" s="305" t="s">
        <v>2270</v>
      </c>
      <c r="BK90" s="311">
        <v>13.6</v>
      </c>
      <c r="BL90" s="310" t="s">
        <v>2322</v>
      </c>
      <c r="BM90" s="310" t="s">
        <v>2323</v>
      </c>
      <c r="BN90" s="275">
        <v>10.27</v>
      </c>
      <c r="BO90" s="275">
        <v>6.65</v>
      </c>
      <c r="BP90" s="275">
        <v>2.06</v>
      </c>
      <c r="BQ90" s="164"/>
      <c r="BR90" s="164"/>
      <c r="BS90" s="276">
        <v>1.01</v>
      </c>
      <c r="BT90" s="277">
        <v>9.17</v>
      </c>
      <c r="BU90" s="277">
        <v>2.4369999999999998</v>
      </c>
      <c r="BV90" s="277">
        <v>11.803999999999998</v>
      </c>
      <c r="BW90" s="278">
        <v>0.15265475182870367</v>
      </c>
      <c r="BX90" s="276">
        <v>0.1</v>
      </c>
      <c r="BY90" s="279">
        <v>15.407</v>
      </c>
      <c r="BZ90" s="279">
        <v>12.651</v>
      </c>
      <c r="CA90" s="279">
        <v>10.146000000000001</v>
      </c>
      <c r="CB90" s="279">
        <v>1.1444427128020833</v>
      </c>
      <c r="CC90" s="283">
        <v>0.25</v>
      </c>
      <c r="CD90" s="283">
        <v>1.1100000000000001</v>
      </c>
      <c r="CE90" s="283">
        <v>6.91</v>
      </c>
      <c r="CF90" s="248" t="s">
        <v>134</v>
      </c>
      <c r="CG90" s="305">
        <v>6</v>
      </c>
      <c r="CH90" s="305">
        <v>10</v>
      </c>
      <c r="CI90" s="305">
        <v>3</v>
      </c>
      <c r="CJ90" s="153">
        <v>180</v>
      </c>
      <c r="CK90" s="281">
        <v>257.29999999999995</v>
      </c>
      <c r="CL90" s="153" t="s">
        <v>139</v>
      </c>
      <c r="CM90" s="250" t="s">
        <v>136</v>
      </c>
      <c r="CN90" s="71"/>
      <c r="CO90" s="71"/>
    </row>
    <row r="91" spans="1:93" s="1" customFormat="1" x14ac:dyDescent="0.25">
      <c r="A91" s="87">
        <v>42781</v>
      </c>
      <c r="B91" s="169" t="s">
        <v>12</v>
      </c>
      <c r="C91" s="169" t="s">
        <v>2271</v>
      </c>
      <c r="D91" s="169" t="s">
        <v>105</v>
      </c>
      <c r="E91" s="169" t="s">
        <v>100</v>
      </c>
      <c r="F91" s="175" t="s">
        <v>2272</v>
      </c>
      <c r="G91" s="175"/>
      <c r="H91" s="175"/>
      <c r="I91" s="175"/>
      <c r="J91" s="41" t="s">
        <v>269</v>
      </c>
      <c r="K91" s="305" t="s">
        <v>2273</v>
      </c>
      <c r="L91" s="305"/>
      <c r="M91" s="305"/>
      <c r="N91" s="25"/>
      <c r="O91" s="26"/>
      <c r="P91" s="26"/>
      <c r="Q91" s="26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215"/>
      <c r="AK91" s="215"/>
      <c r="AL91" s="215"/>
      <c r="AM91" s="215"/>
      <c r="AN91" s="25"/>
      <c r="AO91" s="33"/>
      <c r="AP91" s="25"/>
      <c r="AQ91" s="33"/>
      <c r="AR91" s="31"/>
      <c r="AS91" s="33"/>
      <c r="AT91" s="25"/>
      <c r="AU91" s="305"/>
      <c r="AV91" s="305"/>
      <c r="AW91" s="41"/>
      <c r="AX91" s="305"/>
      <c r="AY91" s="305"/>
      <c r="AZ91" s="305"/>
      <c r="BA91" s="305"/>
      <c r="BB91" s="305"/>
      <c r="BC91" s="305"/>
      <c r="BD91" s="305"/>
      <c r="BE91" s="31"/>
      <c r="BF91" s="305" t="s">
        <v>2271</v>
      </c>
      <c r="BG91" s="305" t="s">
        <v>2274</v>
      </c>
      <c r="BH91" s="305"/>
      <c r="BI91" s="305"/>
      <c r="BJ91" s="305" t="s">
        <v>2275</v>
      </c>
      <c r="BK91" s="311">
        <v>18.16</v>
      </c>
      <c r="BL91" s="310" t="s">
        <v>2324</v>
      </c>
      <c r="BM91" s="310" t="s">
        <v>2325</v>
      </c>
      <c r="BN91" s="275">
        <v>8.9</v>
      </c>
      <c r="BO91" s="275">
        <v>7.64</v>
      </c>
      <c r="BP91" s="275">
        <v>1.18</v>
      </c>
      <c r="BQ91" s="164"/>
      <c r="BR91" s="164"/>
      <c r="BS91" s="276">
        <v>0.14000000000000001</v>
      </c>
      <c r="BT91" s="277">
        <v>8.3170000000000002</v>
      </c>
      <c r="BU91" s="277">
        <v>1.411</v>
      </c>
      <c r="BV91" s="277">
        <v>11.321999999999999</v>
      </c>
      <c r="BW91" s="278">
        <v>7.6890578364583337E-2</v>
      </c>
      <c r="BX91" s="276">
        <v>0.12</v>
      </c>
      <c r="BY91" s="279">
        <v>11.87</v>
      </c>
      <c r="BZ91" s="279">
        <v>9</v>
      </c>
      <c r="CA91" s="279">
        <v>9</v>
      </c>
      <c r="CB91" s="279">
        <v>0.55640624999999999</v>
      </c>
      <c r="CC91" s="283">
        <v>0.53</v>
      </c>
      <c r="CD91" s="283">
        <v>0.26</v>
      </c>
      <c r="CE91" s="283">
        <v>2.09</v>
      </c>
      <c r="CF91" s="248" t="s">
        <v>134</v>
      </c>
      <c r="CG91" s="305">
        <v>6</v>
      </c>
      <c r="CH91" s="305">
        <v>17</v>
      </c>
      <c r="CI91" s="305">
        <v>5</v>
      </c>
      <c r="CJ91" s="153">
        <v>510</v>
      </c>
      <c r="CK91" s="281">
        <v>227.65</v>
      </c>
      <c r="CL91" s="153" t="s">
        <v>139</v>
      </c>
      <c r="CM91" s="250" t="s">
        <v>136</v>
      </c>
      <c r="CN91" s="71"/>
      <c r="CO91" s="71"/>
    </row>
    <row r="92" spans="1:93" s="1" customFormat="1" ht="30" x14ac:dyDescent="0.25">
      <c r="A92" s="87">
        <v>42781</v>
      </c>
      <c r="B92" s="169" t="s">
        <v>12</v>
      </c>
      <c r="C92" s="169" t="s">
        <v>2276</v>
      </c>
      <c r="D92" s="169" t="s">
        <v>105</v>
      </c>
      <c r="E92" s="169" t="s">
        <v>100</v>
      </c>
      <c r="F92" s="175" t="s">
        <v>2045</v>
      </c>
      <c r="G92" s="175"/>
      <c r="H92" s="175"/>
      <c r="I92" s="175"/>
      <c r="J92" s="41" t="s">
        <v>2046</v>
      </c>
      <c r="K92" s="25" t="s">
        <v>2277</v>
      </c>
      <c r="L92" s="305"/>
      <c r="M92" s="305"/>
      <c r="N92" s="25"/>
      <c r="O92" s="26"/>
      <c r="P92" s="26"/>
      <c r="Q92" s="26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215"/>
      <c r="AK92" s="215"/>
      <c r="AL92" s="215"/>
      <c r="AM92" s="215"/>
      <c r="AN92" s="25"/>
      <c r="AO92" s="33"/>
      <c r="AP92" s="25"/>
      <c r="AQ92" s="33"/>
      <c r="AR92" s="31"/>
      <c r="AS92" s="33"/>
      <c r="AT92" s="25"/>
      <c r="AU92" s="305"/>
      <c r="AV92" s="305"/>
      <c r="AW92" s="41"/>
      <c r="AX92" s="305"/>
      <c r="AY92" s="305"/>
      <c r="AZ92" s="305"/>
      <c r="BA92" s="305"/>
      <c r="BB92" s="305"/>
      <c r="BC92" s="305"/>
      <c r="BD92" s="305"/>
      <c r="BE92" s="31" t="s">
        <v>2278</v>
      </c>
      <c r="BF92" s="305"/>
      <c r="BG92" s="305" t="s">
        <v>2279</v>
      </c>
      <c r="BH92" s="305"/>
      <c r="BI92" s="305"/>
      <c r="BJ92" s="305" t="s">
        <v>2280</v>
      </c>
      <c r="BK92" s="311">
        <v>19.18</v>
      </c>
      <c r="BL92" s="310" t="s">
        <v>2326</v>
      </c>
      <c r="BM92" s="310" t="s">
        <v>2327</v>
      </c>
      <c r="BN92" s="275">
        <v>10</v>
      </c>
      <c r="BO92" s="275">
        <v>9.25</v>
      </c>
      <c r="BP92" s="275">
        <v>1.26</v>
      </c>
      <c r="BQ92" s="164"/>
      <c r="BR92" s="164"/>
      <c r="BS92" s="276">
        <v>0.65</v>
      </c>
      <c r="BT92" s="277" t="s">
        <v>2328</v>
      </c>
      <c r="BU92" s="277"/>
      <c r="BV92" s="277"/>
      <c r="BW92" s="278"/>
      <c r="BX92" s="276"/>
      <c r="BY92" s="279">
        <v>12.75</v>
      </c>
      <c r="BZ92" s="279">
        <v>4.75</v>
      </c>
      <c r="CA92" s="279">
        <v>11.5</v>
      </c>
      <c r="CB92" s="279">
        <v>0.4030490451388889</v>
      </c>
      <c r="CC92" s="283">
        <v>0.4</v>
      </c>
      <c r="CD92" s="283">
        <v>0.65</v>
      </c>
      <c r="CE92" s="283">
        <v>2.35</v>
      </c>
      <c r="CF92" s="248" t="s">
        <v>134</v>
      </c>
      <c r="CG92" s="305">
        <v>3</v>
      </c>
      <c r="CH92" s="305">
        <v>12</v>
      </c>
      <c r="CI92" s="305">
        <v>9</v>
      </c>
      <c r="CJ92" s="153">
        <v>324</v>
      </c>
      <c r="CK92" s="281">
        <v>303.8</v>
      </c>
      <c r="CL92" s="153" t="s">
        <v>139</v>
      </c>
      <c r="CM92" s="250" t="s">
        <v>136</v>
      </c>
      <c r="CN92" s="71"/>
      <c r="CO92" s="71"/>
    </row>
    <row r="93" spans="1:93" s="1" customFormat="1" x14ac:dyDescent="0.25">
      <c r="A93" s="87">
        <v>42781</v>
      </c>
      <c r="B93" s="169" t="s">
        <v>12</v>
      </c>
      <c r="C93" s="169" t="s">
        <v>2281</v>
      </c>
      <c r="D93" s="169" t="s">
        <v>105</v>
      </c>
      <c r="E93" s="169" t="s">
        <v>100</v>
      </c>
      <c r="F93" s="175" t="s">
        <v>2282</v>
      </c>
      <c r="G93" s="175"/>
      <c r="H93" s="175"/>
      <c r="I93" s="175"/>
      <c r="J93" s="41" t="s">
        <v>399</v>
      </c>
      <c r="K93" s="25" t="s">
        <v>2283</v>
      </c>
      <c r="L93" s="305"/>
      <c r="M93" s="305"/>
      <c r="N93" s="25"/>
      <c r="O93" s="26"/>
      <c r="P93" s="26"/>
      <c r="Q93" s="26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215"/>
      <c r="AL93" s="215"/>
      <c r="AM93" s="215"/>
      <c r="AN93" s="25"/>
      <c r="AO93" s="33"/>
      <c r="AP93" s="25"/>
      <c r="AQ93" s="33"/>
      <c r="AR93" s="31"/>
      <c r="AS93" s="33"/>
      <c r="AT93" s="25"/>
      <c r="AU93" s="305"/>
      <c r="AV93" s="305"/>
      <c r="AW93" s="41"/>
      <c r="AX93" s="305"/>
      <c r="AY93" s="305"/>
      <c r="AZ93" s="305"/>
      <c r="BA93" s="305"/>
      <c r="BB93" s="305"/>
      <c r="BC93" s="305"/>
      <c r="BD93" s="305"/>
      <c r="BE93" s="31"/>
      <c r="BF93" s="305"/>
      <c r="BG93" s="305" t="s">
        <v>2284</v>
      </c>
      <c r="BH93" s="305"/>
      <c r="BI93" s="305"/>
      <c r="BJ93" s="305"/>
      <c r="BK93" s="311">
        <v>11.49</v>
      </c>
      <c r="BL93" s="310" t="s">
        <v>2329</v>
      </c>
      <c r="BM93" s="310" t="s">
        <v>2330</v>
      </c>
      <c r="BN93" s="275">
        <v>8.5</v>
      </c>
      <c r="BO93" s="275">
        <v>7.25</v>
      </c>
      <c r="BP93" s="275">
        <v>1.1200000000000001</v>
      </c>
      <c r="BQ93" s="164"/>
      <c r="BR93" s="164"/>
      <c r="BS93" s="276">
        <v>0.09</v>
      </c>
      <c r="BT93" s="277">
        <v>8.1760000000000002</v>
      </c>
      <c r="BU93" s="277">
        <v>1.486</v>
      </c>
      <c r="BV93" s="277">
        <v>9.081999999999999</v>
      </c>
      <c r="BW93" s="278">
        <v>6.3855373814814806E-2</v>
      </c>
      <c r="BX93" s="276">
        <v>0.12</v>
      </c>
      <c r="BY93" s="279">
        <v>10</v>
      </c>
      <c r="BZ93" s="279">
        <v>9.75</v>
      </c>
      <c r="CA93" s="279">
        <v>5.12</v>
      </c>
      <c r="CB93" s="279">
        <v>0.28888888888888892</v>
      </c>
      <c r="CC93" s="283">
        <v>0.34</v>
      </c>
      <c r="CD93" s="283">
        <v>0.21</v>
      </c>
      <c r="CE93" s="283">
        <v>0.97</v>
      </c>
      <c r="CF93" s="248" t="s">
        <v>134</v>
      </c>
      <c r="CG93" s="305">
        <v>3</v>
      </c>
      <c r="CH93" s="305">
        <v>16</v>
      </c>
      <c r="CI93" s="305">
        <v>8</v>
      </c>
      <c r="CJ93" s="153">
        <v>384</v>
      </c>
      <c r="CK93" s="281">
        <v>174.16</v>
      </c>
      <c r="CL93" s="153" t="s">
        <v>256</v>
      </c>
      <c r="CM93" s="250" t="s">
        <v>136</v>
      </c>
      <c r="CN93" s="71"/>
      <c r="CO93" s="71"/>
    </row>
    <row r="94" spans="1:93" s="1" customFormat="1" x14ac:dyDescent="0.25">
      <c r="A94" s="87">
        <v>42781</v>
      </c>
      <c r="B94" s="169" t="s">
        <v>12</v>
      </c>
      <c r="C94" s="169" t="s">
        <v>2285</v>
      </c>
      <c r="D94" s="169" t="s">
        <v>105</v>
      </c>
      <c r="E94" s="169" t="s">
        <v>357</v>
      </c>
      <c r="F94" s="175" t="s">
        <v>2286</v>
      </c>
      <c r="G94" s="175"/>
      <c r="H94" s="175"/>
      <c r="I94" s="175"/>
      <c r="J94" s="41" t="s">
        <v>235</v>
      </c>
      <c r="K94" s="25" t="s">
        <v>2287</v>
      </c>
      <c r="L94" s="305"/>
      <c r="M94" s="305"/>
      <c r="N94" s="25"/>
      <c r="O94" s="26"/>
      <c r="P94" s="26"/>
      <c r="Q94" s="26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5"/>
      <c r="AI94" s="215"/>
      <c r="AJ94" s="215"/>
      <c r="AK94" s="215"/>
      <c r="AL94" s="215"/>
      <c r="AM94" s="215"/>
      <c r="AN94" s="25"/>
      <c r="AO94" s="33"/>
      <c r="AP94" s="25">
        <v>93644</v>
      </c>
      <c r="AQ94" s="33" t="s">
        <v>2285</v>
      </c>
      <c r="AR94" s="31"/>
      <c r="AS94" s="33"/>
      <c r="AT94" s="25"/>
      <c r="AU94" s="305" t="s">
        <v>2288</v>
      </c>
      <c r="AV94" s="305"/>
      <c r="AW94" s="41"/>
      <c r="AX94" s="305" t="s">
        <v>2289</v>
      </c>
      <c r="AY94" s="305"/>
      <c r="AZ94" s="305"/>
      <c r="BA94" s="305"/>
      <c r="BB94" s="305"/>
      <c r="BC94" s="305"/>
      <c r="BD94" s="305">
        <v>200269</v>
      </c>
      <c r="BE94" s="31" t="s">
        <v>2290</v>
      </c>
      <c r="BF94" s="305"/>
      <c r="BG94" s="305" t="s">
        <v>2291</v>
      </c>
      <c r="BH94" s="305" t="s">
        <v>2292</v>
      </c>
      <c r="BI94" s="305"/>
      <c r="BJ94" s="305" t="s">
        <v>2293</v>
      </c>
      <c r="BK94" s="311">
        <v>20.260000000000002</v>
      </c>
      <c r="BL94" s="310" t="s">
        <v>2331</v>
      </c>
      <c r="BM94" s="310" t="s">
        <v>2332</v>
      </c>
      <c r="BN94" s="275">
        <v>10.904999999999999</v>
      </c>
      <c r="BO94" s="275">
        <v>7.4409999999999998</v>
      </c>
      <c r="BP94" s="275">
        <v>1.929</v>
      </c>
      <c r="BQ94" s="164"/>
      <c r="BR94" s="164"/>
      <c r="BS94" s="276">
        <v>0.67</v>
      </c>
      <c r="BT94" s="277">
        <v>7.6359999999999992</v>
      </c>
      <c r="BU94" s="277">
        <v>2.1259999999999999</v>
      </c>
      <c r="BV94" s="277">
        <v>11.132</v>
      </c>
      <c r="BW94" s="278">
        <v>0.10458240853703701</v>
      </c>
      <c r="BX94" s="276">
        <v>0.15</v>
      </c>
      <c r="BY94" s="279">
        <v>13</v>
      </c>
      <c r="BZ94" s="279">
        <v>11.47</v>
      </c>
      <c r="CA94" s="279">
        <v>8.5</v>
      </c>
      <c r="CB94" s="279">
        <v>0.73346932870370363</v>
      </c>
      <c r="CC94" s="283">
        <v>0.65</v>
      </c>
      <c r="CD94" s="283">
        <v>0.82000000000000006</v>
      </c>
      <c r="CE94" s="283">
        <v>5.57</v>
      </c>
      <c r="CF94" s="248" t="s">
        <v>134</v>
      </c>
      <c r="CG94" s="305">
        <v>6</v>
      </c>
      <c r="CH94" s="305">
        <v>12</v>
      </c>
      <c r="CI94" s="305">
        <v>5</v>
      </c>
      <c r="CJ94" s="153">
        <v>360</v>
      </c>
      <c r="CK94" s="281">
        <v>384.20000000000005</v>
      </c>
      <c r="CL94" s="153" t="s">
        <v>135</v>
      </c>
      <c r="CM94" s="250" t="s">
        <v>136</v>
      </c>
      <c r="CN94" s="71"/>
      <c r="CO94" s="71"/>
    </row>
    <row r="95" spans="1:93" s="1" customFormat="1" x14ac:dyDescent="0.25">
      <c r="A95" s="87">
        <v>42781</v>
      </c>
      <c r="B95" s="169" t="s">
        <v>12</v>
      </c>
      <c r="C95" s="169" t="s">
        <v>2294</v>
      </c>
      <c r="D95" s="169" t="s">
        <v>105</v>
      </c>
      <c r="E95" s="169" t="s">
        <v>2149</v>
      </c>
      <c r="F95" s="175" t="s">
        <v>2295</v>
      </c>
      <c r="G95" s="175"/>
      <c r="H95" s="175"/>
      <c r="I95" s="175"/>
      <c r="J95" s="41" t="s">
        <v>278</v>
      </c>
      <c r="K95" s="25" t="s">
        <v>2296</v>
      </c>
      <c r="L95" s="305"/>
      <c r="M95" s="305"/>
      <c r="N95" s="25"/>
      <c r="O95" s="26"/>
      <c r="P95" s="26"/>
      <c r="Q95" s="26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5"/>
      <c r="AH95" s="215"/>
      <c r="AI95" s="215"/>
      <c r="AJ95" s="215"/>
      <c r="AK95" s="215"/>
      <c r="AL95" s="215"/>
      <c r="AM95" s="215"/>
      <c r="AN95" s="25"/>
      <c r="AO95" s="33"/>
      <c r="AP95" s="25">
        <v>86831</v>
      </c>
      <c r="AQ95" s="33" t="s">
        <v>2294</v>
      </c>
      <c r="AR95" s="31"/>
      <c r="AS95" s="33"/>
      <c r="AT95" s="25"/>
      <c r="AU95" s="305" t="s">
        <v>2297</v>
      </c>
      <c r="AV95" s="305" t="s">
        <v>2298</v>
      </c>
      <c r="AW95" s="41" t="s">
        <v>2299</v>
      </c>
      <c r="AX95" s="305"/>
      <c r="AY95" s="305" t="s">
        <v>2300</v>
      </c>
      <c r="AZ95" s="305"/>
      <c r="BA95" s="305" t="s">
        <v>2301</v>
      </c>
      <c r="BB95" s="305"/>
      <c r="BC95" s="305"/>
      <c r="BD95" s="305">
        <v>3831</v>
      </c>
      <c r="BE95" s="31"/>
      <c r="BF95" s="305"/>
      <c r="BG95" s="305">
        <v>59182</v>
      </c>
      <c r="BH95" s="305"/>
      <c r="BI95" s="305"/>
      <c r="BJ95" s="305">
        <v>33831</v>
      </c>
      <c r="BK95" s="311">
        <v>34.18</v>
      </c>
      <c r="BL95" s="310" t="s">
        <v>2333</v>
      </c>
      <c r="BM95" s="310" t="s">
        <v>2334</v>
      </c>
      <c r="BN95" s="275"/>
      <c r="BO95" s="275"/>
      <c r="BP95" s="275"/>
      <c r="BQ95" s="164">
        <v>2.93</v>
      </c>
      <c r="BR95" s="164">
        <v>6.94</v>
      </c>
      <c r="BS95" s="276">
        <v>0.61</v>
      </c>
      <c r="BT95" s="277">
        <v>3.8460000000000001</v>
      </c>
      <c r="BU95" s="277">
        <v>3.8479999999999999</v>
      </c>
      <c r="BV95" s="277">
        <v>8.0719999999999992</v>
      </c>
      <c r="BW95" s="278">
        <v>6.9132419777777773E-2</v>
      </c>
      <c r="BX95" s="276">
        <v>0.09</v>
      </c>
      <c r="BY95" s="279">
        <v>15.81</v>
      </c>
      <c r="BZ95" s="279">
        <v>11.93</v>
      </c>
      <c r="CA95" s="279">
        <v>8.6199999999999992</v>
      </c>
      <c r="CB95" s="279">
        <v>0.94088347569444442</v>
      </c>
      <c r="CC95" s="283">
        <v>0.87</v>
      </c>
      <c r="CD95" s="283">
        <v>0.7</v>
      </c>
      <c r="CE95" s="283">
        <v>9.2699999999999978</v>
      </c>
      <c r="CF95" s="248" t="s">
        <v>134</v>
      </c>
      <c r="CG95" s="305">
        <v>12</v>
      </c>
      <c r="CH95" s="305">
        <v>10</v>
      </c>
      <c r="CI95" s="305">
        <v>5</v>
      </c>
      <c r="CJ95" s="153">
        <v>600</v>
      </c>
      <c r="CK95" s="281">
        <v>513.49999999999989</v>
      </c>
      <c r="CL95" s="153" t="s">
        <v>139</v>
      </c>
      <c r="CM95" s="250" t="s">
        <v>150</v>
      </c>
      <c r="CN95" s="71"/>
      <c r="CO95" s="71"/>
    </row>
    <row r="96" spans="1:93" s="1" customFormat="1" x14ac:dyDescent="0.25">
      <c r="A96" s="87">
        <v>42781</v>
      </c>
      <c r="B96" s="169" t="s">
        <v>12</v>
      </c>
      <c r="C96" s="169" t="s">
        <v>2302</v>
      </c>
      <c r="D96" s="169" t="s">
        <v>105</v>
      </c>
      <c r="E96" s="169" t="s">
        <v>357</v>
      </c>
      <c r="F96" s="175" t="s">
        <v>2303</v>
      </c>
      <c r="G96" s="175"/>
      <c r="H96" s="175"/>
      <c r="I96" s="175"/>
      <c r="J96" s="41" t="s">
        <v>673</v>
      </c>
      <c r="K96" s="25" t="s">
        <v>2304</v>
      </c>
      <c r="L96" s="305"/>
      <c r="M96" s="305"/>
      <c r="N96" s="25"/>
      <c r="O96" s="26"/>
      <c r="P96" s="26"/>
      <c r="Q96" s="26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  <c r="AI96" s="215"/>
      <c r="AJ96" s="215"/>
      <c r="AK96" s="215"/>
      <c r="AL96" s="215"/>
      <c r="AM96" s="215"/>
      <c r="AN96" s="25" t="s">
        <v>2305</v>
      </c>
      <c r="AO96" s="33"/>
      <c r="AP96" s="25">
        <v>93058</v>
      </c>
      <c r="AQ96" s="33"/>
      <c r="AR96" s="31"/>
      <c r="AS96" s="33"/>
      <c r="AT96" s="25"/>
      <c r="AU96" s="305" t="s">
        <v>2306</v>
      </c>
      <c r="AV96" s="305" t="s">
        <v>2307</v>
      </c>
      <c r="AW96" s="41"/>
      <c r="AX96" s="305"/>
      <c r="AY96" s="305"/>
      <c r="AZ96" s="305"/>
      <c r="BA96" s="305" t="s">
        <v>2308</v>
      </c>
      <c r="BB96" s="305" t="s">
        <v>2302</v>
      </c>
      <c r="BC96" s="305"/>
      <c r="BD96" s="305">
        <v>200058</v>
      </c>
      <c r="BE96" s="31"/>
      <c r="BF96" s="305"/>
      <c r="BG96" s="305" t="s">
        <v>2309</v>
      </c>
      <c r="BH96" s="305"/>
      <c r="BI96" s="305"/>
      <c r="BJ96" s="305" t="s">
        <v>2310</v>
      </c>
      <c r="BK96" s="311">
        <v>23.43</v>
      </c>
      <c r="BL96" s="310" t="s">
        <v>2335</v>
      </c>
      <c r="BM96" s="310" t="s">
        <v>2336</v>
      </c>
      <c r="BN96" s="275">
        <v>10.14</v>
      </c>
      <c r="BO96" s="275">
        <v>8.11</v>
      </c>
      <c r="BP96" s="275">
        <v>2.0099999999999998</v>
      </c>
      <c r="BQ96" s="164"/>
      <c r="BR96" s="164"/>
      <c r="BS96" s="276">
        <v>0.62</v>
      </c>
      <c r="BT96" s="277">
        <v>8.5359999999999996</v>
      </c>
      <c r="BU96" s="277">
        <v>2.4060000000000001</v>
      </c>
      <c r="BV96" s="277">
        <v>10.691999999999998</v>
      </c>
      <c r="BW96" s="278">
        <v>0.12707649899999998</v>
      </c>
      <c r="BX96" s="276">
        <v>0.2</v>
      </c>
      <c r="BY96" s="279">
        <v>15</v>
      </c>
      <c r="BZ96" s="279">
        <v>11.25</v>
      </c>
      <c r="CA96" s="279">
        <v>9.3800000000000008</v>
      </c>
      <c r="CB96" s="279">
        <v>0.916015625</v>
      </c>
      <c r="CC96" s="283">
        <v>0.78</v>
      </c>
      <c r="CD96" s="283">
        <v>0.82000000000000006</v>
      </c>
      <c r="CE96" s="283">
        <v>5.7</v>
      </c>
      <c r="CF96" s="248" t="s">
        <v>134</v>
      </c>
      <c r="CG96" s="305">
        <v>6</v>
      </c>
      <c r="CH96" s="305">
        <v>10</v>
      </c>
      <c r="CI96" s="305">
        <v>4</v>
      </c>
      <c r="CJ96" s="153">
        <v>240</v>
      </c>
      <c r="CK96" s="281">
        <v>278</v>
      </c>
      <c r="CL96" s="153" t="s">
        <v>139</v>
      </c>
      <c r="CM96" s="250" t="s">
        <v>136</v>
      </c>
      <c r="CN96" s="71"/>
      <c r="CO96" s="71"/>
    </row>
    <row r="97" spans="1:93" s="1" customFormat="1" x14ac:dyDescent="0.25">
      <c r="A97" s="87">
        <v>42781</v>
      </c>
      <c r="B97" s="169" t="s">
        <v>12</v>
      </c>
      <c r="C97" s="169" t="s">
        <v>2311</v>
      </c>
      <c r="D97" s="169" t="s">
        <v>105</v>
      </c>
      <c r="E97" s="169" t="s">
        <v>300</v>
      </c>
      <c r="F97" s="175" t="s">
        <v>2312</v>
      </c>
      <c r="G97" s="175"/>
      <c r="H97" s="175"/>
      <c r="I97" s="175"/>
      <c r="J97" s="41" t="s">
        <v>90</v>
      </c>
      <c r="K97" s="25" t="s">
        <v>2313</v>
      </c>
      <c r="L97" s="305"/>
      <c r="M97" s="305"/>
      <c r="N97" s="25"/>
      <c r="O97" s="26"/>
      <c r="P97" s="26"/>
      <c r="Q97" s="26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5"/>
      <c r="AI97" s="215"/>
      <c r="AJ97" s="215"/>
      <c r="AK97" s="215"/>
      <c r="AL97" s="215"/>
      <c r="AM97" s="215"/>
      <c r="AN97" s="25"/>
      <c r="AO97" s="33"/>
      <c r="AP97" s="25"/>
      <c r="AQ97" s="33"/>
      <c r="AR97" s="31"/>
      <c r="AS97" s="33"/>
      <c r="AT97" s="25"/>
      <c r="AU97" s="305" t="s">
        <v>2314</v>
      </c>
      <c r="AV97" s="305"/>
      <c r="AW97" s="41"/>
      <c r="AX97" s="305" t="s">
        <v>2315</v>
      </c>
      <c r="AY97" s="305"/>
      <c r="AZ97" s="305"/>
      <c r="BA97" s="305"/>
      <c r="BB97" s="305" t="s">
        <v>2311</v>
      </c>
      <c r="BC97" s="305"/>
      <c r="BD97" s="305">
        <v>200427</v>
      </c>
      <c r="BE97" s="31" t="s">
        <v>2316</v>
      </c>
      <c r="BF97" s="305" t="s">
        <v>2317</v>
      </c>
      <c r="BG97" s="305" t="s">
        <v>2318</v>
      </c>
      <c r="BH97" s="305"/>
      <c r="BI97" s="305"/>
      <c r="BJ97" s="305" t="s">
        <v>2319</v>
      </c>
      <c r="BK97" s="311">
        <v>33.42</v>
      </c>
      <c r="BL97" s="310" t="s">
        <v>2337</v>
      </c>
      <c r="BM97" s="310" t="s">
        <v>2338</v>
      </c>
      <c r="BN97" s="275">
        <v>10.945</v>
      </c>
      <c r="BO97" s="275">
        <v>9.3109999999999999</v>
      </c>
      <c r="BP97" s="275">
        <v>2.3029999999999999</v>
      </c>
      <c r="BQ97" s="164"/>
      <c r="BR97" s="164"/>
      <c r="BS97" s="276">
        <v>0.71</v>
      </c>
      <c r="BT97" s="277">
        <v>9.6359999999999992</v>
      </c>
      <c r="BU97" s="277">
        <v>2.6360000000000001</v>
      </c>
      <c r="BV97" s="277">
        <v>11.251999999999999</v>
      </c>
      <c r="BW97" s="278">
        <v>0.1653972112222222</v>
      </c>
      <c r="BX97" s="276">
        <v>0.18</v>
      </c>
      <c r="BY97" s="279">
        <v>16</v>
      </c>
      <c r="BZ97" s="279">
        <v>11.67</v>
      </c>
      <c r="CA97" s="279">
        <v>10.54</v>
      </c>
      <c r="CB97" s="279">
        <v>1.1389055555555554</v>
      </c>
      <c r="CC97" s="283">
        <v>0.7</v>
      </c>
      <c r="CD97" s="283">
        <v>0.8899999999999999</v>
      </c>
      <c r="CE97" s="283">
        <v>6.04</v>
      </c>
      <c r="CF97" s="248" t="s">
        <v>134</v>
      </c>
      <c r="CG97" s="305">
        <v>6</v>
      </c>
      <c r="CH97" s="305">
        <v>10</v>
      </c>
      <c r="CI97" s="305">
        <v>4</v>
      </c>
      <c r="CJ97" s="153">
        <v>240</v>
      </c>
      <c r="CK97" s="281">
        <v>291.60000000000002</v>
      </c>
      <c r="CL97" s="153" t="s">
        <v>135</v>
      </c>
      <c r="CM97" s="250" t="s">
        <v>136</v>
      </c>
      <c r="CN97" s="71"/>
      <c r="CO97" s="71"/>
    </row>
    <row r="98" spans="1:93" s="1" customFormat="1" x14ac:dyDescent="0.25">
      <c r="A98" s="87">
        <v>42725</v>
      </c>
      <c r="B98" s="73" t="s">
        <v>12</v>
      </c>
      <c r="C98" s="73" t="s">
        <v>2100</v>
      </c>
      <c r="D98" s="73" t="s">
        <v>105</v>
      </c>
      <c r="E98" s="73" t="s">
        <v>300</v>
      </c>
      <c r="F98" s="175" t="s">
        <v>2101</v>
      </c>
      <c r="G98" s="175"/>
      <c r="H98" s="175"/>
      <c r="I98" s="175"/>
      <c r="J98" s="41" t="s">
        <v>1233</v>
      </c>
      <c r="K98" s="85" t="s">
        <v>2102</v>
      </c>
      <c r="L98" s="293"/>
      <c r="M98" s="293"/>
      <c r="N98" s="25"/>
      <c r="O98" s="26"/>
      <c r="P98" s="26"/>
      <c r="Q98" s="26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  <c r="AI98" s="215"/>
      <c r="AJ98" s="215"/>
      <c r="AK98" s="215"/>
      <c r="AL98" s="215"/>
      <c r="AM98" s="215"/>
      <c r="AN98" s="25"/>
      <c r="AO98" s="33"/>
      <c r="AP98" s="25">
        <v>94072</v>
      </c>
      <c r="AQ98" s="33"/>
      <c r="AR98" s="31"/>
      <c r="AS98" s="33"/>
      <c r="AT98" s="25"/>
      <c r="AU98" s="293"/>
      <c r="AV98" s="293"/>
      <c r="AW98" s="41"/>
      <c r="AX98" s="293"/>
      <c r="AY98" s="293"/>
      <c r="AZ98" s="293"/>
      <c r="BA98" s="293" t="s">
        <v>2103</v>
      </c>
      <c r="BB98" s="293"/>
      <c r="BC98" s="293"/>
      <c r="BD98" s="293"/>
      <c r="BE98" s="31"/>
      <c r="BF98" s="293"/>
      <c r="BG98" s="293"/>
      <c r="BH98" s="293"/>
      <c r="BI98" s="293"/>
      <c r="BJ98" s="293" t="s">
        <v>2104</v>
      </c>
      <c r="BK98" s="170">
        <v>13.13</v>
      </c>
      <c r="BL98" s="102" t="s">
        <v>2218</v>
      </c>
      <c r="BM98" s="102" t="s">
        <v>2219</v>
      </c>
      <c r="BN98" s="296">
        <v>10.55</v>
      </c>
      <c r="BO98" s="296">
        <v>7.44</v>
      </c>
      <c r="BP98" s="296">
        <v>1.18</v>
      </c>
      <c r="BQ98" s="97"/>
      <c r="BR98" s="97"/>
      <c r="BS98" s="77">
        <v>0.35</v>
      </c>
      <c r="BT98" s="287">
        <f>8.5+0.036</f>
        <v>8.5359999999999996</v>
      </c>
      <c r="BU98" s="287">
        <f>2.37+0.036</f>
        <v>2.4060000000000001</v>
      </c>
      <c r="BV98" s="287">
        <f>10.62+0.036+0.036</f>
        <v>10.691999999999998</v>
      </c>
      <c r="BW98" s="285">
        <f>(BV98*BU98*BT98)/1728</f>
        <v>0.12707649899999998</v>
      </c>
      <c r="BX98" s="77">
        <v>0.2</v>
      </c>
      <c r="BY98" s="284">
        <v>12.25</v>
      </c>
      <c r="BZ98" s="284">
        <v>10.25</v>
      </c>
      <c r="CA98" s="284">
        <v>8.25</v>
      </c>
      <c r="CB98" s="285">
        <f>(CA98*BZ98*BY98)/1728</f>
        <v>0.59947374131944442</v>
      </c>
      <c r="CC98" s="80">
        <v>0.59</v>
      </c>
      <c r="CD98" s="80"/>
      <c r="CE98" s="80"/>
      <c r="CF98" s="104" t="s">
        <v>134</v>
      </c>
      <c r="CG98" s="72">
        <v>3</v>
      </c>
      <c r="CH98" s="72">
        <v>12</v>
      </c>
      <c r="CI98" s="72">
        <v>5</v>
      </c>
      <c r="CJ98" s="27">
        <f>CG98*CH98*CI98</f>
        <v>180</v>
      </c>
      <c r="CK98" s="286">
        <f>((((BS98+BX98)*CG98)+CC98)*CH98*CI98)+50</f>
        <v>184.4</v>
      </c>
      <c r="CL98" s="286" t="s">
        <v>139</v>
      </c>
      <c r="CM98" s="83" t="s">
        <v>136</v>
      </c>
      <c r="CN98" s="71"/>
      <c r="CO98" s="71"/>
    </row>
    <row r="99" spans="1:93" s="1" customFormat="1" x14ac:dyDescent="0.25">
      <c r="A99" s="87">
        <v>42725</v>
      </c>
      <c r="B99" s="73" t="s">
        <v>12</v>
      </c>
      <c r="C99" s="73" t="s">
        <v>2105</v>
      </c>
      <c r="D99" s="73" t="s">
        <v>105</v>
      </c>
      <c r="E99" s="73" t="s">
        <v>348</v>
      </c>
      <c r="F99" s="175" t="s">
        <v>2106</v>
      </c>
      <c r="G99" s="175"/>
      <c r="H99" s="175"/>
      <c r="I99" s="175"/>
      <c r="J99" s="41" t="s">
        <v>333</v>
      </c>
      <c r="K99" s="85" t="s">
        <v>2107</v>
      </c>
      <c r="L99" s="293"/>
      <c r="M99" s="293"/>
      <c r="N99" s="25"/>
      <c r="O99" s="26"/>
      <c r="P99" s="26"/>
      <c r="Q99" s="26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  <c r="AI99" s="215"/>
      <c r="AJ99" s="215"/>
      <c r="AK99" s="215"/>
      <c r="AL99" s="215"/>
      <c r="AM99" s="215"/>
      <c r="AN99" s="25"/>
      <c r="AO99" s="33"/>
      <c r="AP99" s="25"/>
      <c r="AQ99" s="33"/>
      <c r="AR99" s="31"/>
      <c r="AS99" s="33"/>
      <c r="AT99" s="25"/>
      <c r="AU99" s="293"/>
      <c r="AV99" s="293"/>
      <c r="AW99" s="41" t="s">
        <v>2108</v>
      </c>
      <c r="AX99" s="293"/>
      <c r="AY99" s="293" t="s">
        <v>2109</v>
      </c>
      <c r="AZ99" s="293"/>
      <c r="BA99" s="293" t="s">
        <v>2110</v>
      </c>
      <c r="BB99" s="293"/>
      <c r="BC99" s="293"/>
      <c r="BD99" s="293"/>
      <c r="BE99" s="31" t="s">
        <v>2111</v>
      </c>
      <c r="BF99" s="293"/>
      <c r="BG99" s="293"/>
      <c r="BH99" s="293"/>
      <c r="BI99" s="293" t="s">
        <v>2112</v>
      </c>
      <c r="BJ99" s="293" t="s">
        <v>2113</v>
      </c>
      <c r="BK99" s="170">
        <v>36.96</v>
      </c>
      <c r="BL99" s="102" t="s">
        <v>2220</v>
      </c>
      <c r="BM99" s="102" t="s">
        <v>2221</v>
      </c>
      <c r="BN99" s="97"/>
      <c r="BO99" s="97"/>
      <c r="BP99" s="97"/>
      <c r="BQ99" s="296">
        <v>3.66</v>
      </c>
      <c r="BR99" s="296">
        <v>5.53</v>
      </c>
      <c r="BS99" s="77">
        <v>1.1499999999999999</v>
      </c>
      <c r="BT99" s="287">
        <f>3.81+0.036</f>
        <v>3.8460000000000001</v>
      </c>
      <c r="BU99" s="287">
        <f>3.81+0.036</f>
        <v>3.8460000000000001</v>
      </c>
      <c r="BV99" s="287">
        <f>5.75+0.036+0.036</f>
        <v>5.8219999999999992</v>
      </c>
      <c r="BW99" s="285">
        <f>(BV99*BU99*BT99)/1728</f>
        <v>4.9836441291666665E-2</v>
      </c>
      <c r="BX99" s="77">
        <v>0.09</v>
      </c>
      <c r="BY99" s="284">
        <v>16</v>
      </c>
      <c r="BZ99" s="284">
        <v>12</v>
      </c>
      <c r="CA99" s="284">
        <f>5.87+0.5</f>
        <v>6.37</v>
      </c>
      <c r="CB99" s="285">
        <f>(CA99*BZ99*BY99)/1728</f>
        <v>0.70777777777777773</v>
      </c>
      <c r="CC99" s="80">
        <v>0.76</v>
      </c>
      <c r="CD99" s="80"/>
      <c r="CE99" s="80"/>
      <c r="CF99" s="104" t="s">
        <v>134</v>
      </c>
      <c r="CG99" s="72">
        <v>12</v>
      </c>
      <c r="CH99" s="72">
        <v>10</v>
      </c>
      <c r="CI99" s="72">
        <v>7</v>
      </c>
      <c r="CJ99" s="27">
        <f>CG99*CH99*CI99</f>
        <v>840</v>
      </c>
      <c r="CK99" s="286">
        <f>((((BS99+BX99)*CG99)+CC99)*CH99*CI99)+50</f>
        <v>1144.7999999999997</v>
      </c>
      <c r="CL99" s="286" t="s">
        <v>139</v>
      </c>
      <c r="CM99" s="83" t="s">
        <v>150</v>
      </c>
      <c r="CN99" s="71"/>
      <c r="CO99" s="71"/>
    </row>
    <row r="100" spans="1:93" s="1" customFormat="1" x14ac:dyDescent="0.25">
      <c r="A100" s="87">
        <v>42725</v>
      </c>
      <c r="B100" s="73" t="s">
        <v>12</v>
      </c>
      <c r="C100" s="73" t="s">
        <v>2114</v>
      </c>
      <c r="D100" s="73" t="s">
        <v>105</v>
      </c>
      <c r="E100" s="73" t="s">
        <v>300</v>
      </c>
      <c r="F100" s="175" t="s">
        <v>2115</v>
      </c>
      <c r="G100" s="175"/>
      <c r="H100" s="175"/>
      <c r="I100" s="175"/>
      <c r="J100" s="41" t="s">
        <v>108</v>
      </c>
      <c r="K100" s="85" t="s">
        <v>2116</v>
      </c>
      <c r="L100" s="293" t="s">
        <v>107</v>
      </c>
      <c r="M100" s="293">
        <v>94775933</v>
      </c>
      <c r="N100" s="25"/>
      <c r="O100" s="26"/>
      <c r="P100" s="26"/>
      <c r="Q100" s="26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5"/>
      <c r="AI100" s="215"/>
      <c r="AJ100" s="215"/>
      <c r="AK100" s="215"/>
      <c r="AL100" s="215"/>
      <c r="AM100" s="215"/>
      <c r="AN100" s="25"/>
      <c r="AO100" s="33"/>
      <c r="AP100" s="25"/>
      <c r="AQ100" s="33"/>
      <c r="AR100" s="31"/>
      <c r="AS100" s="33"/>
      <c r="AT100" s="25"/>
      <c r="AU100" s="293"/>
      <c r="AV100" s="293" t="s">
        <v>2117</v>
      </c>
      <c r="AW100" s="41"/>
      <c r="AX100" s="293"/>
      <c r="AY100" s="293"/>
      <c r="AZ100" s="293"/>
      <c r="BA100" s="293"/>
      <c r="BB100" s="293"/>
      <c r="BC100" s="293"/>
      <c r="BD100" s="293"/>
      <c r="BE100" s="31"/>
      <c r="BF100" s="293" t="s">
        <v>2118</v>
      </c>
      <c r="BG100" s="293" t="s">
        <v>2119</v>
      </c>
      <c r="BH100" s="293"/>
      <c r="BI100" s="293" t="s">
        <v>2119</v>
      </c>
      <c r="BJ100" s="293"/>
      <c r="BK100" s="170">
        <v>12.66</v>
      </c>
      <c r="BL100" s="102" t="s">
        <v>2222</v>
      </c>
      <c r="BM100" s="102" t="s">
        <v>2223</v>
      </c>
      <c r="BN100" s="296">
        <v>10.73</v>
      </c>
      <c r="BO100" s="296">
        <v>10.1</v>
      </c>
      <c r="BP100" s="296">
        <v>1.67</v>
      </c>
      <c r="BQ100" s="97"/>
      <c r="BR100" s="97"/>
      <c r="BS100" s="77">
        <v>0.63</v>
      </c>
      <c r="BT100" s="287">
        <f>10.31+0.036</f>
        <v>10.346</v>
      </c>
      <c r="BU100" s="287">
        <f>1.85+0.036</f>
        <v>1.8860000000000001</v>
      </c>
      <c r="BV100" s="287">
        <f>10.98+0.036+0.036</f>
        <v>11.052</v>
      </c>
      <c r="BW100" s="285">
        <f t="shared" ref="BW100:BW115" si="13">(BV100*BU100*BT100)/1728</f>
        <v>0.12479905608333333</v>
      </c>
      <c r="BX100" s="77">
        <v>0.25</v>
      </c>
      <c r="BY100" s="284">
        <f>11.42+0.25</f>
        <v>11.67</v>
      </c>
      <c r="BZ100" s="284">
        <f>11.22+0.25</f>
        <v>11.47</v>
      </c>
      <c r="CA100" s="284">
        <f>10.78+0.5</f>
        <v>11.28</v>
      </c>
      <c r="CB100" s="285">
        <f t="shared" ref="CB100:CB115" si="14">(CA100*BZ100*BY100)/1728</f>
        <v>0.87377504166666653</v>
      </c>
      <c r="CC100" s="80">
        <v>0.2</v>
      </c>
      <c r="CD100" s="80"/>
      <c r="CE100" s="80"/>
      <c r="CF100" s="104" t="s">
        <v>134</v>
      </c>
      <c r="CG100" s="72">
        <v>6</v>
      </c>
      <c r="CH100" s="72">
        <v>12</v>
      </c>
      <c r="CI100" s="72">
        <v>3</v>
      </c>
      <c r="CJ100" s="27">
        <f t="shared" ref="CJ100:CJ115" si="15">CG100*CH100*CI100</f>
        <v>216</v>
      </c>
      <c r="CK100" s="286">
        <f t="shared" ref="CK100:CK115" si="16">((((BS100+BX100)*CG100)+CC100)*CH100*CI100)+50</f>
        <v>247.28000000000003</v>
      </c>
      <c r="CL100" s="286" t="s">
        <v>135</v>
      </c>
      <c r="CM100" s="83" t="s">
        <v>136</v>
      </c>
      <c r="CN100" s="71"/>
      <c r="CO100" s="71"/>
    </row>
    <row r="101" spans="1:93" s="1" customFormat="1" x14ac:dyDescent="0.25">
      <c r="A101" s="87">
        <v>42725</v>
      </c>
      <c r="B101" s="73" t="s">
        <v>12</v>
      </c>
      <c r="C101" s="73" t="s">
        <v>2120</v>
      </c>
      <c r="D101" s="73" t="s">
        <v>105</v>
      </c>
      <c r="E101" s="73" t="s">
        <v>357</v>
      </c>
      <c r="F101" s="175" t="s">
        <v>2121</v>
      </c>
      <c r="G101" s="175"/>
      <c r="H101" s="175"/>
      <c r="I101" s="175"/>
      <c r="J101" s="41" t="s">
        <v>235</v>
      </c>
      <c r="K101" s="85" t="s">
        <v>2122</v>
      </c>
      <c r="L101" s="293"/>
      <c r="M101" s="293"/>
      <c r="N101" s="25"/>
      <c r="O101" s="26"/>
      <c r="P101" s="26"/>
      <c r="Q101" s="26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15"/>
      <c r="AH101" s="215"/>
      <c r="AI101" s="215"/>
      <c r="AJ101" s="215"/>
      <c r="AK101" s="215"/>
      <c r="AL101" s="215"/>
      <c r="AM101" s="215"/>
      <c r="AN101" s="25"/>
      <c r="AO101" s="33"/>
      <c r="AP101" s="25"/>
      <c r="AQ101" s="33"/>
      <c r="AR101" s="31"/>
      <c r="AS101" s="33"/>
      <c r="AT101" s="25"/>
      <c r="AU101" s="293"/>
      <c r="AV101" s="293" t="s">
        <v>2123</v>
      </c>
      <c r="AW101" s="41"/>
      <c r="AX101" s="293"/>
      <c r="AY101" s="293"/>
      <c r="AZ101" s="293"/>
      <c r="BA101" s="293"/>
      <c r="BB101" s="293"/>
      <c r="BC101" s="293"/>
      <c r="BD101" s="293">
        <v>200212</v>
      </c>
      <c r="BE101" s="31"/>
      <c r="BF101" s="293"/>
      <c r="BG101" s="293" t="s">
        <v>2124</v>
      </c>
      <c r="BH101" s="293"/>
      <c r="BI101" s="293" t="s">
        <v>2124</v>
      </c>
      <c r="BJ101" s="293" t="s">
        <v>2125</v>
      </c>
      <c r="BK101" s="170">
        <v>12.97</v>
      </c>
      <c r="BL101" s="102" t="s">
        <v>2224</v>
      </c>
      <c r="BM101" s="102" t="s">
        <v>2225</v>
      </c>
      <c r="BN101" s="296">
        <v>7.78</v>
      </c>
      <c r="BO101" s="296">
        <v>5.87</v>
      </c>
      <c r="BP101" s="296">
        <v>1.99</v>
      </c>
      <c r="BQ101" s="97"/>
      <c r="BR101" s="97"/>
      <c r="BS101" s="77">
        <v>0.47</v>
      </c>
      <c r="BT101" s="287">
        <f>7.75+0.036</f>
        <v>7.7859999999999996</v>
      </c>
      <c r="BU101" s="287">
        <f>2.5+0.036</f>
        <v>2.536</v>
      </c>
      <c r="BV101" s="287">
        <f>9.036+0.036</f>
        <v>9.0719999999999992</v>
      </c>
      <c r="BW101" s="285">
        <f t="shared" si="13"/>
        <v>0.10366280399999998</v>
      </c>
      <c r="BX101" s="77">
        <v>0.16</v>
      </c>
      <c r="BY101" s="284">
        <f>15.12+0.25</f>
        <v>15.37</v>
      </c>
      <c r="BZ101" s="284">
        <v>9.75</v>
      </c>
      <c r="CA101" s="284">
        <v>9</v>
      </c>
      <c r="CB101" s="285">
        <f t="shared" si="14"/>
        <v>0.78050781250000001</v>
      </c>
      <c r="CC101" s="288">
        <v>0.67</v>
      </c>
      <c r="CD101" s="288"/>
      <c r="CE101" s="288"/>
      <c r="CF101" s="104" t="s">
        <v>134</v>
      </c>
      <c r="CG101" s="72">
        <v>6</v>
      </c>
      <c r="CH101" s="72">
        <v>12</v>
      </c>
      <c r="CI101" s="72">
        <v>5</v>
      </c>
      <c r="CJ101" s="27">
        <f t="shared" si="15"/>
        <v>360</v>
      </c>
      <c r="CK101" s="286">
        <f t="shared" si="16"/>
        <v>317</v>
      </c>
      <c r="CL101" s="286" t="s">
        <v>139</v>
      </c>
      <c r="CM101" s="83" t="s">
        <v>136</v>
      </c>
      <c r="CN101" s="71"/>
      <c r="CO101" s="71"/>
    </row>
    <row r="102" spans="1:93" s="1" customFormat="1" x14ac:dyDescent="0.25">
      <c r="A102" s="87">
        <v>42725</v>
      </c>
      <c r="B102" s="73" t="s">
        <v>12</v>
      </c>
      <c r="C102" s="73" t="s">
        <v>2126</v>
      </c>
      <c r="D102" s="73" t="s">
        <v>105</v>
      </c>
      <c r="E102" s="73" t="s">
        <v>357</v>
      </c>
      <c r="F102" s="175" t="s">
        <v>2127</v>
      </c>
      <c r="G102" s="175"/>
      <c r="H102" s="175"/>
      <c r="I102" s="175"/>
      <c r="J102" s="41" t="s">
        <v>627</v>
      </c>
      <c r="K102" s="85" t="s">
        <v>2128</v>
      </c>
      <c r="L102" s="293"/>
      <c r="M102" s="293"/>
      <c r="N102" s="25"/>
      <c r="O102" s="26"/>
      <c r="P102" s="26"/>
      <c r="Q102" s="26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5"/>
      <c r="AK102" s="215"/>
      <c r="AL102" s="215"/>
      <c r="AM102" s="215"/>
      <c r="AN102" s="25" t="s">
        <v>2129</v>
      </c>
      <c r="AO102" s="33"/>
      <c r="AP102" s="25">
        <v>83480</v>
      </c>
      <c r="AQ102" s="33"/>
      <c r="AR102" s="31"/>
      <c r="AS102" s="33"/>
      <c r="AT102" s="25"/>
      <c r="AU102" s="293" t="s">
        <v>2130</v>
      </c>
      <c r="AV102" s="293" t="s">
        <v>2131</v>
      </c>
      <c r="AW102" s="41"/>
      <c r="AX102" s="293"/>
      <c r="AY102" s="293"/>
      <c r="AZ102" s="293"/>
      <c r="BA102" s="293"/>
      <c r="BB102" s="293"/>
      <c r="BC102" s="293"/>
      <c r="BD102" s="293">
        <v>9480</v>
      </c>
      <c r="BE102" s="31" t="s">
        <v>2132</v>
      </c>
      <c r="BF102" s="293" t="s">
        <v>2133</v>
      </c>
      <c r="BG102" s="293" t="s">
        <v>2134</v>
      </c>
      <c r="BH102" s="293"/>
      <c r="BI102" s="293" t="s">
        <v>2135</v>
      </c>
      <c r="BJ102" s="293">
        <v>49480</v>
      </c>
      <c r="BK102" s="170">
        <v>13.12</v>
      </c>
      <c r="BL102" s="102" t="s">
        <v>2226</v>
      </c>
      <c r="BM102" s="102" t="s">
        <v>2227</v>
      </c>
      <c r="BN102" s="296">
        <v>10.14</v>
      </c>
      <c r="BO102" s="296">
        <v>6.4</v>
      </c>
      <c r="BP102" s="296">
        <v>2.08</v>
      </c>
      <c r="BQ102" s="97"/>
      <c r="BR102" s="97"/>
      <c r="BS102" s="77">
        <v>0.48</v>
      </c>
      <c r="BT102" s="287">
        <f>6.85+0.036</f>
        <v>6.8859999999999992</v>
      </c>
      <c r="BU102" s="287">
        <f>2.12+0.036</f>
        <v>2.1560000000000001</v>
      </c>
      <c r="BV102" s="287">
        <f>10.16+0.036+0.036</f>
        <v>10.231999999999999</v>
      </c>
      <c r="BW102" s="285">
        <f t="shared" si="13"/>
        <v>8.7908843814814813E-2</v>
      </c>
      <c r="BX102" s="77">
        <v>0.2</v>
      </c>
      <c r="BY102" s="284">
        <f>11.81+0.25</f>
        <v>12.06</v>
      </c>
      <c r="BZ102" s="284">
        <f>11.42+0.25</f>
        <v>11.67</v>
      </c>
      <c r="CA102" s="284">
        <f>9.45+0.5</f>
        <v>9.9499999999999993</v>
      </c>
      <c r="CB102" s="285">
        <f t="shared" si="14"/>
        <v>0.81039640624999987</v>
      </c>
      <c r="CC102" s="80">
        <v>0.2</v>
      </c>
      <c r="CD102" s="80"/>
      <c r="CE102" s="80"/>
      <c r="CF102" s="104" t="s">
        <v>134</v>
      </c>
      <c r="CG102" s="72">
        <v>6</v>
      </c>
      <c r="CH102" s="72">
        <v>12</v>
      </c>
      <c r="CI102" s="72">
        <v>4</v>
      </c>
      <c r="CJ102" s="27">
        <f t="shared" si="15"/>
        <v>288</v>
      </c>
      <c r="CK102" s="286">
        <f t="shared" si="16"/>
        <v>255.44</v>
      </c>
      <c r="CL102" s="286" t="s">
        <v>149</v>
      </c>
      <c r="CM102" s="83" t="s">
        <v>136</v>
      </c>
      <c r="CN102" s="71"/>
      <c r="CO102" s="71"/>
    </row>
    <row r="103" spans="1:93" s="1" customFormat="1" x14ac:dyDescent="0.25">
      <c r="A103" s="87">
        <v>42725</v>
      </c>
      <c r="B103" s="73" t="s">
        <v>12</v>
      </c>
      <c r="C103" s="73" t="s">
        <v>2136</v>
      </c>
      <c r="D103" s="73" t="s">
        <v>105</v>
      </c>
      <c r="E103" s="73" t="s">
        <v>2137</v>
      </c>
      <c r="F103" s="175" t="s">
        <v>2138</v>
      </c>
      <c r="G103" s="175"/>
      <c r="H103" s="175"/>
      <c r="I103" s="175"/>
      <c r="J103" s="41" t="s">
        <v>107</v>
      </c>
      <c r="K103" s="85">
        <v>23327845</v>
      </c>
      <c r="L103" s="293"/>
      <c r="M103" s="293"/>
      <c r="N103" s="25"/>
      <c r="O103" s="26"/>
      <c r="P103" s="26"/>
      <c r="Q103" s="26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5"/>
      <c r="AG103" s="215"/>
      <c r="AH103" s="215"/>
      <c r="AI103" s="215"/>
      <c r="AJ103" s="215"/>
      <c r="AK103" s="215"/>
      <c r="AL103" s="215"/>
      <c r="AM103" s="215"/>
      <c r="AN103" s="25" t="s">
        <v>2139</v>
      </c>
      <c r="AO103" s="33"/>
      <c r="AP103" s="25"/>
      <c r="AQ103" s="33" t="s">
        <v>2140</v>
      </c>
      <c r="AR103" s="31"/>
      <c r="AS103" s="33"/>
      <c r="AT103" s="25"/>
      <c r="AU103" s="293"/>
      <c r="AV103" s="293"/>
      <c r="AW103" s="41"/>
      <c r="AX103" s="293"/>
      <c r="AY103" s="293"/>
      <c r="AZ103" s="293"/>
      <c r="BA103" s="293"/>
      <c r="BB103" s="293"/>
      <c r="BC103" s="293"/>
      <c r="BD103" s="293"/>
      <c r="BE103" s="31"/>
      <c r="BF103" s="293"/>
      <c r="BG103" s="293" t="s">
        <v>2141</v>
      </c>
      <c r="BH103" s="293"/>
      <c r="BI103" s="293"/>
      <c r="BJ103" s="293"/>
      <c r="BK103" s="170">
        <v>57.6</v>
      </c>
      <c r="BL103" s="102" t="s">
        <v>2228</v>
      </c>
      <c r="BM103" s="102" t="s">
        <v>2229</v>
      </c>
      <c r="BN103" s="97"/>
      <c r="BO103" s="97"/>
      <c r="BP103" s="97"/>
      <c r="BQ103" s="296">
        <v>5.4</v>
      </c>
      <c r="BR103" s="296">
        <v>13.15</v>
      </c>
      <c r="BS103" s="77">
        <v>1.29</v>
      </c>
      <c r="BT103" s="287">
        <f>5.75+0.036</f>
        <v>5.7859999999999996</v>
      </c>
      <c r="BU103" s="287">
        <f>5.75+0.036</f>
        <v>5.7859999999999996</v>
      </c>
      <c r="BV103" s="287">
        <f>13.5+0.036+0.036</f>
        <v>13.571999999999999</v>
      </c>
      <c r="BW103" s="285">
        <f t="shared" si="13"/>
        <v>0.26294018941666658</v>
      </c>
      <c r="BX103" s="77">
        <v>0.25</v>
      </c>
      <c r="BY103" s="284">
        <v>18</v>
      </c>
      <c r="BZ103" s="284">
        <v>13.75</v>
      </c>
      <c r="CA103" s="284">
        <v>14</v>
      </c>
      <c r="CB103" s="285">
        <f t="shared" si="14"/>
        <v>2.0052083333333335</v>
      </c>
      <c r="CC103" s="288">
        <v>1.26</v>
      </c>
      <c r="CD103" s="288"/>
      <c r="CE103" s="288"/>
      <c r="CF103" s="104" t="s">
        <v>134</v>
      </c>
      <c r="CG103" s="72">
        <v>6</v>
      </c>
      <c r="CH103" s="72">
        <v>6</v>
      </c>
      <c r="CI103" s="72">
        <v>3</v>
      </c>
      <c r="CJ103" s="27">
        <f t="shared" si="15"/>
        <v>108</v>
      </c>
      <c r="CK103" s="286">
        <f t="shared" si="16"/>
        <v>239</v>
      </c>
      <c r="CL103" s="286" t="s">
        <v>256</v>
      </c>
      <c r="CM103" s="83" t="s">
        <v>136</v>
      </c>
      <c r="CN103" s="71"/>
      <c r="CO103" s="71"/>
    </row>
    <row r="104" spans="1:93" s="1" customFormat="1" x14ac:dyDescent="0.25">
      <c r="A104" s="87">
        <v>42725</v>
      </c>
      <c r="B104" s="73" t="s">
        <v>12</v>
      </c>
      <c r="C104" s="73" t="s">
        <v>2142</v>
      </c>
      <c r="D104" s="73" t="s">
        <v>105</v>
      </c>
      <c r="E104" s="73" t="s">
        <v>300</v>
      </c>
      <c r="F104" s="175" t="s">
        <v>2143</v>
      </c>
      <c r="G104" s="175"/>
      <c r="H104" s="175"/>
      <c r="I104" s="175"/>
      <c r="J104" s="41" t="s">
        <v>90</v>
      </c>
      <c r="K104" s="85" t="s">
        <v>2144</v>
      </c>
      <c r="L104" s="293"/>
      <c r="M104" s="293"/>
      <c r="N104" s="25"/>
      <c r="O104" s="26"/>
      <c r="P104" s="26"/>
      <c r="Q104" s="26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5"/>
      <c r="AG104" s="215"/>
      <c r="AH104" s="215"/>
      <c r="AI104" s="215"/>
      <c r="AJ104" s="215"/>
      <c r="AK104" s="215"/>
      <c r="AL104" s="215"/>
      <c r="AM104" s="215"/>
      <c r="AN104" s="25"/>
      <c r="AO104" s="33"/>
      <c r="AP104" s="25">
        <v>93645</v>
      </c>
      <c r="AQ104" s="33"/>
      <c r="AR104" s="31"/>
      <c r="AS104" s="33"/>
      <c r="AT104" s="25"/>
      <c r="AU104" s="293"/>
      <c r="AV104" s="293"/>
      <c r="AW104" s="41"/>
      <c r="AX104" s="293"/>
      <c r="AY104" s="293"/>
      <c r="AZ104" s="293"/>
      <c r="BA104" s="293"/>
      <c r="BB104" s="293"/>
      <c r="BC104" s="293" t="s">
        <v>2145</v>
      </c>
      <c r="BD104" s="293"/>
      <c r="BE104" s="31" t="s">
        <v>2146</v>
      </c>
      <c r="BF104" s="293"/>
      <c r="BG104" s="293"/>
      <c r="BH104" s="293"/>
      <c r="BI104" s="293" t="s">
        <v>2147</v>
      </c>
      <c r="BJ104" s="293"/>
      <c r="BK104" s="170">
        <v>12.96</v>
      </c>
      <c r="BL104" s="102" t="s">
        <v>2230</v>
      </c>
      <c r="BM104" s="102" t="s">
        <v>2231</v>
      </c>
      <c r="BN104" s="296">
        <v>11.18</v>
      </c>
      <c r="BO104" s="296">
        <v>10.199999999999999</v>
      </c>
      <c r="BP104" s="296">
        <v>2.21</v>
      </c>
      <c r="BQ104" s="97"/>
      <c r="BR104" s="97"/>
      <c r="BS104" s="77">
        <v>0.72</v>
      </c>
      <c r="BT104" s="287">
        <f>11.25+0.018+0.018</f>
        <v>11.286000000000001</v>
      </c>
      <c r="BU104" s="287">
        <f>2.68+0.018+0.018</f>
        <v>2.7159999999999997</v>
      </c>
      <c r="BV104" s="287">
        <f>11.25+(4*0.018)</f>
        <v>11.321999999999999</v>
      </c>
      <c r="BW104" s="285">
        <f t="shared" si="13"/>
        <v>0.20083954274999999</v>
      </c>
      <c r="BX104" s="77">
        <v>0.28000000000000003</v>
      </c>
      <c r="BY104" s="284">
        <f>16.62+0.25</f>
        <v>16.87</v>
      </c>
      <c r="BZ104" s="284">
        <v>11.75</v>
      </c>
      <c r="CA104" s="284">
        <v>12</v>
      </c>
      <c r="CB104" s="285">
        <f t="shared" si="14"/>
        <v>1.376545138888889</v>
      </c>
      <c r="CC104" s="288">
        <v>0.97</v>
      </c>
      <c r="CD104" s="288"/>
      <c r="CE104" s="288"/>
      <c r="CF104" s="104" t="s">
        <v>134</v>
      </c>
      <c r="CG104" s="72">
        <v>6</v>
      </c>
      <c r="CH104" s="72">
        <v>8</v>
      </c>
      <c r="CI104" s="72">
        <v>3</v>
      </c>
      <c r="CJ104" s="27">
        <f t="shared" si="15"/>
        <v>144</v>
      </c>
      <c r="CK104" s="286">
        <f t="shared" si="16"/>
        <v>217.28</v>
      </c>
      <c r="CL104" s="286" t="s">
        <v>139</v>
      </c>
      <c r="CM104" s="83" t="s">
        <v>136</v>
      </c>
      <c r="CN104" s="71"/>
      <c r="CO104" s="71"/>
    </row>
    <row r="105" spans="1:93" s="1" customFormat="1" x14ac:dyDescent="0.25">
      <c r="A105" s="87">
        <v>42725</v>
      </c>
      <c r="B105" s="73" t="s">
        <v>12</v>
      </c>
      <c r="C105" s="73" t="s">
        <v>2148</v>
      </c>
      <c r="D105" s="73" t="s">
        <v>105</v>
      </c>
      <c r="E105" s="73" t="s">
        <v>2149</v>
      </c>
      <c r="F105" s="175" t="s">
        <v>2150</v>
      </c>
      <c r="G105" s="175"/>
      <c r="H105" s="175"/>
      <c r="I105" s="175"/>
      <c r="J105" s="41" t="s">
        <v>124</v>
      </c>
      <c r="K105" s="85">
        <v>13327811227</v>
      </c>
      <c r="L105" s="293"/>
      <c r="M105" s="293"/>
      <c r="N105" s="25"/>
      <c r="O105" s="26"/>
      <c r="P105" s="26"/>
      <c r="Q105" s="26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5"/>
      <c r="AI105" s="215"/>
      <c r="AJ105" s="215"/>
      <c r="AK105" s="215"/>
      <c r="AL105" s="215"/>
      <c r="AM105" s="215"/>
      <c r="AN105" s="25"/>
      <c r="AO105" s="33"/>
      <c r="AP105" s="25"/>
      <c r="AQ105" s="33"/>
      <c r="AR105" s="31"/>
      <c r="AS105" s="33"/>
      <c r="AT105" s="25"/>
      <c r="AU105" s="293"/>
      <c r="AV105" s="293"/>
      <c r="AW105" s="41"/>
      <c r="AX105" s="293"/>
      <c r="AY105" s="293" t="s">
        <v>2151</v>
      </c>
      <c r="AZ105" s="293"/>
      <c r="BA105" s="293" t="s">
        <v>2152</v>
      </c>
      <c r="BB105" s="293"/>
      <c r="BC105" s="293"/>
      <c r="BD105" s="293"/>
      <c r="BE105" s="31"/>
      <c r="BF105" s="293"/>
      <c r="BG105" s="293"/>
      <c r="BH105" s="293"/>
      <c r="BI105" s="293"/>
      <c r="BJ105" s="293"/>
      <c r="BK105" s="170">
        <v>35.840000000000003</v>
      </c>
      <c r="BL105" s="102" t="s">
        <v>2232</v>
      </c>
      <c r="BM105" s="102" t="s">
        <v>2233</v>
      </c>
      <c r="BN105" s="97"/>
      <c r="BO105" s="97"/>
      <c r="BP105" s="97"/>
      <c r="BQ105" s="296">
        <v>9.843</v>
      </c>
      <c r="BR105" s="296">
        <v>2.6179999999999999</v>
      </c>
      <c r="BS105" s="77">
        <v>0.56000000000000005</v>
      </c>
      <c r="BT105" s="287">
        <f>3.81+0.036</f>
        <v>3.8460000000000001</v>
      </c>
      <c r="BU105" s="287">
        <f>3.81+0.036</f>
        <v>3.8460000000000001</v>
      </c>
      <c r="BV105" s="287">
        <f>11.43+0.036+0.036</f>
        <v>11.501999999999999</v>
      </c>
      <c r="BW105" s="285">
        <f t="shared" si="13"/>
        <v>9.845735962499999E-2</v>
      </c>
      <c r="BX105" s="77">
        <v>0.15</v>
      </c>
      <c r="BY105" s="284">
        <f>15.87+0.25</f>
        <v>16.119999999999997</v>
      </c>
      <c r="BZ105" s="284">
        <v>12.25</v>
      </c>
      <c r="CA105" s="284">
        <v>12.5</v>
      </c>
      <c r="CB105" s="285">
        <f t="shared" si="14"/>
        <v>1.4284577546296293</v>
      </c>
      <c r="CC105" s="80">
        <v>1</v>
      </c>
      <c r="CD105" s="80"/>
      <c r="CE105" s="80"/>
      <c r="CF105" s="104" t="s">
        <v>134</v>
      </c>
      <c r="CG105" s="72">
        <v>12</v>
      </c>
      <c r="CH105" s="72">
        <v>8</v>
      </c>
      <c r="CI105" s="72">
        <v>3</v>
      </c>
      <c r="CJ105" s="27">
        <f t="shared" si="15"/>
        <v>288</v>
      </c>
      <c r="CK105" s="286">
        <f t="shared" si="16"/>
        <v>278.48</v>
      </c>
      <c r="CL105" s="286" t="s">
        <v>149</v>
      </c>
      <c r="CM105" s="83" t="s">
        <v>150</v>
      </c>
      <c r="CN105" s="71"/>
      <c r="CO105" s="71"/>
    </row>
    <row r="106" spans="1:93" s="1" customFormat="1" ht="30" x14ac:dyDescent="0.25">
      <c r="A106" s="87">
        <v>42725</v>
      </c>
      <c r="B106" s="73" t="s">
        <v>12</v>
      </c>
      <c r="C106" s="73" t="s">
        <v>2153</v>
      </c>
      <c r="D106" s="73" t="s">
        <v>105</v>
      </c>
      <c r="E106" s="73" t="s">
        <v>2149</v>
      </c>
      <c r="F106" s="175" t="s">
        <v>2154</v>
      </c>
      <c r="G106" s="175"/>
      <c r="H106" s="175"/>
      <c r="I106" s="175"/>
      <c r="J106" s="41" t="s">
        <v>2155</v>
      </c>
      <c r="K106" s="85">
        <v>6420904852</v>
      </c>
      <c r="L106" s="293"/>
      <c r="M106" s="293"/>
      <c r="N106" s="25"/>
      <c r="O106" s="26"/>
      <c r="P106" s="26"/>
      <c r="Q106" s="26"/>
      <c r="R106" s="215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5"/>
      <c r="AG106" s="215"/>
      <c r="AH106" s="215"/>
      <c r="AI106" s="215"/>
      <c r="AJ106" s="215"/>
      <c r="AK106" s="215"/>
      <c r="AL106" s="215"/>
      <c r="AM106" s="215"/>
      <c r="AN106" s="25" t="s">
        <v>2255</v>
      </c>
      <c r="AO106" s="33"/>
      <c r="AP106" s="25"/>
      <c r="AQ106" s="33"/>
      <c r="AR106" s="31"/>
      <c r="AS106" s="33"/>
      <c r="AT106" s="25" t="s">
        <v>2256</v>
      </c>
      <c r="AU106" s="297"/>
      <c r="AV106" s="297"/>
      <c r="AW106" s="41"/>
      <c r="AX106" s="297"/>
      <c r="AY106" s="297"/>
      <c r="AZ106" s="297"/>
      <c r="BA106" s="297" t="s">
        <v>2156</v>
      </c>
      <c r="BB106" s="297"/>
      <c r="BC106" s="297"/>
      <c r="BD106" s="297"/>
      <c r="BE106" s="31"/>
      <c r="BF106" s="297"/>
      <c r="BG106" s="297"/>
      <c r="BH106" s="297"/>
      <c r="BI106" s="297"/>
      <c r="BJ106" s="297">
        <v>33251</v>
      </c>
      <c r="BK106" s="170">
        <v>49.99</v>
      </c>
      <c r="BL106" s="102" t="s">
        <v>2234</v>
      </c>
      <c r="BM106" s="102" t="s">
        <v>2235</v>
      </c>
      <c r="BN106" s="97"/>
      <c r="BO106" s="97"/>
      <c r="BP106" s="97"/>
      <c r="BQ106" s="296">
        <v>3.6019999999999999</v>
      </c>
      <c r="BR106" s="296">
        <v>4.6260000000000003</v>
      </c>
      <c r="BS106" s="77">
        <v>0.73</v>
      </c>
      <c r="BT106" s="287">
        <f>3.812+0.018+0.018</f>
        <v>3.8479999999999994</v>
      </c>
      <c r="BU106" s="287">
        <f>3.812+0.018+0.018</f>
        <v>3.8479999999999994</v>
      </c>
      <c r="BV106" s="287">
        <f>5.375+(4*0.018)</f>
        <v>5.4470000000000001</v>
      </c>
      <c r="BW106" s="285">
        <f t="shared" si="13"/>
        <v>4.6674939518518505E-2</v>
      </c>
      <c r="BX106" s="77">
        <v>0.08</v>
      </c>
      <c r="BY106" s="284">
        <f>15.56+0.25</f>
        <v>15.81</v>
      </c>
      <c r="BZ106" s="284">
        <f>11.68+0.25</f>
        <v>11.93</v>
      </c>
      <c r="CA106" s="284">
        <v>6</v>
      </c>
      <c r="CB106" s="285">
        <f t="shared" si="14"/>
        <v>0.65490729166666672</v>
      </c>
      <c r="CC106" s="288">
        <v>0.75</v>
      </c>
      <c r="CD106" s="288"/>
      <c r="CE106" s="288"/>
      <c r="CF106" s="104" t="s">
        <v>134</v>
      </c>
      <c r="CG106" s="72">
        <v>12</v>
      </c>
      <c r="CH106" s="72">
        <v>10</v>
      </c>
      <c r="CI106" s="72">
        <v>7</v>
      </c>
      <c r="CJ106" s="27">
        <f t="shared" si="15"/>
        <v>840</v>
      </c>
      <c r="CK106" s="286">
        <f t="shared" si="16"/>
        <v>782.89999999999986</v>
      </c>
      <c r="CL106" s="286" t="s">
        <v>149</v>
      </c>
      <c r="CM106" s="83" t="s">
        <v>150</v>
      </c>
      <c r="CN106" s="71"/>
      <c r="CO106" s="71"/>
    </row>
    <row r="107" spans="1:93" s="1" customFormat="1" x14ac:dyDescent="0.25">
      <c r="A107" s="87">
        <v>42725</v>
      </c>
      <c r="B107" s="73" t="s">
        <v>12</v>
      </c>
      <c r="C107" s="73" t="s">
        <v>2157</v>
      </c>
      <c r="D107" s="73" t="s">
        <v>105</v>
      </c>
      <c r="E107" s="73" t="s">
        <v>59</v>
      </c>
      <c r="F107" s="175" t="s">
        <v>2158</v>
      </c>
      <c r="G107" s="175"/>
      <c r="H107" s="175"/>
      <c r="I107" s="175"/>
      <c r="J107" s="41" t="s">
        <v>90</v>
      </c>
      <c r="K107" s="85" t="s">
        <v>2159</v>
      </c>
      <c r="L107" s="293"/>
      <c r="M107" s="293"/>
      <c r="N107" s="25"/>
      <c r="O107" s="26"/>
      <c r="P107" s="26"/>
      <c r="Q107" s="26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5"/>
      <c r="AI107" s="215"/>
      <c r="AJ107" s="215"/>
      <c r="AK107" s="215"/>
      <c r="AL107" s="215"/>
      <c r="AM107" s="215"/>
      <c r="AN107" s="25" t="s">
        <v>2160</v>
      </c>
      <c r="AO107" s="33"/>
      <c r="AP107" s="25"/>
      <c r="AQ107" s="33"/>
      <c r="AR107" s="31"/>
      <c r="AS107" s="33"/>
      <c r="AT107" s="25"/>
      <c r="AU107" s="293"/>
      <c r="AV107" s="293"/>
      <c r="AW107" s="41"/>
      <c r="AX107" s="293"/>
      <c r="AY107" s="293"/>
      <c r="AZ107" s="293"/>
      <c r="BA107" s="293"/>
      <c r="BB107" s="293"/>
      <c r="BC107" s="293" t="s">
        <v>2161</v>
      </c>
      <c r="BD107" s="293"/>
      <c r="BE107" s="31"/>
      <c r="BF107" s="293"/>
      <c r="BG107" s="293"/>
      <c r="BH107" s="293"/>
      <c r="BI107" s="293"/>
      <c r="BJ107" s="293"/>
      <c r="BK107" s="170">
        <v>51.84</v>
      </c>
      <c r="BL107" s="102" t="s">
        <v>2236</v>
      </c>
      <c r="BM107" s="102" t="s">
        <v>2237</v>
      </c>
      <c r="BN107" s="97"/>
      <c r="BO107" s="97"/>
      <c r="BP107" s="97"/>
      <c r="BQ107" s="296">
        <v>4.8499999999999996</v>
      </c>
      <c r="BR107" s="296">
        <v>5.26</v>
      </c>
      <c r="BS107" s="77">
        <v>0.5</v>
      </c>
      <c r="BT107" s="287">
        <f t="shared" ref="BT107:BU108" si="17">4.62+0.036</f>
        <v>4.6559999999999997</v>
      </c>
      <c r="BU107" s="287">
        <f t="shared" si="17"/>
        <v>4.6559999999999997</v>
      </c>
      <c r="BV107" s="287">
        <f t="shared" ref="BV107:BV108" si="18">6.072</f>
        <v>6.0720000000000001</v>
      </c>
      <c r="BW107" s="285">
        <f t="shared" si="13"/>
        <v>7.6175263999999993E-2</v>
      </c>
      <c r="BX107" s="77">
        <v>0.12</v>
      </c>
      <c r="BY107" s="284">
        <v>19.5</v>
      </c>
      <c r="BZ107" s="284">
        <f t="shared" ref="BZ107:BZ108" si="19">14.37+0.25</f>
        <v>14.62</v>
      </c>
      <c r="CA107" s="284">
        <v>6.62</v>
      </c>
      <c r="CB107" s="285">
        <f t="shared" si="14"/>
        <v>1.0921850694444444</v>
      </c>
      <c r="CC107" s="80">
        <v>1.1100000000000001</v>
      </c>
      <c r="CD107" s="80"/>
      <c r="CE107" s="80"/>
      <c r="CF107" s="104" t="s">
        <v>134</v>
      </c>
      <c r="CG107" s="72">
        <v>12</v>
      </c>
      <c r="CH107" s="72">
        <v>6</v>
      </c>
      <c r="CI107" s="72">
        <v>6</v>
      </c>
      <c r="CJ107" s="27">
        <f t="shared" si="15"/>
        <v>432</v>
      </c>
      <c r="CK107" s="286">
        <f t="shared" si="16"/>
        <v>357.79999999999995</v>
      </c>
      <c r="CL107" s="286" t="s">
        <v>2238</v>
      </c>
      <c r="CM107" s="83" t="s">
        <v>150</v>
      </c>
      <c r="CN107" s="71"/>
      <c r="CO107" s="71"/>
    </row>
    <row r="108" spans="1:93" s="1" customFormat="1" x14ac:dyDescent="0.25">
      <c r="A108" s="87">
        <v>42725</v>
      </c>
      <c r="B108" s="73" t="s">
        <v>12</v>
      </c>
      <c r="C108" s="73" t="s">
        <v>2162</v>
      </c>
      <c r="D108" s="73" t="s">
        <v>105</v>
      </c>
      <c r="E108" s="73" t="s">
        <v>59</v>
      </c>
      <c r="F108" s="175" t="s">
        <v>2163</v>
      </c>
      <c r="G108" s="175"/>
      <c r="H108" s="175"/>
      <c r="I108" s="175"/>
      <c r="J108" s="41" t="s">
        <v>2164</v>
      </c>
      <c r="K108" s="85" t="s">
        <v>2165</v>
      </c>
      <c r="L108" s="293"/>
      <c r="M108" s="293"/>
      <c r="N108" s="25"/>
      <c r="O108" s="26"/>
      <c r="P108" s="26"/>
      <c r="Q108" s="26"/>
      <c r="R108" s="215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5"/>
      <c r="AG108" s="215"/>
      <c r="AH108" s="215"/>
      <c r="AI108" s="215"/>
      <c r="AJ108" s="215"/>
      <c r="AK108" s="215"/>
      <c r="AL108" s="215"/>
      <c r="AM108" s="215"/>
      <c r="AN108" s="25" t="s">
        <v>2166</v>
      </c>
      <c r="AO108" s="33"/>
      <c r="AP108" s="25">
        <v>96112</v>
      </c>
      <c r="AQ108" s="33"/>
      <c r="AR108" s="31"/>
      <c r="AS108" s="33"/>
      <c r="AT108" s="25"/>
      <c r="AU108" s="293"/>
      <c r="AV108" s="293" t="s">
        <v>2167</v>
      </c>
      <c r="AW108" s="41"/>
      <c r="AX108" s="293"/>
      <c r="AY108" s="293"/>
      <c r="AZ108" s="293"/>
      <c r="BA108" s="293"/>
      <c r="BB108" s="293"/>
      <c r="BC108" s="293"/>
      <c r="BD108" s="293">
        <v>600112</v>
      </c>
      <c r="BE108" s="31"/>
      <c r="BF108" s="293"/>
      <c r="BG108" s="293">
        <v>56085</v>
      </c>
      <c r="BH108" s="293"/>
      <c r="BI108" s="293">
        <v>56085</v>
      </c>
      <c r="BJ108" s="293" t="s">
        <v>2168</v>
      </c>
      <c r="BK108" s="170">
        <v>73.489999999999995</v>
      </c>
      <c r="BL108" s="102" t="s">
        <v>2239</v>
      </c>
      <c r="BM108" s="102" t="s">
        <v>2240</v>
      </c>
      <c r="BN108" s="97"/>
      <c r="BO108" s="97"/>
      <c r="BP108" s="97"/>
      <c r="BQ108" s="296">
        <v>4.2439999999999998</v>
      </c>
      <c r="BR108" s="296">
        <v>5.65</v>
      </c>
      <c r="BS108" s="77">
        <v>1.45</v>
      </c>
      <c r="BT108" s="287">
        <f t="shared" si="17"/>
        <v>4.6559999999999997</v>
      </c>
      <c r="BU108" s="287">
        <f t="shared" si="17"/>
        <v>4.6559999999999997</v>
      </c>
      <c r="BV108" s="287">
        <f t="shared" si="18"/>
        <v>6.0720000000000001</v>
      </c>
      <c r="BW108" s="285">
        <f t="shared" si="13"/>
        <v>7.6175263999999993E-2</v>
      </c>
      <c r="BX108" s="77">
        <v>0.12</v>
      </c>
      <c r="BY108" s="284">
        <v>19.5</v>
      </c>
      <c r="BZ108" s="284">
        <f t="shared" si="19"/>
        <v>14.62</v>
      </c>
      <c r="CA108" s="284">
        <v>6.62</v>
      </c>
      <c r="CB108" s="285">
        <f t="shared" si="14"/>
        <v>1.0921850694444444</v>
      </c>
      <c r="CC108" s="288">
        <v>1.1100000000000001</v>
      </c>
      <c r="CD108" s="288"/>
      <c r="CE108" s="288"/>
      <c r="CF108" s="104" t="s">
        <v>134</v>
      </c>
      <c r="CG108" s="72">
        <v>12</v>
      </c>
      <c r="CH108" s="72">
        <v>6</v>
      </c>
      <c r="CI108" s="72">
        <v>6</v>
      </c>
      <c r="CJ108" s="27">
        <f t="shared" si="15"/>
        <v>432</v>
      </c>
      <c r="CK108" s="286">
        <f t="shared" si="16"/>
        <v>768.19999999999982</v>
      </c>
      <c r="CL108" s="286" t="s">
        <v>2238</v>
      </c>
      <c r="CM108" s="83" t="s">
        <v>150</v>
      </c>
      <c r="CN108" s="71"/>
      <c r="CO108" s="71"/>
    </row>
    <row r="109" spans="1:93" s="1" customFormat="1" x14ac:dyDescent="0.25">
      <c r="A109" s="87">
        <v>42725</v>
      </c>
      <c r="B109" s="73" t="s">
        <v>12</v>
      </c>
      <c r="C109" s="73" t="s">
        <v>2169</v>
      </c>
      <c r="D109" s="73" t="s">
        <v>105</v>
      </c>
      <c r="E109" s="73" t="s">
        <v>2149</v>
      </c>
      <c r="F109" s="175" t="s">
        <v>2170</v>
      </c>
      <c r="G109" s="175"/>
      <c r="H109" s="175"/>
      <c r="I109" s="175"/>
      <c r="J109" s="41" t="s">
        <v>278</v>
      </c>
      <c r="K109" s="85" t="s">
        <v>2171</v>
      </c>
      <c r="L109" s="293"/>
      <c r="M109" s="293"/>
      <c r="N109" s="25"/>
      <c r="O109" s="26"/>
      <c r="P109" s="26"/>
      <c r="Q109" s="26"/>
      <c r="R109" s="215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AD109" s="215"/>
      <c r="AE109" s="215"/>
      <c r="AF109" s="215"/>
      <c r="AG109" s="215"/>
      <c r="AH109" s="215"/>
      <c r="AI109" s="215"/>
      <c r="AJ109" s="215"/>
      <c r="AK109" s="215"/>
      <c r="AL109" s="215"/>
      <c r="AM109" s="215"/>
      <c r="AN109" s="25"/>
      <c r="AO109" s="33"/>
      <c r="AP109" s="25">
        <v>86814</v>
      </c>
      <c r="AQ109" s="33"/>
      <c r="AR109" s="31"/>
      <c r="AS109" s="33"/>
      <c r="AT109" s="25"/>
      <c r="AU109" s="293" t="s">
        <v>2172</v>
      </c>
      <c r="AV109" s="293" t="s">
        <v>2173</v>
      </c>
      <c r="AW109" s="41" t="s">
        <v>2174</v>
      </c>
      <c r="AX109" s="293"/>
      <c r="AY109" s="293" t="s">
        <v>2175</v>
      </c>
      <c r="AZ109" s="293"/>
      <c r="BA109" s="293" t="s">
        <v>2176</v>
      </c>
      <c r="BB109" s="293"/>
      <c r="BC109" s="293"/>
      <c r="BD109" s="293">
        <v>3814</v>
      </c>
      <c r="BE109" s="31"/>
      <c r="BF109" s="293"/>
      <c r="BG109" s="293">
        <v>59184</v>
      </c>
      <c r="BH109" s="293"/>
      <c r="BI109" s="293" t="s">
        <v>2169</v>
      </c>
      <c r="BJ109" s="293">
        <v>33814</v>
      </c>
      <c r="BK109" s="170">
        <v>37.950000000000003</v>
      </c>
      <c r="BL109" s="102" t="s">
        <v>2241</v>
      </c>
      <c r="BM109" s="102" t="s">
        <v>2242</v>
      </c>
      <c r="BN109" s="97"/>
      <c r="BO109" s="97"/>
      <c r="BP109" s="97"/>
      <c r="BQ109" s="296">
        <v>2.41</v>
      </c>
      <c r="BR109" s="296">
        <v>6.5</v>
      </c>
      <c r="BS109" s="77">
        <v>0.32</v>
      </c>
      <c r="BT109" s="287">
        <f>2.87+0.036</f>
        <v>2.9060000000000001</v>
      </c>
      <c r="BU109" s="287">
        <f>2.87+0.036</f>
        <v>2.9060000000000001</v>
      </c>
      <c r="BV109" s="287">
        <f>6.62+0.036+0.036</f>
        <v>6.6919999999999993</v>
      </c>
      <c r="BW109" s="285">
        <f t="shared" si="13"/>
        <v>3.270419126851852E-2</v>
      </c>
      <c r="BX109" s="77">
        <v>0.08</v>
      </c>
      <c r="BY109" s="284">
        <v>12.25</v>
      </c>
      <c r="BZ109" s="284">
        <v>9</v>
      </c>
      <c r="CA109" s="284">
        <f>7.38+0.5</f>
        <v>7.88</v>
      </c>
      <c r="CB109" s="285">
        <f t="shared" si="14"/>
        <v>0.50276041666666671</v>
      </c>
      <c r="CC109" s="288">
        <v>0.51</v>
      </c>
      <c r="CD109" s="288"/>
      <c r="CE109" s="288"/>
      <c r="CF109" s="104" t="s">
        <v>134</v>
      </c>
      <c r="CG109" s="72">
        <v>12</v>
      </c>
      <c r="CH109" s="72">
        <v>16</v>
      </c>
      <c r="CI109" s="72">
        <v>5</v>
      </c>
      <c r="CJ109" s="27">
        <f t="shared" si="15"/>
        <v>960</v>
      </c>
      <c r="CK109" s="286">
        <f t="shared" si="16"/>
        <v>474.80000000000007</v>
      </c>
      <c r="CL109" s="286" t="s">
        <v>139</v>
      </c>
      <c r="CM109" s="83" t="s">
        <v>150</v>
      </c>
      <c r="CN109" s="71"/>
      <c r="CO109" s="71"/>
    </row>
    <row r="110" spans="1:93" s="1" customFormat="1" x14ac:dyDescent="0.25">
      <c r="A110" s="87">
        <v>42725</v>
      </c>
      <c r="B110" s="73" t="s">
        <v>12</v>
      </c>
      <c r="C110" s="73" t="s">
        <v>2177</v>
      </c>
      <c r="D110" s="73" t="s">
        <v>105</v>
      </c>
      <c r="E110" s="73" t="s">
        <v>2149</v>
      </c>
      <c r="F110" s="175" t="s">
        <v>2178</v>
      </c>
      <c r="G110" s="175"/>
      <c r="H110" s="175"/>
      <c r="I110" s="175"/>
      <c r="J110" s="41" t="s">
        <v>107</v>
      </c>
      <c r="K110" s="85">
        <v>25993215</v>
      </c>
      <c r="L110" s="293"/>
      <c r="M110" s="293"/>
      <c r="N110" s="25"/>
      <c r="O110" s="26"/>
      <c r="P110" s="26"/>
      <c r="Q110" s="26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215"/>
      <c r="AG110" s="215"/>
      <c r="AH110" s="215"/>
      <c r="AI110" s="215"/>
      <c r="AJ110" s="215"/>
      <c r="AK110" s="215"/>
      <c r="AL110" s="215"/>
      <c r="AM110" s="215"/>
      <c r="AN110" s="25"/>
      <c r="AO110" s="33"/>
      <c r="AP110" s="25">
        <v>86315</v>
      </c>
      <c r="AQ110" s="33"/>
      <c r="AR110" s="31"/>
      <c r="AS110" s="33"/>
      <c r="AT110" s="25"/>
      <c r="AU110" s="293"/>
      <c r="AV110" s="293" t="s">
        <v>2179</v>
      </c>
      <c r="AW110" s="41"/>
      <c r="AX110" s="293"/>
      <c r="AY110" s="293"/>
      <c r="AZ110" s="293"/>
      <c r="BA110" s="293"/>
      <c r="BB110" s="293"/>
      <c r="BC110" s="293"/>
      <c r="BD110" s="293">
        <v>3315</v>
      </c>
      <c r="BE110" s="31"/>
      <c r="BF110" s="293"/>
      <c r="BG110" s="293" t="s">
        <v>2180</v>
      </c>
      <c r="BH110" s="293"/>
      <c r="BI110" s="293" t="s">
        <v>2177</v>
      </c>
      <c r="BJ110" s="293">
        <v>33315</v>
      </c>
      <c r="BK110" s="170">
        <v>27.23</v>
      </c>
      <c r="BL110" s="102" t="s">
        <v>2243</v>
      </c>
      <c r="BM110" s="102" t="s">
        <v>2244</v>
      </c>
      <c r="BN110" s="97"/>
      <c r="BO110" s="97"/>
      <c r="BP110" s="97"/>
      <c r="BQ110" s="296">
        <v>2.19</v>
      </c>
      <c r="BR110" s="296">
        <v>6.14</v>
      </c>
      <c r="BS110" s="77">
        <v>0.35</v>
      </c>
      <c r="BT110" s="287">
        <f>2.37+0.036</f>
        <v>2.4060000000000001</v>
      </c>
      <c r="BU110" s="287">
        <f>2.37+0.036</f>
        <v>2.4060000000000001</v>
      </c>
      <c r="BV110" s="287">
        <f>6.8+0.036+0.036</f>
        <v>6.871999999999999</v>
      </c>
      <c r="BW110" s="285">
        <f t="shared" si="13"/>
        <v>2.3021343166666666E-2</v>
      </c>
      <c r="BX110" s="77">
        <v>0.06</v>
      </c>
      <c r="BY110" s="284">
        <v>10.25</v>
      </c>
      <c r="BZ110" s="284">
        <v>7.75</v>
      </c>
      <c r="CA110" s="284">
        <f>6.62+0.5</f>
        <v>7.12</v>
      </c>
      <c r="CB110" s="285">
        <f t="shared" si="14"/>
        <v>0.32731192129629633</v>
      </c>
      <c r="CC110" s="80">
        <v>0.4</v>
      </c>
      <c r="CD110" s="80"/>
      <c r="CE110" s="80"/>
      <c r="CF110" s="104" t="s">
        <v>134</v>
      </c>
      <c r="CG110" s="72">
        <v>12</v>
      </c>
      <c r="CH110" s="72">
        <v>22</v>
      </c>
      <c r="CI110" s="72">
        <v>6</v>
      </c>
      <c r="CJ110" s="27">
        <f t="shared" si="15"/>
        <v>1584</v>
      </c>
      <c r="CK110" s="286">
        <f t="shared" si="16"/>
        <v>752.24</v>
      </c>
      <c r="CL110" s="286" t="s">
        <v>139</v>
      </c>
      <c r="CM110" s="83" t="s">
        <v>150</v>
      </c>
      <c r="CN110" s="71"/>
      <c r="CO110" s="71"/>
    </row>
    <row r="111" spans="1:93" s="1" customFormat="1" x14ac:dyDescent="0.25">
      <c r="A111" s="87">
        <v>42725</v>
      </c>
      <c r="B111" s="73" t="s">
        <v>12</v>
      </c>
      <c r="C111" s="73" t="s">
        <v>2181</v>
      </c>
      <c r="D111" s="73" t="s">
        <v>105</v>
      </c>
      <c r="E111" s="73" t="s">
        <v>300</v>
      </c>
      <c r="F111" s="295" t="s">
        <v>2182</v>
      </c>
      <c r="G111" s="295"/>
      <c r="H111" s="295"/>
      <c r="I111" s="295"/>
      <c r="J111" s="41" t="s">
        <v>124</v>
      </c>
      <c r="K111" s="85">
        <v>13717582908</v>
      </c>
      <c r="L111" s="293"/>
      <c r="M111" s="293"/>
      <c r="N111" s="25"/>
      <c r="O111" s="26"/>
      <c r="P111" s="26"/>
      <c r="Q111" s="26"/>
      <c r="R111" s="215"/>
      <c r="S111" s="215"/>
      <c r="T111" s="215"/>
      <c r="U111" s="215"/>
      <c r="V111" s="215"/>
      <c r="W111" s="215"/>
      <c r="X111" s="215"/>
      <c r="Y111" s="215"/>
      <c r="Z111" s="215"/>
      <c r="AA111" s="215"/>
      <c r="AB111" s="215"/>
      <c r="AC111" s="215"/>
      <c r="AD111" s="215"/>
      <c r="AE111" s="215"/>
      <c r="AF111" s="215"/>
      <c r="AG111" s="215"/>
      <c r="AH111" s="215"/>
      <c r="AI111" s="215"/>
      <c r="AJ111" s="215"/>
      <c r="AK111" s="215"/>
      <c r="AL111" s="215"/>
      <c r="AM111" s="215"/>
      <c r="AN111" s="25"/>
      <c r="AO111" s="33"/>
      <c r="AP111" s="25">
        <v>83208</v>
      </c>
      <c r="AQ111" s="33"/>
      <c r="AR111" s="31"/>
      <c r="AS111" s="33"/>
      <c r="AT111" s="25"/>
      <c r="AU111" s="293" t="s">
        <v>2183</v>
      </c>
      <c r="AV111" s="293" t="s">
        <v>2184</v>
      </c>
      <c r="AW111" s="41" t="s">
        <v>2185</v>
      </c>
      <c r="AX111" s="293" t="s">
        <v>2186</v>
      </c>
      <c r="AY111" s="293" t="s">
        <v>2187</v>
      </c>
      <c r="AZ111" s="293"/>
      <c r="BA111" s="293" t="s">
        <v>2188</v>
      </c>
      <c r="BB111" s="293"/>
      <c r="BC111" s="293"/>
      <c r="BD111" s="293">
        <v>9208</v>
      </c>
      <c r="BE111" s="31" t="s">
        <v>2189</v>
      </c>
      <c r="BF111" s="293" t="s">
        <v>2190</v>
      </c>
      <c r="BG111" s="293"/>
      <c r="BH111" s="293"/>
      <c r="BI111" s="293"/>
      <c r="BJ111" s="293">
        <v>49208</v>
      </c>
      <c r="BK111" s="170">
        <v>35.229999999999997</v>
      </c>
      <c r="BL111" s="102" t="s">
        <v>2245</v>
      </c>
      <c r="BM111" s="102" t="s">
        <v>2246</v>
      </c>
      <c r="BN111" s="103">
        <v>10.63</v>
      </c>
      <c r="BO111" s="103">
        <v>9.92</v>
      </c>
      <c r="BP111" s="103">
        <v>2.0099999999999998</v>
      </c>
      <c r="BQ111" s="36"/>
      <c r="BR111" s="36"/>
      <c r="BS111" s="77">
        <v>0.62</v>
      </c>
      <c r="BT111" s="287">
        <f>10.68+0.036</f>
        <v>10.715999999999999</v>
      </c>
      <c r="BU111" s="287">
        <f>2.43+0.036</f>
        <v>2.4660000000000002</v>
      </c>
      <c r="BV111" s="285">
        <f>10.68+0.036+0.036</f>
        <v>10.751999999999999</v>
      </c>
      <c r="BW111" s="285">
        <f t="shared" si="13"/>
        <v>0.164426304</v>
      </c>
      <c r="BX111" s="77">
        <v>0.24</v>
      </c>
      <c r="BY111" s="284">
        <v>11.25</v>
      </c>
      <c r="BZ111" s="284">
        <v>8</v>
      </c>
      <c r="CA111" s="284">
        <v>11.5</v>
      </c>
      <c r="CB111" s="285">
        <f t="shared" si="14"/>
        <v>0.59895833333333337</v>
      </c>
      <c r="CC111" s="288">
        <v>0.53</v>
      </c>
      <c r="CD111" s="288"/>
      <c r="CE111" s="288"/>
      <c r="CF111" s="104" t="s">
        <v>134</v>
      </c>
      <c r="CG111" s="72">
        <v>3</v>
      </c>
      <c r="CH111" s="72">
        <v>20</v>
      </c>
      <c r="CI111" s="72">
        <v>3</v>
      </c>
      <c r="CJ111" s="27">
        <f t="shared" si="15"/>
        <v>180</v>
      </c>
      <c r="CK111" s="286">
        <f t="shared" si="16"/>
        <v>236.60000000000002</v>
      </c>
      <c r="CL111" s="27" t="s">
        <v>139</v>
      </c>
      <c r="CM111" s="83" t="s">
        <v>136</v>
      </c>
      <c r="CN111" s="71"/>
      <c r="CO111" s="71"/>
    </row>
    <row r="112" spans="1:93" s="1" customFormat="1" x14ac:dyDescent="0.25">
      <c r="A112" s="87">
        <v>42725</v>
      </c>
      <c r="B112" s="73" t="s">
        <v>12</v>
      </c>
      <c r="C112" s="73" t="s">
        <v>2191</v>
      </c>
      <c r="D112" s="73" t="s">
        <v>105</v>
      </c>
      <c r="E112" s="73" t="s">
        <v>300</v>
      </c>
      <c r="F112" s="295" t="s">
        <v>2192</v>
      </c>
      <c r="G112" s="295"/>
      <c r="H112" s="295"/>
      <c r="I112" s="295"/>
      <c r="J112" s="41" t="s">
        <v>333</v>
      </c>
      <c r="K112" s="85" t="s">
        <v>2193</v>
      </c>
      <c r="L112" s="293"/>
      <c r="M112" s="293"/>
      <c r="N112" s="25"/>
      <c r="O112" s="26"/>
      <c r="P112" s="26"/>
      <c r="Q112" s="26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215"/>
      <c r="AG112" s="215"/>
      <c r="AH112" s="215"/>
      <c r="AI112" s="215"/>
      <c r="AJ112" s="215"/>
      <c r="AK112" s="215"/>
      <c r="AL112" s="215"/>
      <c r="AM112" s="215"/>
      <c r="AN112" s="25" t="s">
        <v>2194</v>
      </c>
      <c r="AO112" s="33"/>
      <c r="AP112" s="25"/>
      <c r="AQ112" s="33"/>
      <c r="AR112" s="31"/>
      <c r="AS112" s="33"/>
      <c r="AT112" s="25"/>
      <c r="AU112" s="293"/>
      <c r="AV112" s="293" t="s">
        <v>2195</v>
      </c>
      <c r="AW112" s="41"/>
      <c r="AX112" s="293" t="s">
        <v>2196</v>
      </c>
      <c r="AY112" s="293"/>
      <c r="AZ112" s="293"/>
      <c r="BA112" s="293"/>
      <c r="BB112" s="293"/>
      <c r="BC112" s="293"/>
      <c r="BD112" s="293">
        <v>200196</v>
      </c>
      <c r="BE112" s="31"/>
      <c r="BF112" s="293"/>
      <c r="BG112" s="293" t="s">
        <v>2197</v>
      </c>
      <c r="BH112" s="293"/>
      <c r="BI112" s="293" t="s">
        <v>2197</v>
      </c>
      <c r="BJ112" s="293" t="s">
        <v>2198</v>
      </c>
      <c r="BK112" s="170">
        <v>28.17</v>
      </c>
      <c r="BL112" s="102" t="s">
        <v>2247</v>
      </c>
      <c r="BM112" s="102" t="s">
        <v>2248</v>
      </c>
      <c r="BN112" s="103">
        <v>10.47</v>
      </c>
      <c r="BO112" s="103">
        <v>7.23</v>
      </c>
      <c r="BP112" s="103">
        <v>1.91</v>
      </c>
      <c r="BQ112" s="36"/>
      <c r="BR112" s="36"/>
      <c r="BS112" s="77">
        <v>0.5</v>
      </c>
      <c r="BT112" s="287">
        <f>7.48+0.036</f>
        <v>7.516</v>
      </c>
      <c r="BU112" s="287">
        <f>2.16+0.036</f>
        <v>2.1960000000000002</v>
      </c>
      <c r="BV112" s="287">
        <f>10.71+0.036+0.036</f>
        <v>10.782</v>
      </c>
      <c r="BW112" s="285">
        <f t="shared" si="13"/>
        <v>0.10298517150000001</v>
      </c>
      <c r="BX112" s="77">
        <v>0.05</v>
      </c>
      <c r="BY112" s="284">
        <f>13.38+0.25</f>
        <v>13.63</v>
      </c>
      <c r="BZ112" s="284">
        <f>10.94+0.25</f>
        <v>11.19</v>
      </c>
      <c r="CA112" s="284">
        <f>7.95+0.5</f>
        <v>8.4499999999999993</v>
      </c>
      <c r="CB112" s="285">
        <f t="shared" si="14"/>
        <v>0.74582839409722212</v>
      </c>
      <c r="CC112" s="80">
        <v>0.15</v>
      </c>
      <c r="CD112" s="80"/>
      <c r="CE112" s="80"/>
      <c r="CF112" s="104" t="s">
        <v>134</v>
      </c>
      <c r="CG112" s="72">
        <v>6</v>
      </c>
      <c r="CH112" s="72">
        <v>11</v>
      </c>
      <c r="CI112" s="72">
        <v>5</v>
      </c>
      <c r="CJ112" s="27">
        <f t="shared" si="15"/>
        <v>330</v>
      </c>
      <c r="CK112" s="286">
        <f t="shared" si="16"/>
        <v>239.75</v>
      </c>
      <c r="CL112" s="27" t="s">
        <v>135</v>
      </c>
      <c r="CM112" s="83" t="s">
        <v>136</v>
      </c>
      <c r="CN112" s="71"/>
      <c r="CO112" s="71"/>
    </row>
    <row r="113" spans="1:93" s="1" customFormat="1" x14ac:dyDescent="0.25">
      <c r="A113" s="87">
        <v>42725</v>
      </c>
      <c r="B113" s="73" t="s">
        <v>12</v>
      </c>
      <c r="C113" s="73" t="s">
        <v>2199</v>
      </c>
      <c r="D113" s="73" t="s">
        <v>105</v>
      </c>
      <c r="E113" s="73" t="s">
        <v>300</v>
      </c>
      <c r="F113" s="175" t="s">
        <v>2200</v>
      </c>
      <c r="G113" s="175"/>
      <c r="H113" s="175"/>
      <c r="I113" s="175"/>
      <c r="J113" s="41" t="s">
        <v>333</v>
      </c>
      <c r="K113" s="85" t="s">
        <v>2201</v>
      </c>
      <c r="L113" s="293"/>
      <c r="M113" s="293"/>
      <c r="N113" s="25"/>
      <c r="O113" s="26"/>
      <c r="P113" s="26"/>
      <c r="Q113" s="26"/>
      <c r="R113" s="215"/>
      <c r="S113" s="215"/>
      <c r="T113" s="215"/>
      <c r="U113" s="215"/>
      <c r="V113" s="215"/>
      <c r="W113" s="215"/>
      <c r="X113" s="215"/>
      <c r="Y113" s="215"/>
      <c r="Z113" s="215"/>
      <c r="AA113" s="215"/>
      <c r="AB113" s="215"/>
      <c r="AC113" s="215"/>
      <c r="AD113" s="215"/>
      <c r="AE113" s="215"/>
      <c r="AF113" s="215"/>
      <c r="AG113" s="215"/>
      <c r="AH113" s="215"/>
      <c r="AI113" s="215"/>
      <c r="AJ113" s="215"/>
      <c r="AK113" s="215"/>
      <c r="AL113" s="215"/>
      <c r="AM113" s="215"/>
      <c r="AN113" s="25" t="s">
        <v>2202</v>
      </c>
      <c r="AO113" s="33"/>
      <c r="AP113" s="25"/>
      <c r="AQ113" s="33"/>
      <c r="AR113" s="31"/>
      <c r="AS113" s="33"/>
      <c r="AT113" s="25"/>
      <c r="AU113" s="293"/>
      <c r="AV113" s="293" t="s">
        <v>2203</v>
      </c>
      <c r="AW113" s="41"/>
      <c r="AX113" s="293"/>
      <c r="AY113" s="293"/>
      <c r="AZ113" s="293"/>
      <c r="BA113" s="293"/>
      <c r="BB113" s="293"/>
      <c r="BC113" s="293"/>
      <c r="BD113" s="293">
        <v>200296</v>
      </c>
      <c r="BE113" s="31"/>
      <c r="BF113" s="293" t="s">
        <v>2204</v>
      </c>
      <c r="BG113" s="293" t="s">
        <v>2205</v>
      </c>
      <c r="BH113" s="293"/>
      <c r="BI113" s="293" t="s">
        <v>2205</v>
      </c>
      <c r="BJ113" s="293" t="s">
        <v>2206</v>
      </c>
      <c r="BK113" s="170">
        <v>17.48</v>
      </c>
      <c r="BL113" s="102" t="s">
        <v>2249</v>
      </c>
      <c r="BM113" s="102" t="s">
        <v>2250</v>
      </c>
      <c r="BN113" s="103">
        <v>11.65</v>
      </c>
      <c r="BO113" s="103">
        <v>7.09</v>
      </c>
      <c r="BP113" s="103">
        <v>1.89</v>
      </c>
      <c r="BQ113" s="36"/>
      <c r="BR113" s="36"/>
      <c r="BS113" s="77">
        <v>0.55000000000000004</v>
      </c>
      <c r="BT113" s="287">
        <f>7.36+0.036</f>
        <v>7.3959999999999999</v>
      </c>
      <c r="BU113" s="287">
        <f>2.32+0.036</f>
        <v>2.3559999999999999</v>
      </c>
      <c r="BV113" s="287">
        <f>12.24+0.072</f>
        <v>12.311999999999999</v>
      </c>
      <c r="BW113" s="285">
        <f t="shared" si="13"/>
        <v>0.124152954</v>
      </c>
      <c r="BX113" s="77">
        <v>0.05</v>
      </c>
      <c r="BY113" s="284">
        <f>14.33+0.25</f>
        <v>14.58</v>
      </c>
      <c r="BZ113" s="284">
        <f>12.48+0.25</f>
        <v>12.73</v>
      </c>
      <c r="CA113" s="284">
        <f>7.83+0.5</f>
        <v>8.33</v>
      </c>
      <c r="CB113" s="285">
        <f t="shared" si="14"/>
        <v>0.89472009375000006</v>
      </c>
      <c r="CC113" s="80">
        <v>0.15</v>
      </c>
      <c r="CD113" s="80"/>
      <c r="CE113" s="80"/>
      <c r="CF113" s="104" t="s">
        <v>134</v>
      </c>
      <c r="CG113" s="72">
        <v>6</v>
      </c>
      <c r="CH113" s="72">
        <v>9</v>
      </c>
      <c r="CI113" s="72">
        <v>5</v>
      </c>
      <c r="CJ113" s="27">
        <f t="shared" si="15"/>
        <v>270</v>
      </c>
      <c r="CK113" s="286">
        <f t="shared" si="16"/>
        <v>218.75000000000003</v>
      </c>
      <c r="CL113" s="27" t="s">
        <v>135</v>
      </c>
      <c r="CM113" s="83" t="s">
        <v>136</v>
      </c>
      <c r="CN113" s="71"/>
      <c r="CO113" s="71"/>
    </row>
    <row r="114" spans="1:93" s="1" customFormat="1" x14ac:dyDescent="0.25">
      <c r="A114" s="87">
        <v>42725</v>
      </c>
      <c r="B114" s="73" t="s">
        <v>12</v>
      </c>
      <c r="C114" s="73" t="s">
        <v>2207</v>
      </c>
      <c r="D114" s="73" t="s">
        <v>105</v>
      </c>
      <c r="E114" s="73" t="s">
        <v>300</v>
      </c>
      <c r="F114" s="175" t="s">
        <v>2208</v>
      </c>
      <c r="G114" s="175"/>
      <c r="H114" s="175"/>
      <c r="I114" s="175"/>
      <c r="J114" s="41" t="s">
        <v>399</v>
      </c>
      <c r="K114" s="85" t="s">
        <v>2209</v>
      </c>
      <c r="L114" s="293"/>
      <c r="M114" s="293"/>
      <c r="N114" s="25"/>
      <c r="O114" s="26"/>
      <c r="P114" s="26"/>
      <c r="Q114" s="26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215"/>
      <c r="AD114" s="215"/>
      <c r="AE114" s="215"/>
      <c r="AF114" s="215"/>
      <c r="AG114" s="215"/>
      <c r="AH114" s="215"/>
      <c r="AI114" s="215"/>
      <c r="AJ114" s="215"/>
      <c r="AK114" s="215"/>
      <c r="AL114" s="215"/>
      <c r="AM114" s="215"/>
      <c r="AN114" s="25"/>
      <c r="AO114" s="33"/>
      <c r="AP114" s="25">
        <v>93085</v>
      </c>
      <c r="AQ114" s="33"/>
      <c r="AR114" s="31"/>
      <c r="AS114" s="33"/>
      <c r="AT114" s="25"/>
      <c r="AU114" s="293"/>
      <c r="AV114" s="293"/>
      <c r="AW114" s="41"/>
      <c r="AX114" s="293" t="s">
        <v>2210</v>
      </c>
      <c r="AY114" s="293"/>
      <c r="AZ114" s="293"/>
      <c r="BA114" s="293"/>
      <c r="BB114" s="293"/>
      <c r="BC114" s="293"/>
      <c r="BD114" s="293">
        <v>200085</v>
      </c>
      <c r="BE114" s="31" t="s">
        <v>2211</v>
      </c>
      <c r="BF114" s="293"/>
      <c r="BG114" s="293" t="s">
        <v>2212</v>
      </c>
      <c r="BH114" s="293"/>
      <c r="BI114" s="293" t="s">
        <v>2212</v>
      </c>
      <c r="BJ114" s="293" t="s">
        <v>2213</v>
      </c>
      <c r="BK114" s="170">
        <v>26.43</v>
      </c>
      <c r="BL114" s="102" t="s">
        <v>2251</v>
      </c>
      <c r="BM114" s="102" t="s">
        <v>2252</v>
      </c>
      <c r="BN114" s="103">
        <v>10.24</v>
      </c>
      <c r="BO114" s="103">
        <v>11.75</v>
      </c>
      <c r="BP114" s="103">
        <v>2.2999999999999998</v>
      </c>
      <c r="BQ114" s="36"/>
      <c r="BR114" s="36"/>
      <c r="BS114" s="77">
        <v>0.95</v>
      </c>
      <c r="BT114" s="287">
        <f>11.02+0.036</f>
        <v>11.055999999999999</v>
      </c>
      <c r="BU114" s="287">
        <f>2.76+0.036</f>
        <v>2.7959999999999998</v>
      </c>
      <c r="BV114" s="287">
        <f>12.076</f>
        <v>12.076000000000001</v>
      </c>
      <c r="BW114" s="285">
        <f t="shared" si="13"/>
        <v>0.21603024755555555</v>
      </c>
      <c r="BX114" s="77">
        <v>0.05</v>
      </c>
      <c r="BY114" s="284">
        <f>16.93+0.25</f>
        <v>17.18</v>
      </c>
      <c r="BZ114" s="284">
        <f>12.24+0.25</f>
        <v>12.49</v>
      </c>
      <c r="CA114" s="284">
        <v>12</v>
      </c>
      <c r="CB114" s="285">
        <f t="shared" si="14"/>
        <v>1.4901263888888889</v>
      </c>
      <c r="CC114" s="80">
        <v>0.15</v>
      </c>
      <c r="CD114" s="80"/>
      <c r="CE114" s="80"/>
      <c r="CF114" s="104" t="s">
        <v>134</v>
      </c>
      <c r="CG114" s="72">
        <v>6</v>
      </c>
      <c r="CH114" s="72">
        <v>7</v>
      </c>
      <c r="CI114" s="72">
        <v>3</v>
      </c>
      <c r="CJ114" s="27">
        <f t="shared" si="15"/>
        <v>126</v>
      </c>
      <c r="CK114" s="286">
        <f t="shared" si="16"/>
        <v>179.15</v>
      </c>
      <c r="CL114" s="27" t="s">
        <v>135</v>
      </c>
      <c r="CM114" s="83" t="s">
        <v>136</v>
      </c>
      <c r="CN114" s="71"/>
      <c r="CO114" s="71"/>
    </row>
    <row r="115" spans="1:93" s="1" customFormat="1" x14ac:dyDescent="0.25">
      <c r="A115" s="87">
        <v>42725</v>
      </c>
      <c r="B115" s="73" t="s">
        <v>12</v>
      </c>
      <c r="C115" s="73" t="s">
        <v>2214</v>
      </c>
      <c r="D115" s="73" t="s">
        <v>105</v>
      </c>
      <c r="E115" s="73" t="s">
        <v>2215</v>
      </c>
      <c r="F115" s="175" t="s">
        <v>2216</v>
      </c>
      <c r="G115" s="175"/>
      <c r="H115" s="175"/>
      <c r="I115" s="175"/>
      <c r="J115" s="41" t="s">
        <v>333</v>
      </c>
      <c r="K115" s="85" t="s">
        <v>2217</v>
      </c>
      <c r="L115" s="293"/>
      <c r="M115" s="293"/>
      <c r="N115" s="25"/>
      <c r="O115" s="26"/>
      <c r="P115" s="26"/>
      <c r="Q115" s="26"/>
      <c r="R115" s="215"/>
      <c r="S115" s="215"/>
      <c r="T115" s="215"/>
      <c r="U115" s="215"/>
      <c r="V115" s="215"/>
      <c r="W115" s="215"/>
      <c r="X115" s="215"/>
      <c r="Y115" s="215"/>
      <c r="Z115" s="215"/>
      <c r="AA115" s="215"/>
      <c r="AB115" s="215"/>
      <c r="AC115" s="215"/>
      <c r="AD115" s="215"/>
      <c r="AE115" s="215"/>
      <c r="AF115" s="215"/>
      <c r="AG115" s="215"/>
      <c r="AH115" s="215"/>
      <c r="AI115" s="215"/>
      <c r="AJ115" s="215"/>
      <c r="AK115" s="215"/>
      <c r="AL115" s="215"/>
      <c r="AM115" s="215"/>
      <c r="AN115" s="25"/>
      <c r="AO115" s="33"/>
      <c r="AP115" s="25"/>
      <c r="AQ115" s="33"/>
      <c r="AR115" s="31"/>
      <c r="AS115" s="33"/>
      <c r="AT115" s="25"/>
      <c r="AU115" s="293"/>
      <c r="AV115" s="293"/>
      <c r="AW115" s="41"/>
      <c r="AX115" s="293"/>
      <c r="AY115" s="293"/>
      <c r="AZ115" s="293"/>
      <c r="BA115" s="293"/>
      <c r="BB115" s="293"/>
      <c r="BC115" s="293"/>
      <c r="BD115" s="293"/>
      <c r="BE115" s="31"/>
      <c r="BF115" s="293"/>
      <c r="BG115" s="293">
        <v>56086</v>
      </c>
      <c r="BH115" s="293"/>
      <c r="BI115" s="293">
        <v>56086</v>
      </c>
      <c r="BJ115" s="293"/>
      <c r="BK115" s="170">
        <v>42.24</v>
      </c>
      <c r="BL115" s="102" t="s">
        <v>2253</v>
      </c>
      <c r="BM115" s="102" t="s">
        <v>2254</v>
      </c>
      <c r="BN115" s="97"/>
      <c r="BO115" s="97"/>
      <c r="BP115" s="97"/>
      <c r="BQ115" s="292">
        <v>2.91</v>
      </c>
      <c r="BR115" s="292">
        <v>5.35</v>
      </c>
      <c r="BS115" s="77">
        <v>0.25</v>
      </c>
      <c r="BT115" s="287">
        <f>3.15+0.036</f>
        <v>3.1859999999999999</v>
      </c>
      <c r="BU115" s="287">
        <f>3.15+0.036</f>
        <v>3.1859999999999999</v>
      </c>
      <c r="BV115" s="287">
        <v>6.0720000000000001</v>
      </c>
      <c r="BW115" s="285">
        <f t="shared" si="13"/>
        <v>3.5668066499999998E-2</v>
      </c>
      <c r="BX115" s="77">
        <v>7.0000000000000007E-2</v>
      </c>
      <c r="BY115" s="284">
        <v>13.25</v>
      </c>
      <c r="BZ115" s="284">
        <v>10</v>
      </c>
      <c r="CA115" s="284">
        <v>6.62</v>
      </c>
      <c r="CB115" s="284">
        <f t="shared" si="14"/>
        <v>0.50760995370370376</v>
      </c>
      <c r="CC115" s="80">
        <v>0.59</v>
      </c>
      <c r="CD115" s="80"/>
      <c r="CE115" s="80"/>
      <c r="CF115" s="104" t="s">
        <v>134</v>
      </c>
      <c r="CG115" s="72">
        <v>12</v>
      </c>
      <c r="CH115" s="72">
        <v>14</v>
      </c>
      <c r="CI115" s="72">
        <v>6</v>
      </c>
      <c r="CJ115" s="27">
        <f t="shared" si="15"/>
        <v>1008</v>
      </c>
      <c r="CK115" s="286">
        <f t="shared" si="16"/>
        <v>422.12</v>
      </c>
      <c r="CL115" s="27" t="s">
        <v>2238</v>
      </c>
      <c r="CM115" s="83" t="s">
        <v>150</v>
      </c>
      <c r="CN115" s="71"/>
      <c r="CO115" s="71"/>
    </row>
    <row r="116" spans="1:93" s="1" customFormat="1" ht="30" x14ac:dyDescent="0.25">
      <c r="A116" s="87">
        <v>42629</v>
      </c>
      <c r="B116" s="100" t="s">
        <v>12</v>
      </c>
      <c r="C116" s="100" t="s">
        <v>1995</v>
      </c>
      <c r="D116" s="100" t="s">
        <v>54</v>
      </c>
      <c r="E116" s="100" t="s">
        <v>59</v>
      </c>
      <c r="F116" s="84" t="s">
        <v>1996</v>
      </c>
      <c r="G116" s="84"/>
      <c r="H116" s="84"/>
      <c r="I116" s="84"/>
      <c r="J116" s="41" t="s">
        <v>705</v>
      </c>
      <c r="K116" s="41" t="s">
        <v>1997</v>
      </c>
      <c r="L116" s="41"/>
      <c r="M116" s="291"/>
      <c r="N116" s="25"/>
      <c r="O116" s="26"/>
      <c r="P116" s="26"/>
      <c r="Q116" s="26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25"/>
      <c r="AO116" s="33"/>
      <c r="AP116" s="25"/>
      <c r="AQ116" s="33"/>
      <c r="AR116" s="31"/>
      <c r="AS116" s="33"/>
      <c r="AT116" s="25"/>
      <c r="AU116" s="75"/>
      <c r="AV116" s="291"/>
      <c r="AW116" s="41"/>
      <c r="AX116" s="291"/>
      <c r="AY116" s="291"/>
      <c r="AZ116" s="291"/>
      <c r="BA116" s="291"/>
      <c r="BB116" s="291"/>
      <c r="BC116" s="291"/>
      <c r="BD116" s="291"/>
      <c r="BE116" s="31"/>
      <c r="BF116" s="291"/>
      <c r="BG116" s="291"/>
      <c r="BH116" s="291"/>
      <c r="BI116" s="291"/>
      <c r="BJ116" s="75"/>
      <c r="BK116" s="76">
        <v>157.58000000000001</v>
      </c>
      <c r="BL116" s="102" t="s">
        <v>2059</v>
      </c>
      <c r="BM116" s="102" t="s">
        <v>2060</v>
      </c>
      <c r="BN116" s="36"/>
      <c r="BO116" s="36"/>
      <c r="BP116" s="36"/>
      <c r="BQ116" s="77">
        <v>3.93</v>
      </c>
      <c r="BR116" s="77">
        <v>11</v>
      </c>
      <c r="BS116" s="77">
        <v>2.2000000000000002</v>
      </c>
      <c r="BT116" s="567" t="s">
        <v>2061</v>
      </c>
      <c r="BU116" s="568"/>
      <c r="BV116" s="568"/>
      <c r="BW116" s="568"/>
      <c r="BX116" s="569"/>
      <c r="BY116" s="284">
        <v>18</v>
      </c>
      <c r="BZ116" s="284">
        <v>13.75</v>
      </c>
      <c r="CA116" s="284">
        <v>14</v>
      </c>
      <c r="CB116" s="285">
        <f>(BY116/12)*(BZ116/12)*(CA116/12)</f>
        <v>2.0052083333333335</v>
      </c>
      <c r="CC116" s="80">
        <v>1.1000000000000001</v>
      </c>
      <c r="CD116" s="80"/>
      <c r="CE116" s="80"/>
      <c r="CF116" s="104" t="s">
        <v>134</v>
      </c>
      <c r="CG116" s="72">
        <v>12</v>
      </c>
      <c r="CH116" s="72">
        <v>6</v>
      </c>
      <c r="CI116" s="72">
        <v>3</v>
      </c>
      <c r="CJ116" s="27">
        <f t="shared" ref="CJ116:CJ127" si="20">CG116*CH116*CI116</f>
        <v>216</v>
      </c>
      <c r="CK116" s="286">
        <f>(CJ116*CC116*BS116)+150</f>
        <v>672.72000000000014</v>
      </c>
      <c r="CL116" s="27" t="s">
        <v>366</v>
      </c>
      <c r="CM116" s="83" t="s">
        <v>150</v>
      </c>
      <c r="CN116" s="71"/>
      <c r="CO116" s="71"/>
    </row>
    <row r="117" spans="1:93" s="1" customFormat="1" x14ac:dyDescent="0.25">
      <c r="A117" s="87">
        <v>42629</v>
      </c>
      <c r="B117" s="100" t="s">
        <v>12</v>
      </c>
      <c r="C117" s="72" t="s">
        <v>1998</v>
      </c>
      <c r="D117" s="73" t="s">
        <v>105</v>
      </c>
      <c r="E117" s="73" t="s">
        <v>71</v>
      </c>
      <c r="F117" s="46" t="s">
        <v>1999</v>
      </c>
      <c r="G117" s="46"/>
      <c r="H117" s="46"/>
      <c r="I117" s="46"/>
      <c r="J117" s="46" t="s">
        <v>235</v>
      </c>
      <c r="K117" s="41" t="s">
        <v>2000</v>
      </c>
      <c r="L117" s="291"/>
      <c r="M117" s="291"/>
      <c r="N117" s="25"/>
      <c r="O117" s="26"/>
      <c r="P117" s="26"/>
      <c r="Q117" s="26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25"/>
      <c r="AO117" s="33"/>
      <c r="AP117" s="25">
        <v>93050</v>
      </c>
      <c r="AQ117" s="33"/>
      <c r="AR117" s="31"/>
      <c r="AS117" s="33"/>
      <c r="AT117" s="25"/>
      <c r="AU117" s="75" t="s">
        <v>2001</v>
      </c>
      <c r="AV117" s="291" t="s">
        <v>2002</v>
      </c>
      <c r="AW117" s="41"/>
      <c r="AX117" s="291" t="s">
        <v>2003</v>
      </c>
      <c r="AY117" s="291"/>
      <c r="AZ117" s="291"/>
      <c r="BA117" s="291"/>
      <c r="BB117" s="291"/>
      <c r="BC117" s="75"/>
      <c r="BD117" s="291"/>
      <c r="BE117" s="75" t="s">
        <v>2004</v>
      </c>
      <c r="BF117" s="291"/>
      <c r="BG117" s="291" t="s">
        <v>2005</v>
      </c>
      <c r="BH117" s="291"/>
      <c r="BI117" s="291" t="s">
        <v>2006</v>
      </c>
      <c r="BJ117" s="75" t="s">
        <v>2007</v>
      </c>
      <c r="BK117" s="76">
        <v>23.17</v>
      </c>
      <c r="BL117" s="102" t="s">
        <v>2062</v>
      </c>
      <c r="BM117" s="102" t="s">
        <v>2063</v>
      </c>
      <c r="BN117" s="103">
        <v>11.53</v>
      </c>
      <c r="BO117" s="103">
        <v>6.89</v>
      </c>
      <c r="BP117" s="103">
        <v>1.73</v>
      </c>
      <c r="BQ117" s="36"/>
      <c r="BR117" s="36"/>
      <c r="BS117" s="77">
        <v>0.69</v>
      </c>
      <c r="BT117" s="287">
        <v>7.0359999999999996</v>
      </c>
      <c r="BU117" s="287">
        <v>2.536</v>
      </c>
      <c r="BV117" s="285">
        <f>11.75+0.036+0.036</f>
        <v>11.821999999999999</v>
      </c>
      <c r="BW117" s="285">
        <f t="shared" ref="BW117:BW127" si="21">(BV117*BU117*BT117)/1728</f>
        <v>0.12207375307407406</v>
      </c>
      <c r="BX117" s="77">
        <v>0.19</v>
      </c>
      <c r="BY117" s="284">
        <v>12.25</v>
      </c>
      <c r="BZ117" s="284">
        <v>7.5</v>
      </c>
      <c r="CA117" s="284">
        <v>8.5</v>
      </c>
      <c r="CB117" s="285">
        <f t="shared" ref="CB117:CB127" si="22">(CA117*BZ117*BY117)/1728</f>
        <v>0.4519314236111111</v>
      </c>
      <c r="CC117" s="288">
        <v>0.44</v>
      </c>
      <c r="CD117" s="288"/>
      <c r="CE117" s="288"/>
      <c r="CF117" s="104" t="s">
        <v>134</v>
      </c>
      <c r="CG117" s="72">
        <v>3</v>
      </c>
      <c r="CH117" s="72">
        <v>20</v>
      </c>
      <c r="CI117" s="72">
        <v>5</v>
      </c>
      <c r="CJ117" s="27">
        <f t="shared" si="20"/>
        <v>300</v>
      </c>
      <c r="CK117" s="286">
        <f t="shared" ref="CK117:CK127" si="23">((((BS117+BX117)*CG117)+CC117)*CH117*CI117)+50</f>
        <v>358</v>
      </c>
      <c r="CL117" s="27" t="s">
        <v>139</v>
      </c>
      <c r="CM117" s="83" t="s">
        <v>136</v>
      </c>
      <c r="CN117" s="71"/>
      <c r="CO117" s="71"/>
    </row>
    <row r="118" spans="1:93" s="1" customFormat="1" x14ac:dyDescent="0.25">
      <c r="A118" s="87">
        <v>42629</v>
      </c>
      <c r="B118" s="100" t="s">
        <v>12</v>
      </c>
      <c r="C118" s="72" t="s">
        <v>2008</v>
      </c>
      <c r="D118" s="73" t="s">
        <v>105</v>
      </c>
      <c r="E118" s="73" t="s">
        <v>300</v>
      </c>
      <c r="F118" s="46" t="s">
        <v>2009</v>
      </c>
      <c r="G118" s="46"/>
      <c r="H118" s="46"/>
      <c r="I118" s="46"/>
      <c r="J118" s="46" t="s">
        <v>464</v>
      </c>
      <c r="K118" s="41">
        <v>2760940004</v>
      </c>
      <c r="L118" s="291"/>
      <c r="M118" s="291"/>
      <c r="N118" s="25"/>
      <c r="O118" s="26"/>
      <c r="P118" s="26"/>
      <c r="Q118" s="26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25"/>
      <c r="AO118" s="33"/>
      <c r="AP118" s="25">
        <v>83034</v>
      </c>
      <c r="AQ118" s="33"/>
      <c r="AR118" s="31"/>
      <c r="AS118" s="33"/>
      <c r="AT118" s="25"/>
      <c r="AU118" s="75" t="s">
        <v>2010</v>
      </c>
      <c r="AV118" s="24" t="s">
        <v>2011</v>
      </c>
      <c r="AW118" s="41" t="s">
        <v>2012</v>
      </c>
      <c r="AX118" s="291"/>
      <c r="AY118" s="291" t="s">
        <v>2013</v>
      </c>
      <c r="AZ118" s="291"/>
      <c r="BA118" s="291" t="s">
        <v>2014</v>
      </c>
      <c r="BB118" s="291"/>
      <c r="BC118" s="291"/>
      <c r="BD118" s="291">
        <v>9034</v>
      </c>
      <c r="BE118" s="24"/>
      <c r="BF118" s="291" t="s">
        <v>2015</v>
      </c>
      <c r="BG118" s="291" t="s">
        <v>2016</v>
      </c>
      <c r="BH118" s="291"/>
      <c r="BI118" s="291" t="s">
        <v>2016</v>
      </c>
      <c r="BJ118" s="75">
        <v>49034</v>
      </c>
      <c r="BK118" s="294">
        <v>47.9</v>
      </c>
      <c r="BL118" s="102" t="s">
        <v>2064</v>
      </c>
      <c r="BM118" s="102" t="s">
        <v>2065</v>
      </c>
      <c r="BN118" s="103">
        <v>16.7</v>
      </c>
      <c r="BO118" s="103">
        <v>7.9210000000000003</v>
      </c>
      <c r="BP118" s="103">
        <v>1.101</v>
      </c>
      <c r="BQ118" s="36"/>
      <c r="BR118" s="36"/>
      <c r="BS118" s="77">
        <v>1.1240000000000001</v>
      </c>
      <c r="BT118" s="287">
        <f>10.75+0.036</f>
        <v>10.786</v>
      </c>
      <c r="BU118" s="287">
        <f>1.75+0.036</f>
        <v>1.786</v>
      </c>
      <c r="BV118" s="285">
        <f>17.62+0.036+0.036</f>
        <v>17.692000000000004</v>
      </c>
      <c r="BW118" s="285">
        <f t="shared" si="21"/>
        <v>0.1972309483981482</v>
      </c>
      <c r="BX118" s="77">
        <v>0.31</v>
      </c>
      <c r="BY118" s="284">
        <f>17.87+0.25</f>
        <v>18.12</v>
      </c>
      <c r="BZ118" s="284">
        <v>12.25</v>
      </c>
      <c r="CA118" s="284">
        <v>6.62</v>
      </c>
      <c r="CB118" s="285">
        <f t="shared" si="22"/>
        <v>0.85037118055555561</v>
      </c>
      <c r="CC118" s="288">
        <v>0.81</v>
      </c>
      <c r="CD118" s="288"/>
      <c r="CE118" s="288"/>
      <c r="CF118" s="104" t="s">
        <v>134</v>
      </c>
      <c r="CG118" s="72">
        <v>3</v>
      </c>
      <c r="CH118" s="72">
        <v>7</v>
      </c>
      <c r="CI118" s="72">
        <v>6</v>
      </c>
      <c r="CJ118" s="27">
        <f t="shared" si="20"/>
        <v>126</v>
      </c>
      <c r="CK118" s="286">
        <f t="shared" si="23"/>
        <v>264.70400000000001</v>
      </c>
      <c r="CL118" s="27" t="s">
        <v>139</v>
      </c>
      <c r="CM118" s="83" t="s">
        <v>136</v>
      </c>
      <c r="CN118" s="71"/>
      <c r="CO118" s="71"/>
    </row>
    <row r="119" spans="1:93" s="1" customFormat="1" x14ac:dyDescent="0.25">
      <c r="A119" s="87">
        <v>42629</v>
      </c>
      <c r="B119" s="100" t="s">
        <v>12</v>
      </c>
      <c r="C119" s="73" t="s">
        <v>2017</v>
      </c>
      <c r="D119" s="73" t="s">
        <v>105</v>
      </c>
      <c r="E119" s="73" t="s">
        <v>71</v>
      </c>
      <c r="F119" s="84" t="s">
        <v>2018</v>
      </c>
      <c r="G119" s="84"/>
      <c r="H119" s="84"/>
      <c r="I119" s="84"/>
      <c r="J119" s="41" t="s">
        <v>278</v>
      </c>
      <c r="K119" s="85" t="s">
        <v>2019</v>
      </c>
      <c r="L119" s="291" t="s">
        <v>44</v>
      </c>
      <c r="M119" s="291" t="s">
        <v>2020</v>
      </c>
      <c r="N119" s="25"/>
      <c r="O119" s="26"/>
      <c r="P119" s="26"/>
      <c r="Q119" s="26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25"/>
      <c r="AO119" s="33"/>
      <c r="AP119" s="25">
        <v>83013</v>
      </c>
      <c r="AQ119" s="33"/>
      <c r="AR119" s="31"/>
      <c r="AS119" s="33"/>
      <c r="AT119" s="25"/>
      <c r="AU119" s="75" t="s">
        <v>2021</v>
      </c>
      <c r="AV119" s="291" t="s">
        <v>2022</v>
      </c>
      <c r="AW119" s="41"/>
      <c r="AX119" s="291"/>
      <c r="AY119" s="291"/>
      <c r="AZ119" s="291"/>
      <c r="BA119" s="291" t="s">
        <v>2023</v>
      </c>
      <c r="BB119" s="291"/>
      <c r="BC119" s="291"/>
      <c r="BD119" s="291"/>
      <c r="BE119" s="31"/>
      <c r="BF119" s="291" t="s">
        <v>2024</v>
      </c>
      <c r="BG119" s="291" t="s">
        <v>2025</v>
      </c>
      <c r="BH119" s="291"/>
      <c r="BI119" s="291" t="s">
        <v>2025</v>
      </c>
      <c r="BJ119" s="75">
        <v>49013</v>
      </c>
      <c r="BK119" s="76">
        <v>31.52</v>
      </c>
      <c r="BL119" s="102" t="s">
        <v>2066</v>
      </c>
      <c r="BM119" s="102" t="s">
        <v>2067</v>
      </c>
      <c r="BN119" s="97"/>
      <c r="BO119" s="97"/>
      <c r="BP119" s="97"/>
      <c r="BQ119" s="290">
        <v>5.39</v>
      </c>
      <c r="BR119" s="290">
        <v>8.69</v>
      </c>
      <c r="BS119" s="77">
        <v>0.62</v>
      </c>
      <c r="BT119" s="287">
        <v>6.0359999999999996</v>
      </c>
      <c r="BU119" s="287">
        <v>6.0359999999999996</v>
      </c>
      <c r="BV119" s="287">
        <f>9+0.036+0.036</f>
        <v>9.0719999999999992</v>
      </c>
      <c r="BW119" s="285">
        <f t="shared" si="21"/>
        <v>0.19127480399999996</v>
      </c>
      <c r="BX119" s="77">
        <v>0.1</v>
      </c>
      <c r="BY119" s="284">
        <v>18.75</v>
      </c>
      <c r="BZ119" s="284">
        <v>6.75</v>
      </c>
      <c r="CA119" s="284">
        <v>9.6199999999999992</v>
      </c>
      <c r="CB119" s="285">
        <f t="shared" si="22"/>
        <v>0.70458984374999989</v>
      </c>
      <c r="CC119" s="288">
        <v>0.59</v>
      </c>
      <c r="CD119" s="288"/>
      <c r="CE119" s="288"/>
      <c r="CF119" s="104" t="s">
        <v>134</v>
      </c>
      <c r="CG119" s="72">
        <v>3</v>
      </c>
      <c r="CH119" s="72">
        <v>10</v>
      </c>
      <c r="CI119" s="72">
        <v>6</v>
      </c>
      <c r="CJ119" s="27">
        <f t="shared" si="20"/>
        <v>180</v>
      </c>
      <c r="CK119" s="286">
        <f t="shared" si="23"/>
        <v>215</v>
      </c>
      <c r="CL119" s="27" t="s">
        <v>139</v>
      </c>
      <c r="CM119" s="83" t="s">
        <v>136</v>
      </c>
      <c r="CN119" s="71"/>
      <c r="CO119" s="71"/>
    </row>
    <row r="120" spans="1:93" s="1" customFormat="1" x14ac:dyDescent="0.25">
      <c r="A120" s="87">
        <v>42629</v>
      </c>
      <c r="B120" s="100" t="s">
        <v>12</v>
      </c>
      <c r="C120" s="73" t="s">
        <v>2026</v>
      </c>
      <c r="D120" s="73" t="s">
        <v>105</v>
      </c>
      <c r="E120" s="73" t="s">
        <v>71</v>
      </c>
      <c r="F120" s="89" t="s">
        <v>2027</v>
      </c>
      <c r="G120" s="89"/>
      <c r="H120" s="89"/>
      <c r="I120" s="89"/>
      <c r="J120" s="46" t="s">
        <v>124</v>
      </c>
      <c r="K120" s="41">
        <v>13718507320</v>
      </c>
      <c r="L120" s="291" t="s">
        <v>124</v>
      </c>
      <c r="M120" s="291">
        <v>13717630911</v>
      </c>
      <c r="N120" s="291" t="s">
        <v>2028</v>
      </c>
      <c r="O120" s="291" t="s">
        <v>2029</v>
      </c>
      <c r="P120" s="26"/>
      <c r="Q120" s="26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25"/>
      <c r="AO120" s="33"/>
      <c r="AP120" s="25">
        <v>93005</v>
      </c>
      <c r="AQ120" s="33"/>
      <c r="AR120" s="31"/>
      <c r="AS120" s="33"/>
      <c r="AT120" s="25"/>
      <c r="AU120" s="75" t="s">
        <v>2030</v>
      </c>
      <c r="AV120" s="291" t="s">
        <v>2031</v>
      </c>
      <c r="AW120" s="41" t="s">
        <v>2032</v>
      </c>
      <c r="AX120" s="291"/>
      <c r="AY120" s="291" t="s">
        <v>2033</v>
      </c>
      <c r="AZ120" s="291"/>
      <c r="BA120" s="291" t="s">
        <v>2034</v>
      </c>
      <c r="BB120" s="291"/>
      <c r="BC120" s="291"/>
      <c r="BD120" s="291">
        <v>200005</v>
      </c>
      <c r="BE120" s="31"/>
      <c r="BF120" s="291"/>
      <c r="BG120" s="291" t="s">
        <v>2035</v>
      </c>
      <c r="BH120" s="291"/>
      <c r="BI120" s="291" t="s">
        <v>2035</v>
      </c>
      <c r="BJ120" s="75" t="s">
        <v>2036</v>
      </c>
      <c r="BK120" s="76">
        <v>29.04</v>
      </c>
      <c r="BL120" s="102" t="s">
        <v>2068</v>
      </c>
      <c r="BM120" s="102" t="s">
        <v>2069</v>
      </c>
      <c r="BN120" s="103">
        <v>8.92</v>
      </c>
      <c r="BO120" s="103">
        <v>8.01</v>
      </c>
      <c r="BP120" s="103">
        <v>1.62</v>
      </c>
      <c r="BQ120" s="36"/>
      <c r="BR120" s="36"/>
      <c r="BS120" s="77">
        <v>0.32</v>
      </c>
      <c r="BT120" s="287">
        <f>8.5+0.18+0.18</f>
        <v>8.86</v>
      </c>
      <c r="BU120" s="287">
        <f>2.37+0.036</f>
        <v>2.4060000000000001</v>
      </c>
      <c r="BV120" s="285">
        <f>10.62+0.036+0.036</f>
        <v>10.691999999999998</v>
      </c>
      <c r="BW120" s="285">
        <f t="shared" si="21"/>
        <v>0.13189992749999999</v>
      </c>
      <c r="BX120" s="77">
        <v>0.2</v>
      </c>
      <c r="BY120" s="284">
        <v>12.5</v>
      </c>
      <c r="BZ120" s="284">
        <v>10.5</v>
      </c>
      <c r="CA120" s="284">
        <v>8.25</v>
      </c>
      <c r="CB120" s="285">
        <f t="shared" si="22"/>
        <v>0.62662760416666663</v>
      </c>
      <c r="CC120" s="288">
        <v>0.59</v>
      </c>
      <c r="CD120" s="288"/>
      <c r="CE120" s="288"/>
      <c r="CF120" s="104" t="s">
        <v>134</v>
      </c>
      <c r="CG120" s="72">
        <v>3</v>
      </c>
      <c r="CH120" s="72">
        <v>12</v>
      </c>
      <c r="CI120" s="72">
        <v>5</v>
      </c>
      <c r="CJ120" s="27">
        <f t="shared" si="20"/>
        <v>180</v>
      </c>
      <c r="CK120" s="286">
        <f t="shared" si="23"/>
        <v>179</v>
      </c>
      <c r="CL120" s="27" t="s">
        <v>321</v>
      </c>
      <c r="CM120" s="83" t="s">
        <v>136</v>
      </c>
      <c r="CN120" s="71"/>
      <c r="CO120" s="71"/>
    </row>
    <row r="121" spans="1:93" s="1" customFormat="1" x14ac:dyDescent="0.25">
      <c r="A121" s="87">
        <v>42629</v>
      </c>
      <c r="B121" s="100" t="s">
        <v>12</v>
      </c>
      <c r="C121" s="73" t="s">
        <v>2078</v>
      </c>
      <c r="D121" s="73" t="s">
        <v>105</v>
      </c>
      <c r="E121" s="73" t="s">
        <v>71</v>
      </c>
      <c r="F121" s="84" t="s">
        <v>2079</v>
      </c>
      <c r="G121" s="84"/>
      <c r="H121" s="84"/>
      <c r="I121" s="84"/>
      <c r="J121" s="46" t="s">
        <v>278</v>
      </c>
      <c r="K121" s="41" t="s">
        <v>2080</v>
      </c>
      <c r="L121" s="46" t="s">
        <v>278</v>
      </c>
      <c r="M121" s="41" t="s">
        <v>2081</v>
      </c>
      <c r="N121" s="46" t="s">
        <v>278</v>
      </c>
      <c r="O121" s="41" t="s">
        <v>2080</v>
      </c>
      <c r="P121" s="46" t="s">
        <v>278</v>
      </c>
      <c r="Q121" s="41" t="s">
        <v>2082</v>
      </c>
      <c r="R121" s="46" t="s">
        <v>278</v>
      </c>
      <c r="S121" s="41" t="s">
        <v>2083</v>
      </c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25"/>
      <c r="AO121" s="33"/>
      <c r="AP121" s="25"/>
      <c r="AQ121" s="33"/>
      <c r="AR121" s="31"/>
      <c r="AS121" s="33"/>
      <c r="AT121" s="25"/>
      <c r="AU121" s="75"/>
      <c r="AV121" s="291"/>
      <c r="AW121" s="41" t="s">
        <v>2084</v>
      </c>
      <c r="AX121" s="291"/>
      <c r="AY121" s="291" t="s">
        <v>2085</v>
      </c>
      <c r="AZ121" s="291"/>
      <c r="BA121" s="291" t="s">
        <v>2086</v>
      </c>
      <c r="BB121" s="291"/>
      <c r="BC121" s="291"/>
      <c r="BD121" s="291"/>
      <c r="BE121" s="31"/>
      <c r="BF121" s="291"/>
      <c r="BG121" s="291"/>
      <c r="BH121" s="291"/>
      <c r="BI121" s="291"/>
      <c r="BJ121" s="75"/>
      <c r="BK121" s="76">
        <v>22.44</v>
      </c>
      <c r="BL121" s="102" t="s">
        <v>2093</v>
      </c>
      <c r="BM121" s="102" t="s">
        <v>2094</v>
      </c>
      <c r="BN121" s="97">
        <v>9.1300000000000008</v>
      </c>
      <c r="BO121" s="97">
        <v>4.57</v>
      </c>
      <c r="BP121" s="97">
        <v>2.44</v>
      </c>
      <c r="BQ121" s="290"/>
      <c r="BR121" s="290"/>
      <c r="BS121" s="77">
        <v>1.02</v>
      </c>
      <c r="BT121" s="287" t="s">
        <v>2095</v>
      </c>
      <c r="BU121" s="287" t="s">
        <v>2095</v>
      </c>
      <c r="BV121" s="287" t="s">
        <v>2095</v>
      </c>
      <c r="BW121" s="285" t="s">
        <v>2095</v>
      </c>
      <c r="BX121" s="77" t="s">
        <v>2095</v>
      </c>
      <c r="BY121" s="284">
        <v>10</v>
      </c>
      <c r="BZ121" s="284">
        <v>5.25</v>
      </c>
      <c r="CA121" s="284">
        <v>9.3699999999999992</v>
      </c>
      <c r="CB121" s="285">
        <f>(BY121*BZ121*CA121)/1728</f>
        <v>0.2846788194444444</v>
      </c>
      <c r="CC121" s="288">
        <v>3.36</v>
      </c>
      <c r="CD121" s="288"/>
      <c r="CE121" s="288"/>
      <c r="CF121" s="104"/>
      <c r="CG121" s="72">
        <v>3</v>
      </c>
      <c r="CH121" s="72">
        <v>32</v>
      </c>
      <c r="CI121" s="72">
        <v>4</v>
      </c>
      <c r="CJ121" s="72">
        <v>384</v>
      </c>
      <c r="CK121" s="72">
        <v>519</v>
      </c>
      <c r="CL121" s="72" t="s">
        <v>139</v>
      </c>
      <c r="CM121" s="83"/>
      <c r="CN121" s="71"/>
      <c r="CO121" s="71"/>
    </row>
    <row r="122" spans="1:93" s="1" customFormat="1" x14ac:dyDescent="0.25">
      <c r="A122" s="87">
        <v>42629</v>
      </c>
      <c r="B122" s="100" t="s">
        <v>12</v>
      </c>
      <c r="C122" s="73" t="s">
        <v>2087</v>
      </c>
      <c r="D122" s="73" t="s">
        <v>105</v>
      </c>
      <c r="E122" s="73" t="s">
        <v>71</v>
      </c>
      <c r="F122" s="84" t="s">
        <v>2088</v>
      </c>
      <c r="G122" s="84"/>
      <c r="H122" s="84"/>
      <c r="I122" s="84"/>
      <c r="J122" s="46" t="s">
        <v>333</v>
      </c>
      <c r="K122" s="41" t="s">
        <v>2089</v>
      </c>
      <c r="L122" s="291"/>
      <c r="M122" s="291"/>
      <c r="N122" s="291"/>
      <c r="O122" s="291"/>
      <c r="P122" s="26"/>
      <c r="Q122" s="26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25" t="s">
        <v>2090</v>
      </c>
      <c r="AO122" s="33"/>
      <c r="AP122" s="25"/>
      <c r="AQ122" s="33"/>
      <c r="AR122" s="31"/>
      <c r="AS122" s="33"/>
      <c r="AT122" s="25"/>
      <c r="AU122" s="75"/>
      <c r="AV122" s="291"/>
      <c r="AW122" s="41"/>
      <c r="AX122" s="291"/>
      <c r="AY122" s="291"/>
      <c r="AZ122" s="291"/>
      <c r="BA122" s="291"/>
      <c r="BB122" s="291"/>
      <c r="BC122" s="291"/>
      <c r="BD122" s="291"/>
      <c r="BE122" s="31"/>
      <c r="BF122" s="291"/>
      <c r="BG122" s="291"/>
      <c r="BH122" s="291"/>
      <c r="BI122" s="291"/>
      <c r="BJ122" s="75"/>
      <c r="BK122" s="76">
        <v>39.96</v>
      </c>
      <c r="BL122" s="102" t="s">
        <v>2096</v>
      </c>
      <c r="BM122" s="102" t="s">
        <v>2097</v>
      </c>
      <c r="BN122" s="97">
        <v>11.38</v>
      </c>
      <c r="BO122" s="97">
        <v>6.95</v>
      </c>
      <c r="BP122" s="97">
        <v>2.74</v>
      </c>
      <c r="BQ122" s="290"/>
      <c r="BR122" s="290"/>
      <c r="BS122" s="77">
        <v>0.69</v>
      </c>
      <c r="BT122" s="287">
        <v>7.16</v>
      </c>
      <c r="BU122" s="287">
        <v>3.03</v>
      </c>
      <c r="BV122" s="287">
        <v>11.57</v>
      </c>
      <c r="BW122" s="285">
        <f>(BT122*BU122*BV122)/1728</f>
        <v>0.14525974305555556</v>
      </c>
      <c r="BX122" s="77">
        <v>0.1</v>
      </c>
      <c r="BY122" s="284">
        <v>18.829999999999998</v>
      </c>
      <c r="BZ122" s="284">
        <v>12.06</v>
      </c>
      <c r="CA122" s="284">
        <v>8.14</v>
      </c>
      <c r="CB122" s="285">
        <f t="shared" ref="CB122:CB123" si="24">(BY122*BZ122*CA122)/1728</f>
        <v>1.0697401458333333</v>
      </c>
      <c r="CC122" s="288">
        <v>5.34</v>
      </c>
      <c r="CD122" s="288"/>
      <c r="CE122" s="288"/>
      <c r="CF122" s="104"/>
      <c r="CG122" s="72">
        <v>6</v>
      </c>
      <c r="CH122" s="72">
        <v>7</v>
      </c>
      <c r="CI122" s="72">
        <v>5</v>
      </c>
      <c r="CJ122" s="27">
        <v>210</v>
      </c>
      <c r="CK122" s="286">
        <v>237</v>
      </c>
      <c r="CL122" s="27" t="s">
        <v>135</v>
      </c>
      <c r="CM122" s="83"/>
      <c r="CN122" s="71"/>
      <c r="CO122" s="71"/>
    </row>
    <row r="123" spans="1:93" s="1" customFormat="1" x14ac:dyDescent="0.25">
      <c r="A123" s="87">
        <v>42629</v>
      </c>
      <c r="B123" s="100" t="s">
        <v>12</v>
      </c>
      <c r="C123" s="73" t="s">
        <v>2091</v>
      </c>
      <c r="D123" s="73" t="s">
        <v>105</v>
      </c>
      <c r="E123" s="73" t="s">
        <v>100</v>
      </c>
      <c r="F123" s="89" t="s">
        <v>2092</v>
      </c>
      <c r="G123" s="89"/>
      <c r="H123" s="89"/>
      <c r="I123" s="89"/>
      <c r="J123" s="46" t="s">
        <v>124</v>
      </c>
      <c r="K123" s="41">
        <v>64119321875</v>
      </c>
      <c r="L123" s="46" t="s">
        <v>124</v>
      </c>
      <c r="M123" s="291">
        <v>64319390445</v>
      </c>
      <c r="N123" s="46" t="s">
        <v>124</v>
      </c>
      <c r="O123" s="291">
        <v>64319297750</v>
      </c>
      <c r="P123" s="26"/>
      <c r="Q123" s="26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25"/>
      <c r="AO123" s="33"/>
      <c r="AP123" s="25"/>
      <c r="AQ123" s="33"/>
      <c r="AR123" s="31"/>
      <c r="AS123" s="33"/>
      <c r="AT123" s="25"/>
      <c r="AU123" s="75"/>
      <c r="AV123" s="291"/>
      <c r="AW123" s="41"/>
      <c r="AX123" s="291"/>
      <c r="AY123" s="291"/>
      <c r="AZ123" s="291"/>
      <c r="BA123" s="291"/>
      <c r="BB123" s="291"/>
      <c r="BC123" s="291"/>
      <c r="BD123" s="291"/>
      <c r="BE123" s="31"/>
      <c r="BF123" s="291"/>
      <c r="BG123" s="291"/>
      <c r="BH123" s="291"/>
      <c r="BI123" s="291"/>
      <c r="BJ123" s="75"/>
      <c r="BK123" s="294">
        <v>37.049999999999997</v>
      </c>
      <c r="BL123" s="102" t="s">
        <v>2098</v>
      </c>
      <c r="BM123" s="102" t="s">
        <v>2099</v>
      </c>
      <c r="BN123" s="103"/>
      <c r="BO123" s="103"/>
      <c r="BP123" s="103"/>
      <c r="BQ123" s="36">
        <v>6.52</v>
      </c>
      <c r="BR123" s="36">
        <v>12.38</v>
      </c>
      <c r="BS123" s="77">
        <v>1.6</v>
      </c>
      <c r="BT123" s="287">
        <v>6.89</v>
      </c>
      <c r="BU123" s="287">
        <v>6.89</v>
      </c>
      <c r="BV123" s="285">
        <v>13.583</v>
      </c>
      <c r="BW123" s="285">
        <f>(BT123*BU123*BV123)/1728</f>
        <v>0.37315598049768517</v>
      </c>
      <c r="BX123" s="77">
        <v>0.13</v>
      </c>
      <c r="BY123" s="284">
        <v>21.707000000000001</v>
      </c>
      <c r="BZ123" s="284">
        <v>15.013999999999999</v>
      </c>
      <c r="CA123" s="284">
        <v>15.067</v>
      </c>
      <c r="CB123" s="285">
        <f t="shared" si="24"/>
        <v>2.8417068091238429</v>
      </c>
      <c r="CC123" s="288">
        <v>10.8</v>
      </c>
      <c r="CD123" s="288"/>
      <c r="CE123" s="288"/>
      <c r="CF123" s="104"/>
      <c r="CG123" s="72">
        <v>6</v>
      </c>
      <c r="CH123" s="72">
        <v>5</v>
      </c>
      <c r="CI123" s="72">
        <v>2</v>
      </c>
      <c r="CJ123" s="27">
        <v>60</v>
      </c>
      <c r="CK123" s="286">
        <v>698</v>
      </c>
      <c r="CL123" s="27" t="s">
        <v>139</v>
      </c>
      <c r="CM123" s="83"/>
      <c r="CN123" s="71"/>
      <c r="CO123" s="71"/>
    </row>
    <row r="124" spans="1:93" s="1" customFormat="1" x14ac:dyDescent="0.25">
      <c r="A124" s="87">
        <v>42629</v>
      </c>
      <c r="B124" s="100" t="s">
        <v>12</v>
      </c>
      <c r="C124" s="73" t="s">
        <v>2037</v>
      </c>
      <c r="D124" s="73" t="s">
        <v>105</v>
      </c>
      <c r="E124" s="73" t="s">
        <v>100</v>
      </c>
      <c r="F124" s="84" t="s">
        <v>2038</v>
      </c>
      <c r="G124" s="84"/>
      <c r="H124" s="84"/>
      <c r="I124" s="84"/>
      <c r="J124" s="41" t="s">
        <v>2039</v>
      </c>
      <c r="K124" s="85">
        <v>96190645</v>
      </c>
      <c r="L124" s="291"/>
      <c r="M124" s="291"/>
      <c r="N124" s="25"/>
      <c r="O124" s="26"/>
      <c r="P124" s="26"/>
      <c r="Q124" s="26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25"/>
      <c r="AO124" s="33"/>
      <c r="AP124" s="25"/>
      <c r="AQ124" s="33"/>
      <c r="AR124" s="31"/>
      <c r="AS124" s="33"/>
      <c r="AT124" s="25"/>
      <c r="AU124" s="75"/>
      <c r="AV124" s="291"/>
      <c r="AW124" s="41"/>
      <c r="AX124" s="291"/>
      <c r="AY124" s="291"/>
      <c r="AZ124" s="291"/>
      <c r="BA124" s="291"/>
      <c r="BB124" s="291"/>
      <c r="BC124" s="291"/>
      <c r="BD124" s="291"/>
      <c r="BE124" s="31"/>
      <c r="BF124" s="291" t="s">
        <v>2037</v>
      </c>
      <c r="BG124" s="291"/>
      <c r="BH124" s="291"/>
      <c r="BI124" s="291"/>
      <c r="BJ124" s="75"/>
      <c r="BK124" s="294">
        <v>17.59</v>
      </c>
      <c r="BL124" s="102" t="s">
        <v>2070</v>
      </c>
      <c r="BM124" s="102" t="s">
        <v>2071</v>
      </c>
      <c r="BN124" s="103">
        <v>8.56</v>
      </c>
      <c r="BO124" s="103">
        <v>7.68</v>
      </c>
      <c r="BP124" s="103">
        <v>0.98</v>
      </c>
      <c r="BQ124" s="36"/>
      <c r="BR124" s="36"/>
      <c r="BS124" s="77">
        <v>0.35</v>
      </c>
      <c r="BT124" s="287">
        <f>8.14+0.036</f>
        <v>8.1760000000000002</v>
      </c>
      <c r="BU124" s="287">
        <f>1.45+0.036</f>
        <v>1.486</v>
      </c>
      <c r="BV124" s="285">
        <f>9.01+0.036+0.036</f>
        <v>9.081999999999999</v>
      </c>
      <c r="BW124" s="285">
        <f t="shared" si="21"/>
        <v>6.3855373814814806E-2</v>
      </c>
      <c r="BX124" s="77">
        <v>0.12</v>
      </c>
      <c r="BY124" s="284">
        <f>10.12+0.25</f>
        <v>10.37</v>
      </c>
      <c r="BZ124" s="284">
        <v>9.5</v>
      </c>
      <c r="CA124" s="284">
        <v>10.62</v>
      </c>
      <c r="CB124" s="285">
        <f t="shared" si="22"/>
        <v>0.60545677083333316</v>
      </c>
      <c r="CC124" s="288">
        <v>0.56000000000000005</v>
      </c>
      <c r="CD124" s="288"/>
      <c r="CE124" s="288"/>
      <c r="CF124" s="104" t="s">
        <v>134</v>
      </c>
      <c r="CG124" s="72">
        <v>6</v>
      </c>
      <c r="CH124" s="72">
        <v>20</v>
      </c>
      <c r="CI124" s="72">
        <v>3</v>
      </c>
      <c r="CJ124" s="27">
        <f t="shared" si="20"/>
        <v>360</v>
      </c>
      <c r="CK124" s="286">
        <f t="shared" si="23"/>
        <v>252.79999999999998</v>
      </c>
      <c r="CL124" s="27" t="s">
        <v>139</v>
      </c>
      <c r="CM124" s="83" t="s">
        <v>140</v>
      </c>
      <c r="CN124" s="71"/>
      <c r="CO124" s="71"/>
    </row>
    <row r="125" spans="1:93" s="1" customFormat="1" x14ac:dyDescent="0.25">
      <c r="A125" s="87">
        <v>42629</v>
      </c>
      <c r="B125" s="100" t="s">
        <v>12</v>
      </c>
      <c r="C125" s="72" t="s">
        <v>2040</v>
      </c>
      <c r="D125" s="73" t="s">
        <v>105</v>
      </c>
      <c r="E125" s="73" t="s">
        <v>348</v>
      </c>
      <c r="F125" s="84" t="s">
        <v>2041</v>
      </c>
      <c r="G125" s="84"/>
      <c r="H125" s="84"/>
      <c r="I125" s="84"/>
      <c r="J125" s="41" t="s">
        <v>107</v>
      </c>
      <c r="K125" s="85">
        <v>12667194</v>
      </c>
      <c r="L125" s="291" t="s">
        <v>108</v>
      </c>
      <c r="M125" s="291" t="s">
        <v>2042</v>
      </c>
      <c r="N125" s="25" t="s">
        <v>107</v>
      </c>
      <c r="O125" s="26">
        <v>12667194</v>
      </c>
      <c r="P125" s="26" t="s">
        <v>107</v>
      </c>
      <c r="Q125" s="26">
        <v>12674698</v>
      </c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25"/>
      <c r="AO125" s="33"/>
      <c r="AP125" s="25"/>
      <c r="AQ125" s="33"/>
      <c r="AR125" s="31"/>
      <c r="AS125" s="33"/>
      <c r="AT125" s="25"/>
      <c r="AU125" s="75"/>
      <c r="AV125" s="291"/>
      <c r="AW125" s="41"/>
      <c r="AX125" s="291"/>
      <c r="AY125" s="291"/>
      <c r="AZ125" s="291"/>
      <c r="BA125" s="291"/>
      <c r="BB125" s="291"/>
      <c r="BC125" s="291"/>
      <c r="BD125" s="291"/>
      <c r="BE125" s="31"/>
      <c r="BF125" s="291"/>
      <c r="BG125" s="291" t="s">
        <v>2043</v>
      </c>
      <c r="BH125" s="291"/>
      <c r="BI125" s="291" t="s">
        <v>2043</v>
      </c>
      <c r="BJ125" s="75"/>
      <c r="BK125" s="294">
        <v>7.28</v>
      </c>
      <c r="BL125" s="102" t="s">
        <v>2072</v>
      </c>
      <c r="BM125" s="102" t="s">
        <v>2073</v>
      </c>
      <c r="BN125" s="97"/>
      <c r="BO125" s="97"/>
      <c r="BP125" s="97"/>
      <c r="BQ125" s="290">
        <v>3.02</v>
      </c>
      <c r="BR125" s="290">
        <v>3.5</v>
      </c>
      <c r="BS125" s="77">
        <v>0.71</v>
      </c>
      <c r="BT125" s="285">
        <f>3.156+0.036</f>
        <v>3.1920000000000002</v>
      </c>
      <c r="BU125" s="285">
        <f>3.156+0.036</f>
        <v>3.1920000000000002</v>
      </c>
      <c r="BV125" s="287">
        <f>4.036+0.036</f>
        <v>4.0719999999999992</v>
      </c>
      <c r="BW125" s="285">
        <f t="shared" si="21"/>
        <v>2.4009869333333329E-2</v>
      </c>
      <c r="BX125" s="77">
        <v>0.1</v>
      </c>
      <c r="BY125" s="284">
        <v>13</v>
      </c>
      <c r="BZ125" s="284">
        <f>9.562+0.25</f>
        <v>9.8119999999999994</v>
      </c>
      <c r="CA125" s="284">
        <f>4.137+0.5</f>
        <v>4.6369999999999996</v>
      </c>
      <c r="CB125" s="285">
        <f t="shared" si="22"/>
        <v>0.34229003009259251</v>
      </c>
      <c r="CC125" s="80">
        <v>0.25</v>
      </c>
      <c r="CD125" s="80"/>
      <c r="CE125" s="80"/>
      <c r="CF125" s="104" t="s">
        <v>134</v>
      </c>
      <c r="CG125" s="72">
        <v>12</v>
      </c>
      <c r="CH125" s="72">
        <v>14</v>
      </c>
      <c r="CI125" s="72">
        <v>10</v>
      </c>
      <c r="CJ125" s="27">
        <f t="shared" si="20"/>
        <v>1680</v>
      </c>
      <c r="CK125" s="286">
        <f t="shared" si="23"/>
        <v>1445.7999999999997</v>
      </c>
      <c r="CL125" s="27" t="s">
        <v>256</v>
      </c>
      <c r="CM125" s="83" t="s">
        <v>150</v>
      </c>
      <c r="CN125" s="71"/>
      <c r="CO125" s="71"/>
    </row>
    <row r="126" spans="1:93" s="1" customFormat="1" x14ac:dyDescent="0.25">
      <c r="A126" s="87">
        <v>42629</v>
      </c>
      <c r="B126" s="74" t="s">
        <v>12</v>
      </c>
      <c r="C126" s="73" t="s">
        <v>2044</v>
      </c>
      <c r="D126" s="73" t="s">
        <v>105</v>
      </c>
      <c r="E126" s="73" t="s">
        <v>100</v>
      </c>
      <c r="F126" s="84" t="s">
        <v>2045</v>
      </c>
      <c r="G126" s="84"/>
      <c r="H126" s="84"/>
      <c r="I126" s="84"/>
      <c r="J126" s="41" t="s">
        <v>2046</v>
      </c>
      <c r="K126" s="85" t="s">
        <v>2047</v>
      </c>
      <c r="L126" s="291" t="s">
        <v>278</v>
      </c>
      <c r="M126" s="291" t="s">
        <v>2048</v>
      </c>
      <c r="N126" s="25"/>
      <c r="O126" s="26"/>
      <c r="P126" s="26"/>
      <c r="Q126" s="26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25"/>
      <c r="AO126" s="33"/>
      <c r="AP126" s="25"/>
      <c r="AQ126" s="33"/>
      <c r="AR126" s="31"/>
      <c r="AS126" s="33"/>
      <c r="AT126" s="25"/>
      <c r="AU126" s="75"/>
      <c r="AV126" s="291"/>
      <c r="AW126" s="41" t="s">
        <v>2049</v>
      </c>
      <c r="AX126" s="291"/>
      <c r="AY126" s="291"/>
      <c r="AZ126" s="291"/>
      <c r="BA126" s="291" t="s">
        <v>2050</v>
      </c>
      <c r="BB126" s="291"/>
      <c r="BC126" s="291"/>
      <c r="BD126" s="291"/>
      <c r="BE126" s="31"/>
      <c r="BF126" s="291"/>
      <c r="BG126" s="291"/>
      <c r="BH126" s="291"/>
      <c r="BI126" s="291"/>
      <c r="BJ126" s="75"/>
      <c r="BK126" s="76">
        <v>20.04</v>
      </c>
      <c r="BL126" s="102" t="s">
        <v>2074</v>
      </c>
      <c r="BM126" s="102" t="s">
        <v>2075</v>
      </c>
      <c r="BN126" s="103">
        <v>10</v>
      </c>
      <c r="BO126" s="103">
        <v>9.25</v>
      </c>
      <c r="BP126" s="103">
        <v>1.1200000000000001</v>
      </c>
      <c r="BQ126" s="36"/>
      <c r="BR126" s="36"/>
      <c r="BS126" s="77">
        <v>0.21</v>
      </c>
      <c r="BT126" s="287">
        <f>10.031+0.018+0.018</f>
        <v>10.067000000000002</v>
      </c>
      <c r="BU126" s="287">
        <f>1.61+0.018+0.018</f>
        <v>1.6460000000000001</v>
      </c>
      <c r="BV126" s="285">
        <f>10.625+(0.018*4)</f>
        <v>10.696999999999999</v>
      </c>
      <c r="BW126" s="285">
        <f t="shared" si="21"/>
        <v>0.10257656629282409</v>
      </c>
      <c r="BX126" s="77">
        <v>0.15</v>
      </c>
      <c r="BY126" s="284">
        <v>12</v>
      </c>
      <c r="BZ126" s="284">
        <v>10.37</v>
      </c>
      <c r="CA126" s="284">
        <v>10.62</v>
      </c>
      <c r="CB126" s="285">
        <f t="shared" si="22"/>
        <v>0.76478749999999995</v>
      </c>
      <c r="CC126" s="288">
        <v>0.66</v>
      </c>
      <c r="CD126" s="288"/>
      <c r="CE126" s="288"/>
      <c r="CF126" s="104" t="s">
        <v>134</v>
      </c>
      <c r="CG126" s="72">
        <v>6</v>
      </c>
      <c r="CH126" s="72">
        <v>12</v>
      </c>
      <c r="CI126" s="72">
        <v>4</v>
      </c>
      <c r="CJ126" s="27">
        <f t="shared" si="20"/>
        <v>288</v>
      </c>
      <c r="CK126" s="286">
        <f t="shared" si="23"/>
        <v>185.36</v>
      </c>
      <c r="CL126" s="27" t="s">
        <v>256</v>
      </c>
      <c r="CM126" s="83" t="s">
        <v>140</v>
      </c>
      <c r="CN126" s="71"/>
      <c r="CO126" s="71"/>
    </row>
    <row r="127" spans="1:93" s="1" customFormat="1" x14ac:dyDescent="0.25">
      <c r="A127" s="87">
        <v>42629</v>
      </c>
      <c r="B127" s="74" t="s">
        <v>12</v>
      </c>
      <c r="C127" s="72" t="s">
        <v>2051</v>
      </c>
      <c r="D127" s="73" t="s">
        <v>105</v>
      </c>
      <c r="E127" s="73" t="s">
        <v>310</v>
      </c>
      <c r="F127" s="84" t="s">
        <v>2052</v>
      </c>
      <c r="G127" s="84"/>
      <c r="H127" s="84"/>
      <c r="I127" s="84"/>
      <c r="J127" s="41" t="s">
        <v>278</v>
      </c>
      <c r="K127" s="41" t="s">
        <v>2053</v>
      </c>
      <c r="L127" s="291"/>
      <c r="M127" s="291"/>
      <c r="N127" s="25"/>
      <c r="O127" s="26"/>
      <c r="P127" s="26"/>
      <c r="Q127" s="26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25"/>
      <c r="AO127" s="33"/>
      <c r="AP127" s="25">
        <v>94717</v>
      </c>
      <c r="AQ127" s="33"/>
      <c r="AR127" s="31"/>
      <c r="AS127" s="33"/>
      <c r="AT127" s="25"/>
      <c r="AU127" s="75"/>
      <c r="AV127" s="291"/>
      <c r="AW127" s="41" t="s">
        <v>2054</v>
      </c>
      <c r="AX127" s="291"/>
      <c r="AY127" s="291"/>
      <c r="AZ127" s="291"/>
      <c r="BA127" s="291" t="s">
        <v>2055</v>
      </c>
      <c r="BB127" s="291"/>
      <c r="BC127" s="291"/>
      <c r="BD127" s="291"/>
      <c r="BE127" s="31" t="s">
        <v>2056</v>
      </c>
      <c r="BF127" s="291"/>
      <c r="BG127" s="291" t="s">
        <v>2057</v>
      </c>
      <c r="BH127" s="291"/>
      <c r="BI127" s="291" t="s">
        <v>2057</v>
      </c>
      <c r="BJ127" s="75" t="s">
        <v>2058</v>
      </c>
      <c r="BK127" s="76">
        <v>8.07</v>
      </c>
      <c r="BL127" s="102" t="s">
        <v>2076</v>
      </c>
      <c r="BM127" s="102" t="s">
        <v>2077</v>
      </c>
      <c r="BN127" s="97"/>
      <c r="BO127" s="97"/>
      <c r="BP127" s="97"/>
      <c r="BQ127" s="290">
        <v>2.56</v>
      </c>
      <c r="BR127" s="290">
        <v>4.0350000000000001</v>
      </c>
      <c r="BS127" s="77">
        <v>0.13</v>
      </c>
      <c r="BT127" s="287">
        <f>2.68+0.018+0.018</f>
        <v>2.7159999999999997</v>
      </c>
      <c r="BU127" s="287">
        <f>2.68+0.018+0.018</f>
        <v>2.7159999999999997</v>
      </c>
      <c r="BV127" s="287">
        <f>4.25+(0.018*4)</f>
        <v>4.3220000000000001</v>
      </c>
      <c r="BW127" s="285">
        <f t="shared" si="21"/>
        <v>1.8450177796296291E-2</v>
      </c>
      <c r="BX127" s="77">
        <v>0.08</v>
      </c>
      <c r="BY127" s="284">
        <f>8.43+0.25</f>
        <v>8.68</v>
      </c>
      <c r="BZ127" s="284">
        <v>6</v>
      </c>
      <c r="CA127" s="284">
        <f>4.65+0.5</f>
        <v>5.15</v>
      </c>
      <c r="CB127" s="285">
        <f t="shared" si="22"/>
        <v>0.15521527777777777</v>
      </c>
      <c r="CC127" s="80">
        <v>0.2</v>
      </c>
      <c r="CD127" s="80"/>
      <c r="CE127" s="80"/>
      <c r="CF127" s="104" t="s">
        <v>134</v>
      </c>
      <c r="CG127" s="72">
        <v>6</v>
      </c>
      <c r="CH127" s="72">
        <v>33</v>
      </c>
      <c r="CI127" s="72">
        <v>8</v>
      </c>
      <c r="CJ127" s="27">
        <f t="shared" si="20"/>
        <v>1584</v>
      </c>
      <c r="CK127" s="286">
        <f t="shared" si="23"/>
        <v>435.44000000000005</v>
      </c>
      <c r="CL127" s="27" t="s">
        <v>321</v>
      </c>
      <c r="CM127" s="83" t="s">
        <v>150</v>
      </c>
      <c r="CN127" s="71"/>
      <c r="CO127" s="71"/>
    </row>
    <row r="128" spans="1:93" s="1" customFormat="1" ht="30" x14ac:dyDescent="0.25">
      <c r="A128" s="87">
        <v>42534</v>
      </c>
      <c r="B128" s="100" t="s">
        <v>12</v>
      </c>
      <c r="C128" s="100" t="s">
        <v>87</v>
      </c>
      <c r="D128" s="100" t="s">
        <v>88</v>
      </c>
      <c r="E128" s="101" t="s">
        <v>71</v>
      </c>
      <c r="F128" s="84" t="s">
        <v>89</v>
      </c>
      <c r="G128" s="84"/>
      <c r="H128" s="84"/>
      <c r="I128" s="84"/>
      <c r="J128" s="41" t="s">
        <v>90</v>
      </c>
      <c r="K128" s="85" t="s">
        <v>91</v>
      </c>
      <c r="L128" s="259"/>
      <c r="M128" s="259"/>
      <c r="N128" s="25"/>
      <c r="O128" s="26"/>
      <c r="P128" s="26"/>
      <c r="Q128" s="26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25"/>
      <c r="AO128" s="33"/>
      <c r="AP128" s="25"/>
      <c r="AQ128" s="33"/>
      <c r="AR128" s="31"/>
      <c r="AS128" s="33"/>
      <c r="AT128" s="25"/>
      <c r="AU128" s="75"/>
      <c r="AV128" s="259"/>
      <c r="AW128" s="41"/>
      <c r="AX128" s="259" t="s">
        <v>92</v>
      </c>
      <c r="AY128" s="259"/>
      <c r="AZ128" s="259"/>
      <c r="BA128" s="259"/>
      <c r="BB128" s="259"/>
      <c r="BC128" s="259" t="s">
        <v>93</v>
      </c>
      <c r="BD128" s="259"/>
      <c r="BE128" s="31" t="s">
        <v>94</v>
      </c>
      <c r="BF128" s="259" t="s">
        <v>95</v>
      </c>
      <c r="BG128" s="259" t="s">
        <v>96</v>
      </c>
      <c r="BH128" s="259"/>
      <c r="BI128" s="259" t="s">
        <v>97</v>
      </c>
      <c r="BJ128" s="75" t="s">
        <v>98</v>
      </c>
      <c r="BK128" s="76">
        <v>13.07</v>
      </c>
      <c r="BL128" s="273" t="s">
        <v>132</v>
      </c>
      <c r="BM128" s="273" t="s">
        <v>133</v>
      </c>
      <c r="BN128" s="274">
        <v>9.2100000000000009</v>
      </c>
      <c r="BO128" s="274">
        <v>8.0299999999999994</v>
      </c>
      <c r="BP128" s="274">
        <v>1.73</v>
      </c>
      <c r="BQ128" s="275"/>
      <c r="BR128" s="275"/>
      <c r="BS128" s="276">
        <v>0.3</v>
      </c>
      <c r="BT128" s="277">
        <v>8.5359999999999996</v>
      </c>
      <c r="BU128" s="277">
        <v>2.4060000000000001</v>
      </c>
      <c r="BV128" s="278">
        <v>10.691999999999998</v>
      </c>
      <c r="BW128" s="278">
        <v>0.12707649899999998</v>
      </c>
      <c r="BX128" s="276">
        <v>0.2</v>
      </c>
      <c r="BY128" s="279">
        <v>12.25</v>
      </c>
      <c r="BZ128" s="279">
        <v>10.25</v>
      </c>
      <c r="CA128" s="279">
        <v>8.25</v>
      </c>
      <c r="CB128" s="278">
        <v>0.59947374131944442</v>
      </c>
      <c r="CC128" s="280">
        <v>0.59</v>
      </c>
      <c r="CD128" s="280"/>
      <c r="CE128" s="280"/>
      <c r="CF128" s="248" t="s">
        <v>134</v>
      </c>
      <c r="CG128" s="75">
        <v>3</v>
      </c>
      <c r="CH128" s="75">
        <v>12</v>
      </c>
      <c r="CI128" s="75">
        <v>5</v>
      </c>
      <c r="CJ128" s="153">
        <v>180</v>
      </c>
      <c r="CK128" s="281">
        <v>175.39999999999998</v>
      </c>
      <c r="CL128" s="153" t="s">
        <v>135</v>
      </c>
      <c r="CM128" s="88" t="s">
        <v>136</v>
      </c>
      <c r="CN128" s="71"/>
      <c r="CO128" s="71"/>
    </row>
    <row r="129" spans="1:93" s="1" customFormat="1" x14ac:dyDescent="0.25">
      <c r="A129" s="87">
        <v>42534</v>
      </c>
      <c r="B129" s="100" t="s">
        <v>12</v>
      </c>
      <c r="C129" s="100" t="s">
        <v>99</v>
      </c>
      <c r="D129" s="100" t="s">
        <v>88</v>
      </c>
      <c r="E129" s="100" t="s">
        <v>100</v>
      </c>
      <c r="F129" s="84" t="s">
        <v>101</v>
      </c>
      <c r="G129" s="84"/>
      <c r="H129" s="84"/>
      <c r="I129" s="84"/>
      <c r="J129" s="75" t="s">
        <v>102</v>
      </c>
      <c r="K129" s="31" t="s">
        <v>103</v>
      </c>
      <c r="L129" s="259"/>
      <c r="M129" s="259"/>
      <c r="N129" s="25"/>
      <c r="O129" s="26"/>
      <c r="P129" s="26"/>
      <c r="Q129" s="26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25"/>
      <c r="AO129" s="33"/>
      <c r="AP129" s="25"/>
      <c r="AQ129" s="33"/>
      <c r="AR129" s="31"/>
      <c r="AS129" s="33"/>
      <c r="AT129" s="25"/>
      <c r="AU129" s="75"/>
      <c r="AV129" s="75"/>
      <c r="AW129" s="41"/>
      <c r="AX129" s="259"/>
      <c r="AY129" s="259"/>
      <c r="AZ129" s="259"/>
      <c r="BA129" s="259"/>
      <c r="BB129" s="259"/>
      <c r="BC129" s="259"/>
      <c r="BD129" s="259"/>
      <c r="BE129" s="75"/>
      <c r="BF129" s="259"/>
      <c r="BG129" s="259"/>
      <c r="BH129" s="259"/>
      <c r="BI129" s="259"/>
      <c r="BJ129" s="75">
        <v>49525</v>
      </c>
      <c r="BK129" s="76">
        <v>20.85</v>
      </c>
      <c r="BL129" s="273" t="s">
        <v>137</v>
      </c>
      <c r="BM129" s="273" t="s">
        <v>138</v>
      </c>
      <c r="BN129" s="274">
        <v>9.02</v>
      </c>
      <c r="BO129" s="274">
        <v>7.87</v>
      </c>
      <c r="BP129" s="274">
        <v>1.18</v>
      </c>
      <c r="BQ129" s="275"/>
      <c r="BR129" s="275"/>
      <c r="BS129" s="276">
        <v>0.13</v>
      </c>
      <c r="BT129" s="278">
        <v>8.9659999999999993</v>
      </c>
      <c r="BU129" s="278">
        <v>1.3460000000000001</v>
      </c>
      <c r="BV129" s="278">
        <v>9.8219999999999992</v>
      </c>
      <c r="BW129" s="278">
        <v>6.8596188652777779E-2</v>
      </c>
      <c r="BX129" s="276">
        <v>0.12</v>
      </c>
      <c r="BY129" s="279">
        <v>10.5</v>
      </c>
      <c r="BZ129" s="279">
        <v>8.75</v>
      </c>
      <c r="CA129" s="279">
        <v>9.75</v>
      </c>
      <c r="CB129" s="278">
        <v>0.51839192708333337</v>
      </c>
      <c r="CC129" s="280">
        <v>0.28000000000000003</v>
      </c>
      <c r="CD129" s="280"/>
      <c r="CE129" s="280"/>
      <c r="CF129" s="248" t="s">
        <v>134</v>
      </c>
      <c r="CG129" s="75">
        <v>6</v>
      </c>
      <c r="CH129" s="75">
        <v>18</v>
      </c>
      <c r="CI129" s="75">
        <v>4</v>
      </c>
      <c r="CJ129" s="153">
        <v>432</v>
      </c>
      <c r="CK129" s="281">
        <v>178.16</v>
      </c>
      <c r="CL129" s="153" t="s">
        <v>139</v>
      </c>
      <c r="CM129" s="88" t="s">
        <v>140</v>
      </c>
      <c r="CN129" s="71"/>
      <c r="CO129" s="71"/>
    </row>
    <row r="130" spans="1:93" s="1" customFormat="1" ht="30" x14ac:dyDescent="0.25">
      <c r="A130" s="87">
        <v>42534</v>
      </c>
      <c r="B130" s="100" t="s">
        <v>12</v>
      </c>
      <c r="C130" s="100" t="s">
        <v>104</v>
      </c>
      <c r="D130" s="100" t="s">
        <v>105</v>
      </c>
      <c r="E130" s="100" t="s">
        <v>100</v>
      </c>
      <c r="F130" s="46" t="s">
        <v>106</v>
      </c>
      <c r="G130" s="46"/>
      <c r="H130" s="46"/>
      <c r="I130" s="46"/>
      <c r="J130" s="46" t="s">
        <v>107</v>
      </c>
      <c r="K130" s="41">
        <v>13503677</v>
      </c>
      <c r="L130" s="259" t="s">
        <v>108</v>
      </c>
      <c r="M130" s="259" t="s">
        <v>109</v>
      </c>
      <c r="N130" s="25"/>
      <c r="O130" s="26"/>
      <c r="P130" s="26"/>
      <c r="Q130" s="26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25"/>
      <c r="AO130" s="33"/>
      <c r="AP130" s="25"/>
      <c r="AQ130" s="33"/>
      <c r="AR130" s="31"/>
      <c r="AS130" s="33"/>
      <c r="AT130" s="25"/>
      <c r="AU130" s="75" t="s">
        <v>110</v>
      </c>
      <c r="AV130" s="259"/>
      <c r="AW130" s="41"/>
      <c r="AX130" s="259"/>
      <c r="AY130" s="259"/>
      <c r="AZ130" s="259"/>
      <c r="BA130" s="259"/>
      <c r="BB130" s="259"/>
      <c r="BC130" s="75"/>
      <c r="BD130" s="259"/>
      <c r="BE130" s="75" t="s">
        <v>111</v>
      </c>
      <c r="BF130" s="259" t="s">
        <v>112</v>
      </c>
      <c r="BG130" s="259" t="s">
        <v>113</v>
      </c>
      <c r="BH130" s="259" t="s">
        <v>114</v>
      </c>
      <c r="BI130" s="259" t="s">
        <v>115</v>
      </c>
      <c r="BJ130" s="75">
        <v>24191</v>
      </c>
      <c r="BK130" s="76">
        <v>20.88</v>
      </c>
      <c r="BL130" s="273" t="s">
        <v>141</v>
      </c>
      <c r="BM130" s="273" t="s">
        <v>142</v>
      </c>
      <c r="BN130" s="274">
        <v>9.4499999999999993</v>
      </c>
      <c r="BO130" s="274">
        <v>8.0299999999999994</v>
      </c>
      <c r="BP130" s="274">
        <v>1.38</v>
      </c>
      <c r="BQ130" s="275"/>
      <c r="BR130" s="275"/>
      <c r="BS130" s="276">
        <v>0.25</v>
      </c>
      <c r="BT130" s="277">
        <v>9.2859999999999996</v>
      </c>
      <c r="BU130" s="277">
        <v>1.8160000000000001</v>
      </c>
      <c r="BV130" s="278">
        <v>9.7319999999999993</v>
      </c>
      <c r="BW130" s="278">
        <v>9.4973596777777766E-2</v>
      </c>
      <c r="BX130" s="276">
        <v>0.12</v>
      </c>
      <c r="BY130" s="279">
        <v>10.5</v>
      </c>
      <c r="BZ130" s="279">
        <v>10</v>
      </c>
      <c r="CA130" s="279">
        <v>6.25</v>
      </c>
      <c r="CB130" s="278">
        <v>0.37977430555555558</v>
      </c>
      <c r="CC130" s="280">
        <v>0.42</v>
      </c>
      <c r="CD130" s="280"/>
      <c r="CE130" s="280"/>
      <c r="CF130" s="248" t="s">
        <v>134</v>
      </c>
      <c r="CG130" s="75">
        <v>3</v>
      </c>
      <c r="CH130" s="75">
        <v>16</v>
      </c>
      <c r="CI130" s="75">
        <v>7</v>
      </c>
      <c r="CJ130" s="153">
        <v>336</v>
      </c>
      <c r="CK130" s="281">
        <v>221.35999999999999</v>
      </c>
      <c r="CL130" s="153" t="s">
        <v>139</v>
      </c>
      <c r="CM130" s="88" t="s">
        <v>140</v>
      </c>
      <c r="CN130" s="71"/>
      <c r="CO130" s="71"/>
    </row>
    <row r="131" spans="1:93" s="1" customFormat="1" x14ac:dyDescent="0.25">
      <c r="A131" s="87">
        <v>42534</v>
      </c>
      <c r="B131" s="100" t="s">
        <v>12</v>
      </c>
      <c r="C131" s="100" t="s">
        <v>116</v>
      </c>
      <c r="D131" s="100" t="s">
        <v>105</v>
      </c>
      <c r="E131" s="100" t="s">
        <v>100</v>
      </c>
      <c r="F131" s="46" t="s">
        <v>117</v>
      </c>
      <c r="G131" s="46"/>
      <c r="H131" s="46"/>
      <c r="I131" s="46"/>
      <c r="J131" s="46" t="s">
        <v>107</v>
      </c>
      <c r="K131" s="41">
        <v>22743911</v>
      </c>
      <c r="L131" s="259" t="s">
        <v>108</v>
      </c>
      <c r="M131" s="259" t="s">
        <v>118</v>
      </c>
      <c r="N131" s="25"/>
      <c r="O131" s="26"/>
      <c r="P131" s="26"/>
      <c r="Q131" s="26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25" t="s">
        <v>119</v>
      </c>
      <c r="AO131" s="33"/>
      <c r="AP131" s="25"/>
      <c r="AQ131" s="33"/>
      <c r="AR131" s="31"/>
      <c r="AS131" s="33"/>
      <c r="AT131" s="25"/>
      <c r="AU131" s="75"/>
      <c r="AV131" s="24"/>
      <c r="AW131" s="41"/>
      <c r="AX131" s="259"/>
      <c r="AY131" s="259"/>
      <c r="AZ131" s="259"/>
      <c r="BA131" s="259"/>
      <c r="BB131" s="259"/>
      <c r="BC131" s="259"/>
      <c r="BD131" s="259"/>
      <c r="BE131" s="24"/>
      <c r="BF131" s="259" t="s">
        <v>116</v>
      </c>
      <c r="BG131" s="259"/>
      <c r="BH131" s="259"/>
      <c r="BI131" s="259" t="s">
        <v>120</v>
      </c>
      <c r="BJ131" s="75" t="s">
        <v>121</v>
      </c>
      <c r="BK131" s="76">
        <v>21.42</v>
      </c>
      <c r="BL131" s="273" t="s">
        <v>143</v>
      </c>
      <c r="BM131" s="273" t="s">
        <v>144</v>
      </c>
      <c r="BN131" s="274">
        <v>9.4499999999999993</v>
      </c>
      <c r="BO131" s="274">
        <v>7.99</v>
      </c>
      <c r="BP131" s="274">
        <v>1.18</v>
      </c>
      <c r="BQ131" s="275"/>
      <c r="BR131" s="275"/>
      <c r="BS131" s="276">
        <v>0.25</v>
      </c>
      <c r="BT131" s="277">
        <v>8.9659999999999993</v>
      </c>
      <c r="BU131" s="277">
        <v>1.3460000000000001</v>
      </c>
      <c r="BV131" s="278">
        <v>9.8219999999999992</v>
      </c>
      <c r="BW131" s="278">
        <v>6.8596188652777779E-2</v>
      </c>
      <c r="BX131" s="276">
        <v>0.12</v>
      </c>
      <c r="BY131" s="279">
        <v>10.5</v>
      </c>
      <c r="BZ131" s="279">
        <v>8.75</v>
      </c>
      <c r="CA131" s="279">
        <v>9.75</v>
      </c>
      <c r="CB131" s="278">
        <v>0.51839192708333337</v>
      </c>
      <c r="CC131" s="280">
        <v>0.28000000000000003</v>
      </c>
      <c r="CD131" s="280"/>
      <c r="CE131" s="280"/>
      <c r="CF131" s="248" t="s">
        <v>134</v>
      </c>
      <c r="CG131" s="75">
        <v>6</v>
      </c>
      <c r="CH131" s="75">
        <v>18</v>
      </c>
      <c r="CI131" s="75">
        <v>4</v>
      </c>
      <c r="CJ131" s="153">
        <v>432</v>
      </c>
      <c r="CK131" s="281">
        <v>230</v>
      </c>
      <c r="CL131" s="153" t="s">
        <v>139</v>
      </c>
      <c r="CM131" s="88" t="s">
        <v>140</v>
      </c>
      <c r="CN131" s="71"/>
      <c r="CO131" s="71"/>
    </row>
    <row r="132" spans="1:93" x14ac:dyDescent="0.25">
      <c r="A132" s="87">
        <v>42534</v>
      </c>
      <c r="B132" s="100" t="s">
        <v>12</v>
      </c>
      <c r="C132" s="100" t="s">
        <v>122</v>
      </c>
      <c r="D132" s="100" t="s">
        <v>105</v>
      </c>
      <c r="E132" s="100" t="s">
        <v>100</v>
      </c>
      <c r="F132" s="84" t="s">
        <v>123</v>
      </c>
      <c r="G132" s="84"/>
      <c r="H132" s="84"/>
      <c r="I132" s="84"/>
      <c r="J132" s="41" t="s">
        <v>124</v>
      </c>
      <c r="K132" s="85">
        <v>64119237555</v>
      </c>
      <c r="L132" s="259"/>
      <c r="M132" s="259"/>
      <c r="N132" s="25"/>
      <c r="O132" s="26"/>
      <c r="P132" s="26"/>
      <c r="Q132" s="26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25"/>
      <c r="AO132" s="33"/>
      <c r="AP132" s="25" t="s">
        <v>125</v>
      </c>
      <c r="AQ132" s="33"/>
      <c r="AR132" s="31"/>
      <c r="AS132" s="33"/>
      <c r="AT132" s="25"/>
      <c r="AU132" s="75"/>
      <c r="AV132" s="259"/>
      <c r="AW132" s="41"/>
      <c r="AX132" s="259"/>
      <c r="AY132" s="259" t="s">
        <v>86</v>
      </c>
      <c r="AZ132" s="259"/>
      <c r="BA132" s="259" t="s">
        <v>126</v>
      </c>
      <c r="BB132" s="259"/>
      <c r="BC132" s="259"/>
      <c r="BD132" s="259">
        <v>4255</v>
      </c>
      <c r="BE132" s="31"/>
      <c r="BF132" s="259"/>
      <c r="BG132" s="259"/>
      <c r="BH132" s="259"/>
      <c r="BI132" s="259"/>
      <c r="BJ132" s="75">
        <v>24255</v>
      </c>
      <c r="BK132" s="76">
        <v>39.42</v>
      </c>
      <c r="BL132" s="273" t="s">
        <v>145</v>
      </c>
      <c r="BM132" s="273" t="s">
        <v>146</v>
      </c>
      <c r="BN132" s="274">
        <v>9.69</v>
      </c>
      <c r="BO132" s="274">
        <v>7.8</v>
      </c>
      <c r="BP132" s="274">
        <v>1.61</v>
      </c>
      <c r="BQ132" s="275"/>
      <c r="BR132" s="275"/>
      <c r="BS132" s="276">
        <v>0.3</v>
      </c>
      <c r="BT132" s="277">
        <v>8.5359999999999996</v>
      </c>
      <c r="BU132" s="277">
        <v>2.4060000000000001</v>
      </c>
      <c r="BV132" s="278">
        <v>10.691999999999998</v>
      </c>
      <c r="BW132" s="278">
        <v>0.12707649899999998</v>
      </c>
      <c r="BX132" s="276">
        <v>0.2</v>
      </c>
      <c r="BY132" s="279">
        <v>15</v>
      </c>
      <c r="BZ132" s="279">
        <v>11.25</v>
      </c>
      <c r="CA132" s="279">
        <v>9.3800000000000008</v>
      </c>
      <c r="CB132" s="278">
        <v>0.916015625</v>
      </c>
      <c r="CC132" s="280">
        <v>0.78</v>
      </c>
      <c r="CD132" s="280"/>
      <c r="CE132" s="280"/>
      <c r="CF132" s="248" t="s">
        <v>134</v>
      </c>
      <c r="CG132" s="75">
        <v>6</v>
      </c>
      <c r="CH132" s="75">
        <v>10</v>
      </c>
      <c r="CI132" s="75">
        <v>4</v>
      </c>
      <c r="CJ132" s="153">
        <v>240</v>
      </c>
      <c r="CK132" s="281">
        <v>201.20000000000002</v>
      </c>
      <c r="CL132" s="153" t="s">
        <v>139</v>
      </c>
      <c r="CM132" s="88" t="s">
        <v>140</v>
      </c>
      <c r="CN132" s="8"/>
      <c r="CO132" s="8"/>
    </row>
    <row r="133" spans="1:93" x14ac:dyDescent="0.25">
      <c r="A133" s="87">
        <v>42534</v>
      </c>
      <c r="B133" s="100" t="s">
        <v>12</v>
      </c>
      <c r="C133" s="100" t="s">
        <v>127</v>
      </c>
      <c r="D133" s="100" t="s">
        <v>105</v>
      </c>
      <c r="E133" s="100" t="s">
        <v>84</v>
      </c>
      <c r="F133" s="84" t="s">
        <v>128</v>
      </c>
      <c r="G133" s="84"/>
      <c r="H133" s="84"/>
      <c r="I133" s="84"/>
      <c r="J133" s="46" t="s">
        <v>129</v>
      </c>
      <c r="K133" s="41">
        <v>2781800009</v>
      </c>
      <c r="L133" s="259"/>
      <c r="M133" s="259"/>
      <c r="N133" s="25"/>
      <c r="O133" s="26"/>
      <c r="P133" s="26"/>
      <c r="Q133" s="26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25"/>
      <c r="AO133" s="33"/>
      <c r="AP133" s="25"/>
      <c r="AQ133" s="33"/>
      <c r="AR133" s="31"/>
      <c r="AS133" s="33"/>
      <c r="AT133" s="25"/>
      <c r="AU133" s="75"/>
      <c r="AV133" s="259"/>
      <c r="AW133" s="41"/>
      <c r="AX133" s="259"/>
      <c r="AY133" s="259"/>
      <c r="AZ133" s="259"/>
      <c r="BA133" s="259"/>
      <c r="BB133" s="259"/>
      <c r="BC133" s="259"/>
      <c r="BD133" s="259"/>
      <c r="BE133" s="31"/>
      <c r="BF133" s="259" t="s">
        <v>130</v>
      </c>
      <c r="BG133" s="259" t="s">
        <v>131</v>
      </c>
      <c r="BH133" s="259"/>
      <c r="BI133" s="259" t="s">
        <v>131</v>
      </c>
      <c r="BJ133" s="75"/>
      <c r="BK133" s="76">
        <v>16.829999999999998</v>
      </c>
      <c r="BL133" s="273" t="s">
        <v>147</v>
      </c>
      <c r="BM133" s="273" t="s">
        <v>148</v>
      </c>
      <c r="BN133" s="282"/>
      <c r="BO133" s="282"/>
      <c r="BP133" s="282"/>
      <c r="BQ133" s="164">
        <v>2.2639999999999998</v>
      </c>
      <c r="BR133" s="164">
        <v>5.7869999999999999</v>
      </c>
      <c r="BS133" s="276">
        <v>0.08</v>
      </c>
      <c r="BT133" s="278">
        <v>2.5950000000000002</v>
      </c>
      <c r="BU133" s="278">
        <v>2.5950000000000002</v>
      </c>
      <c r="BV133" s="278">
        <v>6.0949999999999998</v>
      </c>
      <c r="BW133" s="278">
        <v>2.3752246744791667E-2</v>
      </c>
      <c r="BX133" s="276">
        <v>0.05</v>
      </c>
      <c r="BY133" s="279">
        <v>10.879</v>
      </c>
      <c r="BZ133" s="279">
        <v>8.5169999999999995</v>
      </c>
      <c r="CA133" s="279">
        <v>6.7990000000000004</v>
      </c>
      <c r="CB133" s="278">
        <v>0.36456664117881943</v>
      </c>
      <c r="CC133" s="283">
        <v>0.15</v>
      </c>
      <c r="CD133" s="283"/>
      <c r="CE133" s="283"/>
      <c r="CF133" s="248" t="s">
        <v>134</v>
      </c>
      <c r="CG133" s="75">
        <v>12</v>
      </c>
      <c r="CH133" s="75">
        <v>19</v>
      </c>
      <c r="CI133" s="75">
        <v>7</v>
      </c>
      <c r="CJ133" s="153">
        <v>1596</v>
      </c>
      <c r="CK133" s="281">
        <v>277.43</v>
      </c>
      <c r="CL133" s="153" t="s">
        <v>149</v>
      </c>
      <c r="CM133" s="88" t="s">
        <v>150</v>
      </c>
      <c r="CN133" s="8"/>
      <c r="CO133" s="8"/>
    </row>
    <row r="134" spans="1:93" ht="30" x14ac:dyDescent="0.25">
      <c r="A134" s="87">
        <v>42482</v>
      </c>
      <c r="B134" s="73" t="s">
        <v>12</v>
      </c>
      <c r="C134" s="73" t="s">
        <v>153</v>
      </c>
      <c r="D134" s="73" t="s">
        <v>54</v>
      </c>
      <c r="E134" s="16" t="s">
        <v>84</v>
      </c>
      <c r="F134" s="84" t="s">
        <v>154</v>
      </c>
      <c r="G134" s="84"/>
      <c r="H134" s="84"/>
      <c r="I134" s="84"/>
      <c r="J134" s="41" t="s">
        <v>155</v>
      </c>
      <c r="K134" s="85">
        <v>47135704</v>
      </c>
      <c r="L134" s="94" t="s">
        <v>156</v>
      </c>
      <c r="M134" s="94">
        <v>47135703</v>
      </c>
      <c r="N134" s="25"/>
      <c r="O134" s="26"/>
      <c r="P134" s="26"/>
      <c r="Q134" s="26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25" t="s">
        <v>157</v>
      </c>
      <c r="AO134" s="33"/>
      <c r="AP134" s="25"/>
      <c r="AQ134" s="33"/>
      <c r="AR134" s="31" t="s">
        <v>158</v>
      </c>
      <c r="AS134" s="33"/>
      <c r="AT134" s="25" t="s">
        <v>159</v>
      </c>
      <c r="AU134" s="75" t="s">
        <v>160</v>
      </c>
      <c r="AV134" s="94"/>
      <c r="AW134" s="41"/>
      <c r="AX134" s="94"/>
      <c r="AY134" s="94"/>
      <c r="AZ134" s="94"/>
      <c r="BA134" s="94"/>
      <c r="BB134" s="94"/>
      <c r="BC134" s="94"/>
      <c r="BD134" s="94"/>
      <c r="BE134" s="31"/>
      <c r="BF134" s="94"/>
      <c r="BG134" s="94"/>
      <c r="BH134" s="94"/>
      <c r="BI134" s="94"/>
      <c r="BJ134" s="75">
        <v>57075</v>
      </c>
      <c r="BK134" s="76">
        <v>20.76</v>
      </c>
      <c r="BL134" s="82" t="s">
        <v>161</v>
      </c>
      <c r="BM134" s="82" t="s">
        <v>162</v>
      </c>
      <c r="BN134" s="36"/>
      <c r="BO134" s="36"/>
      <c r="BP134" s="36"/>
      <c r="BQ134" s="92">
        <v>4.2125984251968509</v>
      </c>
      <c r="BR134" s="92">
        <v>4.1535433070866148</v>
      </c>
      <c r="BS134" s="95"/>
      <c r="BT134" s="47">
        <v>4.4659999999999993</v>
      </c>
      <c r="BU134" s="47">
        <v>4.4659999999999993</v>
      </c>
      <c r="BV134" s="47">
        <v>4.8220000000000001</v>
      </c>
      <c r="BW134" s="47">
        <v>5.5657142495370356E-2</v>
      </c>
      <c r="BX134" s="47">
        <v>1.3180000000000001</v>
      </c>
      <c r="BY134" s="47">
        <v>14</v>
      </c>
      <c r="BZ134" s="47">
        <v>9.5</v>
      </c>
      <c r="CA134" s="47">
        <v>5.37</v>
      </c>
      <c r="CB134" s="47">
        <v>0.41331597222222222</v>
      </c>
      <c r="CC134" s="47">
        <v>7.9080000000000004</v>
      </c>
      <c r="CD134" s="47"/>
      <c r="CE134" s="47"/>
      <c r="CF134" s="43" t="s">
        <v>163</v>
      </c>
      <c r="CG134" s="74">
        <v>6</v>
      </c>
      <c r="CH134" s="74">
        <v>13</v>
      </c>
      <c r="CI134" s="74">
        <v>8</v>
      </c>
      <c r="CJ134" s="27">
        <v>624</v>
      </c>
      <c r="CK134" s="27">
        <v>872.43200000000002</v>
      </c>
      <c r="CL134" s="74" t="s">
        <v>164</v>
      </c>
      <c r="CM134" s="83" t="s">
        <v>165</v>
      </c>
      <c r="CN134" s="8"/>
      <c r="CO134" s="8"/>
    </row>
    <row r="135" spans="1:93" x14ac:dyDescent="0.25">
      <c r="A135" s="87">
        <v>42482</v>
      </c>
      <c r="B135" s="73" t="s">
        <v>12</v>
      </c>
      <c r="C135" s="73" t="s">
        <v>166</v>
      </c>
      <c r="D135" s="73" t="s">
        <v>54</v>
      </c>
      <c r="E135" s="73" t="s">
        <v>59</v>
      </c>
      <c r="F135" s="84" t="s">
        <v>167</v>
      </c>
      <c r="G135" s="84"/>
      <c r="H135" s="84"/>
      <c r="I135" s="84"/>
      <c r="J135" s="75" t="s">
        <v>168</v>
      </c>
      <c r="K135" s="31" t="s">
        <v>169</v>
      </c>
      <c r="L135" s="94"/>
      <c r="M135" s="94"/>
      <c r="N135" s="25"/>
      <c r="O135" s="26"/>
      <c r="P135" s="26"/>
      <c r="Q135" s="26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25" t="s">
        <v>170</v>
      </c>
      <c r="AO135" s="33"/>
      <c r="AP135" s="25"/>
      <c r="AQ135" s="33"/>
      <c r="AR135" s="31" t="s">
        <v>171</v>
      </c>
      <c r="AS135" s="33"/>
      <c r="AT135" s="25"/>
      <c r="AU135" s="75"/>
      <c r="AV135" s="75"/>
      <c r="AW135" s="41"/>
      <c r="AX135" s="94"/>
      <c r="AY135" s="94"/>
      <c r="AZ135" s="94"/>
      <c r="BA135" s="94"/>
      <c r="BB135" s="94"/>
      <c r="BC135" s="94"/>
      <c r="BD135" s="94"/>
      <c r="BE135" s="75"/>
      <c r="BF135" s="94"/>
      <c r="BG135" s="94"/>
      <c r="BH135" s="94"/>
      <c r="BI135" s="94"/>
      <c r="BJ135" s="75"/>
      <c r="BK135" s="76">
        <v>12.53</v>
      </c>
      <c r="BL135" s="96" t="s">
        <v>172</v>
      </c>
      <c r="BM135" s="82" t="s">
        <v>173</v>
      </c>
      <c r="BN135" s="97"/>
      <c r="BO135" s="97"/>
      <c r="BP135" s="97"/>
      <c r="BQ135" s="92">
        <v>2.9921259842519685</v>
      </c>
      <c r="BR135" s="92">
        <v>2.1653543307086616</v>
      </c>
      <c r="BS135" s="77">
        <v>0.62992125984251968</v>
      </c>
      <c r="BT135" s="98"/>
      <c r="BU135" s="98"/>
      <c r="BV135" s="98"/>
      <c r="BW135" s="38"/>
      <c r="BX135" s="78">
        <v>0.42499999999999999</v>
      </c>
      <c r="BY135" s="93">
        <v>10</v>
      </c>
      <c r="BZ135" s="93">
        <v>6.75</v>
      </c>
      <c r="CA135" s="93">
        <v>3.75</v>
      </c>
      <c r="CB135" s="47">
        <v>0.146484375</v>
      </c>
      <c r="CC135" s="47">
        <v>2.5499999999999998</v>
      </c>
      <c r="CD135" s="47"/>
      <c r="CE135" s="47"/>
      <c r="CF135" s="43" t="s">
        <v>163</v>
      </c>
      <c r="CG135" s="72">
        <v>6</v>
      </c>
      <c r="CH135" s="72">
        <v>26</v>
      </c>
      <c r="CI135" s="72">
        <v>10</v>
      </c>
      <c r="CJ135" s="27">
        <v>1560</v>
      </c>
      <c r="CK135" s="27">
        <v>713</v>
      </c>
      <c r="CL135" s="72" t="s">
        <v>164</v>
      </c>
      <c r="CM135" s="79" t="s">
        <v>165</v>
      </c>
      <c r="CN135" s="8"/>
      <c r="CO135" s="8"/>
    </row>
    <row r="136" spans="1:93" x14ac:dyDescent="0.25">
      <c r="A136" s="87">
        <v>42482</v>
      </c>
      <c r="B136" s="72" t="s">
        <v>12</v>
      </c>
      <c r="C136" s="72" t="s">
        <v>174</v>
      </c>
      <c r="D136" s="73" t="s">
        <v>54</v>
      </c>
      <c r="E136" s="73" t="s">
        <v>59</v>
      </c>
      <c r="F136" s="46" t="s">
        <v>175</v>
      </c>
      <c r="G136" s="46"/>
      <c r="H136" s="46"/>
      <c r="I136" s="46"/>
      <c r="J136" s="46" t="s">
        <v>176</v>
      </c>
      <c r="K136" s="41" t="s">
        <v>177</v>
      </c>
      <c r="L136" s="94"/>
      <c r="M136" s="94"/>
      <c r="N136" s="25"/>
      <c r="O136" s="26"/>
      <c r="P136" s="26"/>
      <c r="Q136" s="26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25" t="s">
        <v>178</v>
      </c>
      <c r="AO136" s="33"/>
      <c r="AP136" s="25"/>
      <c r="AQ136" s="33"/>
      <c r="AR136" s="31"/>
      <c r="AS136" s="33"/>
      <c r="AT136" s="25"/>
      <c r="AU136" s="75"/>
      <c r="AV136" s="94"/>
      <c r="AW136" s="41"/>
      <c r="AX136" s="94"/>
      <c r="AY136" s="94"/>
      <c r="AZ136" s="94"/>
      <c r="BA136" s="94"/>
      <c r="BB136" s="94"/>
      <c r="BC136" s="75"/>
      <c r="BD136" s="94"/>
      <c r="BE136" s="75"/>
      <c r="BF136" s="94"/>
      <c r="BG136" s="94"/>
      <c r="BH136" s="94"/>
      <c r="BI136" s="94"/>
      <c r="BJ136" s="75">
        <v>33745</v>
      </c>
      <c r="BK136" s="76">
        <v>22.51</v>
      </c>
      <c r="BL136" s="45" t="s">
        <v>179</v>
      </c>
      <c r="BM136" s="82" t="s">
        <v>180</v>
      </c>
      <c r="BN136" s="97"/>
      <c r="BO136" s="97"/>
      <c r="BP136" s="97"/>
      <c r="BQ136" s="92">
        <v>3.7007874015748032</v>
      </c>
      <c r="BR136" s="92">
        <v>3.7795275590551185</v>
      </c>
      <c r="BS136" s="80">
        <v>0.9055118110236221</v>
      </c>
      <c r="BT136" s="99"/>
      <c r="BU136" s="99"/>
      <c r="BV136" s="99"/>
      <c r="BW136" s="38"/>
      <c r="BX136" s="78">
        <v>0.42499999999999999</v>
      </c>
      <c r="BY136" s="93">
        <v>11.93</v>
      </c>
      <c r="BZ136" s="93">
        <v>8</v>
      </c>
      <c r="CA136" s="93">
        <v>4.62</v>
      </c>
      <c r="CB136" s="47">
        <v>0.25516944444444445</v>
      </c>
      <c r="CC136" s="47">
        <v>2.5499999999999998</v>
      </c>
      <c r="CD136" s="47"/>
      <c r="CE136" s="47"/>
      <c r="CF136" s="43" t="s">
        <v>163</v>
      </c>
      <c r="CG136" s="72">
        <v>6</v>
      </c>
      <c r="CH136" s="72">
        <v>20</v>
      </c>
      <c r="CI136" s="72">
        <v>9</v>
      </c>
      <c r="CJ136" s="27">
        <v>1080</v>
      </c>
      <c r="CK136" s="27">
        <v>509</v>
      </c>
      <c r="CL136" s="27" t="s">
        <v>164</v>
      </c>
      <c r="CM136" s="79" t="s">
        <v>165</v>
      </c>
      <c r="CN136" s="8"/>
      <c r="CO136" s="8"/>
    </row>
    <row r="137" spans="1:93" x14ac:dyDescent="0.25">
      <c r="A137" s="87">
        <v>42482</v>
      </c>
      <c r="B137" s="72" t="s">
        <v>12</v>
      </c>
      <c r="C137" s="72" t="s">
        <v>181</v>
      </c>
      <c r="D137" s="73" t="s">
        <v>54</v>
      </c>
      <c r="E137" s="73" t="s">
        <v>59</v>
      </c>
      <c r="F137" s="46" t="s">
        <v>182</v>
      </c>
      <c r="G137" s="46"/>
      <c r="H137" s="46"/>
      <c r="I137" s="46"/>
      <c r="J137" s="46" t="s">
        <v>176</v>
      </c>
      <c r="K137" s="41">
        <v>3006265011</v>
      </c>
      <c r="L137" s="94"/>
      <c r="M137" s="94"/>
      <c r="N137" s="25"/>
      <c r="O137" s="26"/>
      <c r="P137" s="26"/>
      <c r="Q137" s="26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25" t="s">
        <v>183</v>
      </c>
      <c r="AO137" s="33"/>
      <c r="AP137" s="25"/>
      <c r="AQ137" s="33"/>
      <c r="AR137" s="31" t="s">
        <v>184</v>
      </c>
      <c r="AS137" s="33"/>
      <c r="AT137" s="25" t="s">
        <v>185</v>
      </c>
      <c r="AU137" s="75"/>
      <c r="AV137" s="24"/>
      <c r="AW137" s="41"/>
      <c r="AX137" s="94"/>
      <c r="AY137" s="94"/>
      <c r="AZ137" s="94"/>
      <c r="BA137" s="94"/>
      <c r="BB137" s="94"/>
      <c r="BC137" s="94"/>
      <c r="BD137" s="94"/>
      <c r="BE137" s="24"/>
      <c r="BF137" s="94"/>
      <c r="BG137" s="94"/>
      <c r="BH137" s="94"/>
      <c r="BI137" s="94"/>
      <c r="BJ137" s="75"/>
      <c r="BK137" s="76">
        <v>19.23</v>
      </c>
      <c r="BL137" s="45" t="s">
        <v>186</v>
      </c>
      <c r="BM137" s="82" t="s">
        <v>187</v>
      </c>
      <c r="BN137" s="97"/>
      <c r="BO137" s="97"/>
      <c r="BP137" s="97"/>
      <c r="BQ137" s="92">
        <v>3.6220472440944884</v>
      </c>
      <c r="BR137" s="92">
        <v>5.6299212598425203</v>
      </c>
      <c r="BS137" s="80">
        <v>0.59055118110236227</v>
      </c>
      <c r="BT137" s="99"/>
      <c r="BU137" s="99"/>
      <c r="BV137" s="99"/>
      <c r="BW137" s="38"/>
      <c r="BX137" s="78">
        <v>0.42499999999999999</v>
      </c>
      <c r="BY137" s="93">
        <v>11.936999999999999</v>
      </c>
      <c r="BZ137" s="93">
        <v>8</v>
      </c>
      <c r="CA137" s="93">
        <v>6.375</v>
      </c>
      <c r="CB137" s="47">
        <v>0.35230729166666663</v>
      </c>
      <c r="CC137" s="47">
        <v>2.5499999999999998</v>
      </c>
      <c r="CD137" s="47"/>
      <c r="CE137" s="47"/>
      <c r="CF137" s="43" t="s">
        <v>163</v>
      </c>
      <c r="CG137" s="72">
        <v>6</v>
      </c>
      <c r="CH137" s="72">
        <v>20</v>
      </c>
      <c r="CI137" s="72">
        <v>7</v>
      </c>
      <c r="CJ137" s="27">
        <v>840</v>
      </c>
      <c r="CK137" s="27">
        <v>407</v>
      </c>
      <c r="CL137" s="27" t="s">
        <v>164</v>
      </c>
      <c r="CM137" s="79" t="s">
        <v>165</v>
      </c>
      <c r="CN137" s="8"/>
      <c r="CO137" s="8"/>
    </row>
    <row r="138" spans="1:93" ht="45" x14ac:dyDescent="0.25">
      <c r="A138" s="87">
        <v>42482</v>
      </c>
      <c r="B138" s="73" t="s">
        <v>12</v>
      </c>
      <c r="C138" s="73" t="s">
        <v>188</v>
      </c>
      <c r="D138" s="73" t="s">
        <v>54</v>
      </c>
      <c r="E138" s="73" t="s">
        <v>59</v>
      </c>
      <c r="F138" s="84" t="s">
        <v>189</v>
      </c>
      <c r="G138" s="84"/>
      <c r="H138" s="84"/>
      <c r="I138" s="84"/>
      <c r="J138" s="41" t="s">
        <v>168</v>
      </c>
      <c r="K138" s="85" t="s">
        <v>190</v>
      </c>
      <c r="L138" s="94" t="s">
        <v>191</v>
      </c>
      <c r="M138" s="94">
        <v>4411637</v>
      </c>
      <c r="N138" s="25" t="s">
        <v>192</v>
      </c>
      <c r="O138" s="26" t="s">
        <v>190</v>
      </c>
      <c r="P138" s="26"/>
      <c r="Q138" s="26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25" t="s">
        <v>193</v>
      </c>
      <c r="AO138" s="33"/>
      <c r="AP138" s="25"/>
      <c r="AQ138" s="33"/>
      <c r="AR138" s="31"/>
      <c r="AS138" s="33"/>
      <c r="AT138" s="25"/>
      <c r="AU138" s="75"/>
      <c r="AV138" s="94"/>
      <c r="AW138" s="41"/>
      <c r="AX138" s="94"/>
      <c r="AY138" s="94"/>
      <c r="AZ138" s="94"/>
      <c r="BA138" s="94"/>
      <c r="BB138" s="94"/>
      <c r="BC138" s="94"/>
      <c r="BD138" s="94"/>
      <c r="BE138" s="31"/>
      <c r="BF138" s="94"/>
      <c r="BG138" s="94"/>
      <c r="BH138" s="94"/>
      <c r="BI138" s="94"/>
      <c r="BJ138" s="75"/>
      <c r="BK138" s="76">
        <v>19.98</v>
      </c>
      <c r="BL138" s="45" t="s">
        <v>194</v>
      </c>
      <c r="BM138" s="82" t="s">
        <v>195</v>
      </c>
      <c r="BN138" s="97"/>
      <c r="BO138" s="97"/>
      <c r="BP138" s="97"/>
      <c r="BQ138" s="92">
        <v>2.7952755905511815</v>
      </c>
      <c r="BR138" s="92">
        <v>4.7637795275590555</v>
      </c>
      <c r="BS138" s="77">
        <v>0.78740157480314965</v>
      </c>
      <c r="BT138" s="38"/>
      <c r="BU138" s="38"/>
      <c r="BV138" s="38"/>
      <c r="BW138" s="38"/>
      <c r="BX138" s="78">
        <v>0.42499999999999999</v>
      </c>
      <c r="BY138" s="93">
        <v>10</v>
      </c>
      <c r="BZ138" s="93">
        <v>6.75</v>
      </c>
      <c r="CA138" s="93">
        <v>5.5</v>
      </c>
      <c r="CB138" s="91">
        <v>0.21484375</v>
      </c>
      <c r="CC138" s="91">
        <v>2.5499999999999998</v>
      </c>
      <c r="CD138" s="300"/>
      <c r="CE138" s="300"/>
      <c r="CF138" s="43" t="s">
        <v>163</v>
      </c>
      <c r="CG138" s="72">
        <v>6</v>
      </c>
      <c r="CH138" s="72">
        <v>26</v>
      </c>
      <c r="CI138" s="72">
        <v>8</v>
      </c>
      <c r="CJ138" s="27">
        <v>1248</v>
      </c>
      <c r="CK138" s="27">
        <v>580.4</v>
      </c>
      <c r="CL138" s="27" t="s">
        <v>164</v>
      </c>
      <c r="CM138" s="88" t="s">
        <v>165</v>
      </c>
      <c r="CN138" s="8"/>
      <c r="CO138" s="8"/>
    </row>
    <row r="139" spans="1:93" x14ac:dyDescent="0.25">
      <c r="A139" s="87">
        <v>42482</v>
      </c>
      <c r="B139" s="74" t="s">
        <v>12</v>
      </c>
      <c r="C139" s="73" t="s">
        <v>196</v>
      </c>
      <c r="D139" s="73" t="s">
        <v>54</v>
      </c>
      <c r="E139" s="73" t="s">
        <v>59</v>
      </c>
      <c r="F139" s="89" t="s">
        <v>197</v>
      </c>
      <c r="G139" s="89"/>
      <c r="H139" s="89"/>
      <c r="I139" s="89"/>
      <c r="J139" s="46" t="s">
        <v>176</v>
      </c>
      <c r="K139" s="41" t="s">
        <v>198</v>
      </c>
      <c r="L139" s="94"/>
      <c r="M139" s="94"/>
      <c r="N139" s="25"/>
      <c r="O139" s="26"/>
      <c r="P139" s="26"/>
      <c r="Q139" s="26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25" t="s">
        <v>199</v>
      </c>
      <c r="AO139" s="33"/>
      <c r="AP139" s="25"/>
      <c r="AQ139" s="33"/>
      <c r="AR139" s="31" t="s">
        <v>200</v>
      </c>
      <c r="AS139" s="33"/>
      <c r="AT139" s="25" t="s">
        <v>201</v>
      </c>
      <c r="AU139" s="75"/>
      <c r="AV139" s="94"/>
      <c r="AW139" s="41"/>
      <c r="AX139" s="94"/>
      <c r="AY139" s="94"/>
      <c r="AZ139" s="94"/>
      <c r="BA139" s="94"/>
      <c r="BB139" s="94"/>
      <c r="BC139" s="94"/>
      <c r="BD139" s="94"/>
      <c r="BE139" s="31"/>
      <c r="BF139" s="94"/>
      <c r="BG139" s="94"/>
      <c r="BH139" s="94"/>
      <c r="BI139" s="94"/>
      <c r="BJ139" s="75"/>
      <c r="BK139" s="76">
        <v>16.39</v>
      </c>
      <c r="BL139" s="45" t="s">
        <v>202</v>
      </c>
      <c r="BM139" s="82" t="s">
        <v>203</v>
      </c>
      <c r="BN139" s="97"/>
      <c r="BO139" s="97"/>
      <c r="BP139" s="97"/>
      <c r="BQ139" s="92">
        <v>3.7401574803149606</v>
      </c>
      <c r="BR139" s="92">
        <v>3.8582677165354333</v>
      </c>
      <c r="BS139" s="77">
        <v>1.0629921259842521</v>
      </c>
      <c r="BT139" s="38"/>
      <c r="BU139" s="38"/>
      <c r="BV139" s="38"/>
      <c r="BW139" s="38"/>
      <c r="BX139" s="78">
        <v>0.42499999999999999</v>
      </c>
      <c r="BY139" s="93">
        <v>11.93</v>
      </c>
      <c r="BZ139" s="93">
        <v>8</v>
      </c>
      <c r="CA139" s="93">
        <v>4.62</v>
      </c>
      <c r="CB139" s="91">
        <v>0.25516944444444445</v>
      </c>
      <c r="CC139" s="91">
        <v>2.5499999999999998</v>
      </c>
      <c r="CD139" s="300"/>
      <c r="CE139" s="300"/>
      <c r="CF139" s="43" t="s">
        <v>163</v>
      </c>
      <c r="CG139" s="27">
        <v>6</v>
      </c>
      <c r="CH139" s="27">
        <v>20</v>
      </c>
      <c r="CI139" s="27">
        <v>9</v>
      </c>
      <c r="CJ139" s="27">
        <v>1080</v>
      </c>
      <c r="CK139" s="27">
        <v>509</v>
      </c>
      <c r="CL139" s="27" t="s">
        <v>164</v>
      </c>
      <c r="CM139" s="88" t="s">
        <v>165</v>
      </c>
      <c r="CN139" s="8"/>
      <c r="CO139" s="8"/>
    </row>
    <row r="140" spans="1:93" ht="30" x14ac:dyDescent="0.25">
      <c r="A140" s="87">
        <v>42482</v>
      </c>
      <c r="B140" s="73" t="s">
        <v>12</v>
      </c>
      <c r="C140" s="73" t="s">
        <v>204</v>
      </c>
      <c r="D140" s="73" t="s">
        <v>54</v>
      </c>
      <c r="E140" s="73" t="s">
        <v>72</v>
      </c>
      <c r="F140" s="84" t="s">
        <v>205</v>
      </c>
      <c r="G140" s="84"/>
      <c r="H140" s="84"/>
      <c r="I140" s="84"/>
      <c r="J140" s="41" t="s">
        <v>206</v>
      </c>
      <c r="K140" s="85" t="s">
        <v>207</v>
      </c>
      <c r="L140" s="94"/>
      <c r="M140" s="94"/>
      <c r="N140" s="25"/>
      <c r="O140" s="26"/>
      <c r="P140" s="26"/>
      <c r="Q140" s="26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25" t="s">
        <v>208</v>
      </c>
      <c r="AO140" s="33"/>
      <c r="AP140" s="25"/>
      <c r="AQ140" s="33"/>
      <c r="AR140" s="31" t="s">
        <v>209</v>
      </c>
      <c r="AS140" s="33"/>
      <c r="AT140" s="25"/>
      <c r="AU140" s="75"/>
      <c r="AV140" s="94"/>
      <c r="AW140" s="41"/>
      <c r="AX140" s="94"/>
      <c r="AY140" s="94"/>
      <c r="AZ140" s="94"/>
      <c r="BA140" s="94"/>
      <c r="BB140" s="94"/>
      <c r="BC140" s="94"/>
      <c r="BD140" s="94"/>
      <c r="BE140" s="31"/>
      <c r="BF140" s="94"/>
      <c r="BG140" s="94"/>
      <c r="BH140" s="94"/>
      <c r="BI140" s="94"/>
      <c r="BJ140" s="75"/>
      <c r="BK140" s="76">
        <v>118.71</v>
      </c>
      <c r="BL140" s="96" t="s">
        <v>210</v>
      </c>
      <c r="BM140" s="82" t="s">
        <v>211</v>
      </c>
      <c r="BN140" s="97"/>
      <c r="BO140" s="97"/>
      <c r="BP140" s="97"/>
      <c r="BQ140" s="92">
        <v>2.8346456692913389</v>
      </c>
      <c r="BR140" s="92">
        <v>11.811023622047244</v>
      </c>
      <c r="BS140" s="95"/>
      <c r="BT140" s="93">
        <v>3.625</v>
      </c>
      <c r="BU140" s="93">
        <v>3.625</v>
      </c>
      <c r="BV140" s="93">
        <v>15.25</v>
      </c>
      <c r="BW140" s="91">
        <v>0.11596905743634259</v>
      </c>
      <c r="BX140" s="78">
        <v>1.1000000000000001</v>
      </c>
      <c r="BY140" s="570" t="s">
        <v>212</v>
      </c>
      <c r="BZ140" s="571"/>
      <c r="CA140" s="571"/>
      <c r="CB140" s="571"/>
      <c r="CC140" s="572"/>
      <c r="CD140" s="299"/>
      <c r="CE140" s="299"/>
      <c r="CF140" s="43" t="s">
        <v>163</v>
      </c>
      <c r="CG140" s="72">
        <v>1</v>
      </c>
      <c r="CH140" s="72">
        <v>143</v>
      </c>
      <c r="CI140" s="72">
        <v>2</v>
      </c>
      <c r="CJ140" s="27">
        <v>286</v>
      </c>
      <c r="CK140" s="27">
        <v>364.6</v>
      </c>
      <c r="CL140" s="27" t="s">
        <v>213</v>
      </c>
      <c r="CM140" s="88" t="s">
        <v>214</v>
      </c>
      <c r="CN140" s="8"/>
      <c r="CO140" s="8"/>
    </row>
    <row r="141" spans="1:93" s="1" customFormat="1" x14ac:dyDescent="0.25">
      <c r="A141" s="87">
        <v>42482</v>
      </c>
      <c r="B141" s="74" t="s">
        <v>12</v>
      </c>
      <c r="C141" s="73" t="s">
        <v>215</v>
      </c>
      <c r="D141" s="73" t="s">
        <v>54</v>
      </c>
      <c r="E141" s="73" t="s">
        <v>72</v>
      </c>
      <c r="F141" s="84" t="s">
        <v>216</v>
      </c>
      <c r="G141" s="84"/>
      <c r="H141" s="84"/>
      <c r="I141" s="84"/>
      <c r="J141" s="41" t="s">
        <v>217</v>
      </c>
      <c r="K141" s="85" t="s">
        <v>218</v>
      </c>
      <c r="L141" s="94"/>
      <c r="M141" s="94"/>
      <c r="N141" s="25"/>
      <c r="O141" s="26"/>
      <c r="P141" s="26"/>
      <c r="Q141" s="26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25" t="s">
        <v>219</v>
      </c>
      <c r="AO141" s="33"/>
      <c r="AP141" s="25"/>
      <c r="AQ141" s="33"/>
      <c r="AR141" s="31" t="s">
        <v>220</v>
      </c>
      <c r="AS141" s="33"/>
      <c r="AT141" s="25"/>
      <c r="AU141" s="75"/>
      <c r="AV141" s="94"/>
      <c r="AW141" s="41"/>
      <c r="AX141" s="94"/>
      <c r="AY141" s="94"/>
      <c r="AZ141" s="94"/>
      <c r="BA141" s="94"/>
      <c r="BB141" s="94"/>
      <c r="BC141" s="94"/>
      <c r="BD141" s="94"/>
      <c r="BE141" s="31"/>
      <c r="BF141" s="94"/>
      <c r="BG141" s="94"/>
      <c r="BH141" s="94"/>
      <c r="BI141" s="94"/>
      <c r="BJ141" s="75" t="s">
        <v>221</v>
      </c>
      <c r="BK141" s="76">
        <v>149.27000000000001</v>
      </c>
      <c r="BL141" s="45" t="s">
        <v>222</v>
      </c>
      <c r="BM141" s="82" t="s">
        <v>223</v>
      </c>
      <c r="BN141" s="97"/>
      <c r="BO141" s="97"/>
      <c r="BP141" s="97"/>
      <c r="BQ141" s="92">
        <v>3.8976377952755907</v>
      </c>
      <c r="BR141" s="92">
        <v>8.2677165354330722</v>
      </c>
      <c r="BS141" s="77">
        <v>1.5748031496062993</v>
      </c>
      <c r="BT141" s="93">
        <v>4.125</v>
      </c>
      <c r="BU141" s="93">
        <v>4.125</v>
      </c>
      <c r="BV141" s="93">
        <v>10.25</v>
      </c>
      <c r="BW141" s="47">
        <v>0.10093180338541667</v>
      </c>
      <c r="BX141" s="78">
        <v>1.6</v>
      </c>
      <c r="BY141" s="570" t="s">
        <v>212</v>
      </c>
      <c r="BZ141" s="571"/>
      <c r="CA141" s="571"/>
      <c r="CB141" s="571"/>
      <c r="CC141" s="572"/>
      <c r="CD141" s="299"/>
      <c r="CE141" s="299"/>
      <c r="CF141" s="43" t="s">
        <v>163</v>
      </c>
      <c r="CG141" s="72">
        <v>1</v>
      </c>
      <c r="CH141" s="72">
        <v>120</v>
      </c>
      <c r="CI141" s="72">
        <v>4</v>
      </c>
      <c r="CJ141" s="27">
        <v>480</v>
      </c>
      <c r="CK141" s="27">
        <v>818</v>
      </c>
      <c r="CL141" s="72" t="s">
        <v>213</v>
      </c>
      <c r="CM141" s="88" t="s">
        <v>214</v>
      </c>
      <c r="CN141" s="71"/>
      <c r="CO141" s="71"/>
    </row>
    <row r="142" spans="1:93" s="1" customFormat="1" x14ac:dyDescent="0.25">
      <c r="A142" s="87">
        <v>42482</v>
      </c>
      <c r="B142" s="74" t="s">
        <v>12</v>
      </c>
      <c r="C142" s="72" t="s">
        <v>224</v>
      </c>
      <c r="D142" s="73" t="s">
        <v>54</v>
      </c>
      <c r="E142" s="73" t="s">
        <v>72</v>
      </c>
      <c r="F142" s="84" t="s">
        <v>225</v>
      </c>
      <c r="G142" s="84"/>
      <c r="H142" s="84"/>
      <c r="I142" s="84"/>
      <c r="J142" s="41" t="s">
        <v>226</v>
      </c>
      <c r="K142" s="85">
        <v>1799806</v>
      </c>
      <c r="L142" s="94" t="s">
        <v>226</v>
      </c>
      <c r="M142" s="94">
        <v>2166676</v>
      </c>
      <c r="N142" s="25"/>
      <c r="O142" s="26"/>
      <c r="P142" s="26"/>
      <c r="Q142" s="26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25" t="s">
        <v>227</v>
      </c>
      <c r="AO142" s="33"/>
      <c r="AP142" s="25"/>
      <c r="AQ142" s="33"/>
      <c r="AR142" s="31" t="s">
        <v>228</v>
      </c>
      <c r="AS142" s="33"/>
      <c r="AT142" s="25" t="s">
        <v>229</v>
      </c>
      <c r="AU142" s="75"/>
      <c r="AV142" s="94"/>
      <c r="AW142" s="41"/>
      <c r="AX142" s="94"/>
      <c r="AY142" s="94"/>
      <c r="AZ142" s="94"/>
      <c r="BA142" s="94"/>
      <c r="BB142" s="94"/>
      <c r="BC142" s="94"/>
      <c r="BD142" s="94"/>
      <c r="BE142" s="31"/>
      <c r="BF142" s="94"/>
      <c r="BG142" s="94"/>
      <c r="BH142" s="94"/>
      <c r="BI142" s="94"/>
      <c r="BJ142" s="75">
        <v>57896</v>
      </c>
      <c r="BK142" s="76">
        <v>230.97</v>
      </c>
      <c r="BL142" s="96" t="s">
        <v>230</v>
      </c>
      <c r="BM142" s="82" t="s">
        <v>231</v>
      </c>
      <c r="BN142" s="97"/>
      <c r="BO142" s="97"/>
      <c r="BP142" s="97"/>
      <c r="BQ142" s="92">
        <v>5.5118110236220472</v>
      </c>
      <c r="BR142" s="92">
        <v>16.811023622047244</v>
      </c>
      <c r="BS142" s="81">
        <v>3.8582677165354333</v>
      </c>
      <c r="BT142" s="93">
        <v>6.3125</v>
      </c>
      <c r="BU142" s="93">
        <v>6.3125</v>
      </c>
      <c r="BV142" s="93">
        <v>18.625</v>
      </c>
      <c r="BW142" s="47">
        <v>0.42949224401403358</v>
      </c>
      <c r="BX142" s="81">
        <v>6.4</v>
      </c>
      <c r="BY142" s="570" t="s">
        <v>212</v>
      </c>
      <c r="BZ142" s="571"/>
      <c r="CA142" s="571"/>
      <c r="CB142" s="571"/>
      <c r="CC142" s="572"/>
      <c r="CD142" s="299"/>
      <c r="CE142" s="299"/>
      <c r="CF142" s="43" t="s">
        <v>163</v>
      </c>
      <c r="CG142" s="72">
        <v>1</v>
      </c>
      <c r="CH142" s="72">
        <v>48</v>
      </c>
      <c r="CI142" s="72">
        <v>2</v>
      </c>
      <c r="CJ142" s="27">
        <v>96</v>
      </c>
      <c r="CK142" s="27">
        <v>664.40000000000009</v>
      </c>
      <c r="CL142" s="27" t="s">
        <v>213</v>
      </c>
      <c r="CM142" s="88" t="s">
        <v>214</v>
      </c>
      <c r="CN142" s="71"/>
      <c r="CO142" s="71"/>
    </row>
    <row r="143" spans="1:93" s="1" customFormat="1" x14ac:dyDescent="0.25">
      <c r="A143" s="87">
        <v>42395</v>
      </c>
      <c r="B143" s="73" t="s">
        <v>12</v>
      </c>
      <c r="C143" s="73" t="s">
        <v>232</v>
      </c>
      <c r="D143" s="73" t="s">
        <v>105</v>
      </c>
      <c r="E143" s="16" t="s">
        <v>233</v>
      </c>
      <c r="F143" s="84" t="s">
        <v>234</v>
      </c>
      <c r="G143" s="84"/>
      <c r="H143" s="84"/>
      <c r="I143" s="84"/>
      <c r="J143" s="41" t="s">
        <v>235</v>
      </c>
      <c r="K143" s="85" t="s">
        <v>236</v>
      </c>
      <c r="L143" s="94"/>
      <c r="M143" s="94"/>
      <c r="N143" s="25"/>
      <c r="O143" s="26"/>
      <c r="P143" s="26"/>
      <c r="Q143" s="26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25"/>
      <c r="AO143" s="33"/>
      <c r="AP143" s="25"/>
      <c r="AQ143" s="33"/>
      <c r="AR143" s="31"/>
      <c r="AS143" s="33"/>
      <c r="AT143" s="25"/>
      <c r="AU143" s="75" t="s">
        <v>237</v>
      </c>
      <c r="AV143" s="94"/>
      <c r="AW143" s="41"/>
      <c r="AX143" s="94"/>
      <c r="AY143" s="94"/>
      <c r="AZ143" s="94"/>
      <c r="BA143" s="94"/>
      <c r="BB143" s="94" t="s">
        <v>232</v>
      </c>
      <c r="BC143" s="94"/>
      <c r="BD143" s="94"/>
      <c r="BE143" s="31" t="s">
        <v>238</v>
      </c>
      <c r="BF143" s="94" t="s">
        <v>239</v>
      </c>
      <c r="BG143" s="94" t="s">
        <v>240</v>
      </c>
      <c r="BH143" s="94"/>
      <c r="BI143" s="94" t="s">
        <v>241</v>
      </c>
      <c r="BJ143" s="75">
        <v>49760</v>
      </c>
      <c r="BK143" s="76">
        <v>20.82</v>
      </c>
      <c r="BL143" s="82" t="s">
        <v>242</v>
      </c>
      <c r="BM143" s="82" t="s">
        <v>243</v>
      </c>
      <c r="BN143" s="92">
        <v>12.2</v>
      </c>
      <c r="BO143" s="92">
        <v>7.34</v>
      </c>
      <c r="BP143" s="92">
        <v>2.0499999999999998</v>
      </c>
      <c r="BQ143" s="92"/>
      <c r="BR143" s="92"/>
      <c r="BS143" s="78"/>
      <c r="BT143" s="116">
        <f>7.75+0.036</f>
        <v>7.7859999999999996</v>
      </c>
      <c r="BU143" s="116">
        <f>2.5+0.036</f>
        <v>2.536</v>
      </c>
      <c r="BV143" s="116">
        <f>12.75+0.072</f>
        <v>12.821999999999999</v>
      </c>
      <c r="BW143" s="91">
        <f>(BT143*BU143*BV143)/1728</f>
        <v>0.14651283872222221</v>
      </c>
      <c r="BX143" s="81">
        <f>0.76+0.22</f>
        <v>0.98</v>
      </c>
      <c r="BY143" s="47">
        <f>15.38+0.25</f>
        <v>15.63</v>
      </c>
      <c r="BZ143" s="47">
        <v>13.5</v>
      </c>
      <c r="CA143" s="47">
        <v>8.5</v>
      </c>
      <c r="CB143" s="47">
        <f>(BY143*BZ143*CA143)/1728</f>
        <v>1.0379296875000001</v>
      </c>
      <c r="CC143" s="47">
        <v>0.92</v>
      </c>
      <c r="CD143" s="47"/>
      <c r="CE143" s="47"/>
      <c r="CF143" s="43" t="s">
        <v>134</v>
      </c>
      <c r="CG143" s="74">
        <v>6</v>
      </c>
      <c r="CH143" s="74">
        <v>6</v>
      </c>
      <c r="CI143" s="74">
        <v>5</v>
      </c>
      <c r="CJ143" s="27">
        <f t="shared" ref="CJ143:CJ185" si="25">CG143*CH143*CI143</f>
        <v>180</v>
      </c>
      <c r="CK143" s="27">
        <f>(((BX143*CG143)+CC143)*CH143*CI143)+50</f>
        <v>254</v>
      </c>
      <c r="CL143" s="74" t="s">
        <v>135</v>
      </c>
      <c r="CM143" s="83" t="s">
        <v>136</v>
      </c>
      <c r="CN143" s="71"/>
      <c r="CO143" s="71"/>
    </row>
    <row r="144" spans="1:93" s="1" customFormat="1" x14ac:dyDescent="0.25">
      <c r="A144" s="87">
        <v>42395</v>
      </c>
      <c r="B144" s="73" t="s">
        <v>12</v>
      </c>
      <c r="C144" s="73" t="s">
        <v>244</v>
      </c>
      <c r="D144" s="73" t="s">
        <v>105</v>
      </c>
      <c r="E144" s="73" t="s">
        <v>100</v>
      </c>
      <c r="F144" s="46" t="s">
        <v>245</v>
      </c>
      <c r="G144" s="46"/>
      <c r="H144" s="46"/>
      <c r="I144" s="46"/>
      <c r="J144" s="24" t="s">
        <v>90</v>
      </c>
      <c r="K144" s="41" t="s">
        <v>246</v>
      </c>
      <c r="L144" s="94"/>
      <c r="M144" s="94"/>
      <c r="N144" s="25"/>
      <c r="O144" s="26"/>
      <c r="P144" s="26"/>
      <c r="Q144" s="26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25"/>
      <c r="AO144" s="33"/>
      <c r="AP144" s="25"/>
      <c r="AQ144" s="33"/>
      <c r="AR144" s="31"/>
      <c r="AS144" s="33"/>
      <c r="AT144" s="25"/>
      <c r="AU144" s="24"/>
      <c r="AV144" s="24"/>
      <c r="AW144" s="41"/>
      <c r="AX144" s="94"/>
      <c r="AY144" s="94"/>
      <c r="AZ144" s="94"/>
      <c r="BA144" s="94"/>
      <c r="BB144" s="94"/>
      <c r="BC144" s="94"/>
      <c r="BD144" s="94"/>
      <c r="BE144" s="24"/>
      <c r="BF144" s="94"/>
      <c r="BG144" s="94"/>
      <c r="BH144" s="94"/>
      <c r="BI144" s="94"/>
      <c r="BJ144" s="117"/>
      <c r="BK144" s="118">
        <v>20.99</v>
      </c>
      <c r="BL144" s="102" t="s">
        <v>247</v>
      </c>
      <c r="BM144" s="102" t="s">
        <v>248</v>
      </c>
      <c r="BN144" s="103">
        <v>9.4499999999999993</v>
      </c>
      <c r="BO144" s="103">
        <v>7.48</v>
      </c>
      <c r="BP144" s="103">
        <v>0.98</v>
      </c>
      <c r="BQ144" s="36"/>
      <c r="BR144" s="36"/>
      <c r="BS144" s="77">
        <v>0.1</v>
      </c>
      <c r="BT144" s="119">
        <f>9.25+0.018+0.018</f>
        <v>9.2860000000000014</v>
      </c>
      <c r="BU144" s="74">
        <f>1.31+0.018+0.018</f>
        <v>1.3460000000000001</v>
      </c>
      <c r="BV144" s="74">
        <f>9.47+(0.018*4)</f>
        <v>9.5419999999999998</v>
      </c>
      <c r="BW144" s="91">
        <f t="shared" ref="BW144:BW181" si="26">(BV144*BU144*BT144)/1728</f>
        <v>6.9019119300925941E-2</v>
      </c>
      <c r="BX144" s="78">
        <v>0.12</v>
      </c>
      <c r="BY144" s="93">
        <v>10.5</v>
      </c>
      <c r="BZ144" s="93">
        <v>8.75</v>
      </c>
      <c r="CA144" s="93">
        <v>9.75</v>
      </c>
      <c r="CB144" s="91">
        <f t="shared" ref="CB144:CB158" si="27">(CA144*BZ144*BY144)/1728</f>
        <v>0.51839192708333337</v>
      </c>
      <c r="CC144" s="120">
        <v>0.28000000000000003</v>
      </c>
      <c r="CD144" s="120"/>
      <c r="CE144" s="120"/>
      <c r="CF144" s="104" t="s">
        <v>134</v>
      </c>
      <c r="CG144" s="72">
        <v>6</v>
      </c>
      <c r="CH144" s="72">
        <v>18</v>
      </c>
      <c r="CI144" s="72">
        <v>4</v>
      </c>
      <c r="CJ144" s="27">
        <f t="shared" si="25"/>
        <v>432</v>
      </c>
      <c r="CK144" s="27">
        <f t="shared" ref="CK144:CK156" si="28">((((BS144+BX144)*CG144)+CC144)*CH144*CI144)+50</f>
        <v>165.2</v>
      </c>
      <c r="CL144" s="72" t="s">
        <v>139</v>
      </c>
      <c r="CM144" s="79" t="s">
        <v>136</v>
      </c>
      <c r="CN144" s="71"/>
      <c r="CO144" s="71"/>
    </row>
    <row r="145" spans="1:95" s="1" customFormat="1" x14ac:dyDescent="0.25">
      <c r="A145" s="87">
        <v>42395</v>
      </c>
      <c r="B145" s="73" t="s">
        <v>12</v>
      </c>
      <c r="C145" s="73" t="s">
        <v>249</v>
      </c>
      <c r="D145" s="73" t="s">
        <v>105</v>
      </c>
      <c r="E145" s="73" t="s">
        <v>100</v>
      </c>
      <c r="F145" s="84" t="s">
        <v>250</v>
      </c>
      <c r="G145" s="84"/>
      <c r="H145" s="84"/>
      <c r="I145" s="84"/>
      <c r="J145" s="75" t="s">
        <v>47</v>
      </c>
      <c r="K145" s="31" t="s">
        <v>251</v>
      </c>
      <c r="L145" s="94"/>
      <c r="M145" s="94"/>
      <c r="N145" s="25"/>
      <c r="O145" s="26"/>
      <c r="P145" s="26"/>
      <c r="Q145" s="26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25" t="s">
        <v>252</v>
      </c>
      <c r="AO145" s="33"/>
      <c r="AP145" s="25"/>
      <c r="AQ145" s="33"/>
      <c r="AR145" s="31"/>
      <c r="AS145" s="33"/>
      <c r="AT145" s="25"/>
      <c r="AU145" s="75"/>
      <c r="AV145" s="75"/>
      <c r="AW145" s="41"/>
      <c r="AX145" s="94"/>
      <c r="AY145" s="94"/>
      <c r="AZ145" s="94"/>
      <c r="BA145" s="94"/>
      <c r="BB145" s="94"/>
      <c r="BC145" s="94"/>
      <c r="BD145" s="94"/>
      <c r="BE145" s="75"/>
      <c r="BF145" s="94"/>
      <c r="BG145" s="94"/>
      <c r="BH145" s="94"/>
      <c r="BI145" s="94"/>
      <c r="BJ145" s="75" t="s">
        <v>253</v>
      </c>
      <c r="BK145" s="76">
        <v>12.65</v>
      </c>
      <c r="BL145" s="102" t="s">
        <v>254</v>
      </c>
      <c r="BM145" s="102" t="s">
        <v>255</v>
      </c>
      <c r="BN145" s="103">
        <v>10.8</v>
      </c>
      <c r="BO145" s="103">
        <v>8.75</v>
      </c>
      <c r="BP145" s="103">
        <v>0.75</v>
      </c>
      <c r="BQ145" s="36"/>
      <c r="BR145" s="36"/>
      <c r="BS145" s="77">
        <f>0.08</f>
        <v>0.08</v>
      </c>
      <c r="BT145" s="74">
        <f>9.46+0.036</f>
        <v>9.4960000000000004</v>
      </c>
      <c r="BU145" s="74">
        <f>1.156+0.036</f>
        <v>1.1919999999999999</v>
      </c>
      <c r="BV145" s="74">
        <f>10.843+0.072</f>
        <v>10.914999999999999</v>
      </c>
      <c r="BW145" s="91">
        <f t="shared" si="26"/>
        <v>7.1498505370370377E-2</v>
      </c>
      <c r="BX145" s="78">
        <f>0.15</f>
        <v>0.15</v>
      </c>
      <c r="BY145" s="93">
        <v>11.25</v>
      </c>
      <c r="BZ145" s="93">
        <v>8</v>
      </c>
      <c r="CA145" s="93">
        <v>11.5</v>
      </c>
      <c r="CB145" s="91">
        <f t="shared" si="27"/>
        <v>0.59895833333333337</v>
      </c>
      <c r="CC145" s="120">
        <v>0.53</v>
      </c>
      <c r="CD145" s="120"/>
      <c r="CE145" s="120"/>
      <c r="CF145" s="104" t="s">
        <v>134</v>
      </c>
      <c r="CG145" s="72">
        <v>6</v>
      </c>
      <c r="CH145" s="72">
        <v>20</v>
      </c>
      <c r="CI145" s="72">
        <v>3</v>
      </c>
      <c r="CJ145" s="27">
        <f t="shared" si="25"/>
        <v>360</v>
      </c>
      <c r="CK145" s="27">
        <f t="shared" si="28"/>
        <v>164.6</v>
      </c>
      <c r="CL145" s="72" t="s">
        <v>256</v>
      </c>
      <c r="CM145" s="79" t="s">
        <v>136</v>
      </c>
      <c r="CN145" s="71"/>
      <c r="CO145" s="71"/>
    </row>
    <row r="146" spans="1:95" s="1" customFormat="1" x14ac:dyDescent="0.25">
      <c r="A146" s="87">
        <v>42395</v>
      </c>
      <c r="B146" s="72" t="s">
        <v>12</v>
      </c>
      <c r="C146" s="72" t="s">
        <v>257</v>
      </c>
      <c r="D146" s="73" t="s">
        <v>105</v>
      </c>
      <c r="E146" s="73" t="s">
        <v>100</v>
      </c>
      <c r="F146" s="46" t="s">
        <v>258</v>
      </c>
      <c r="G146" s="46"/>
      <c r="H146" s="46"/>
      <c r="I146" s="46"/>
      <c r="J146" s="75" t="s">
        <v>107</v>
      </c>
      <c r="K146" s="41">
        <v>22808781</v>
      </c>
      <c r="L146" s="94"/>
      <c r="M146" s="94"/>
      <c r="N146" s="25"/>
      <c r="O146" s="26"/>
      <c r="P146" s="26"/>
      <c r="Q146" s="26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25" t="s">
        <v>259</v>
      </c>
      <c r="AO146" s="33"/>
      <c r="AP146" s="25"/>
      <c r="AQ146" s="33"/>
      <c r="AR146" s="31"/>
      <c r="AS146" s="33"/>
      <c r="AT146" s="25"/>
      <c r="AU146" s="75"/>
      <c r="AV146" s="94"/>
      <c r="AW146" s="41"/>
      <c r="AX146" s="94"/>
      <c r="AY146" s="94"/>
      <c r="AZ146" s="94"/>
      <c r="BA146" s="94"/>
      <c r="BB146" s="94"/>
      <c r="BC146" s="75"/>
      <c r="BD146" s="94"/>
      <c r="BE146" s="75"/>
      <c r="BF146" s="94"/>
      <c r="BG146" s="94"/>
      <c r="BH146" s="94"/>
      <c r="BI146" s="94"/>
      <c r="BJ146" s="75" t="s">
        <v>260</v>
      </c>
      <c r="BK146" s="76">
        <v>22.14</v>
      </c>
      <c r="BL146" s="45" t="s">
        <v>261</v>
      </c>
      <c r="BM146" s="45" t="s">
        <v>262</v>
      </c>
      <c r="BN146" s="103">
        <v>9.17</v>
      </c>
      <c r="BO146" s="103">
        <v>9.8000000000000007</v>
      </c>
      <c r="BP146" s="103">
        <v>1.18</v>
      </c>
      <c r="BQ146" s="36"/>
      <c r="BR146" s="36"/>
      <c r="BS146" s="80">
        <f>0.35</f>
        <v>0.35</v>
      </c>
      <c r="BT146" s="116">
        <f>10.031+0.018+0.018</f>
        <v>10.067000000000002</v>
      </c>
      <c r="BU146" s="116">
        <f>1.61+0.018+0.018</f>
        <v>1.6460000000000001</v>
      </c>
      <c r="BV146" s="116">
        <f>10.625+(4*0.018)</f>
        <v>10.696999999999999</v>
      </c>
      <c r="BW146" s="91">
        <f t="shared" si="26"/>
        <v>0.10257656629282409</v>
      </c>
      <c r="BX146" s="81">
        <f>0.15</f>
        <v>0.15</v>
      </c>
      <c r="BY146" s="116">
        <v>12</v>
      </c>
      <c r="BZ146" s="116">
        <v>10.37</v>
      </c>
      <c r="CA146" s="116">
        <v>10.62</v>
      </c>
      <c r="CB146" s="91">
        <f t="shared" si="27"/>
        <v>0.76478749999999995</v>
      </c>
      <c r="CC146" s="120">
        <v>0.66</v>
      </c>
      <c r="CD146" s="120"/>
      <c r="CE146" s="120"/>
      <c r="CF146" s="72" t="s">
        <v>134</v>
      </c>
      <c r="CG146" s="72">
        <v>6</v>
      </c>
      <c r="CH146" s="72">
        <v>12</v>
      </c>
      <c r="CI146" s="72">
        <v>4</v>
      </c>
      <c r="CJ146" s="27">
        <f t="shared" si="25"/>
        <v>288</v>
      </c>
      <c r="CK146" s="27">
        <f t="shared" si="28"/>
        <v>225.68</v>
      </c>
      <c r="CL146" s="27" t="s">
        <v>139</v>
      </c>
      <c r="CM146" s="79" t="s">
        <v>140</v>
      </c>
      <c r="CN146" s="71"/>
      <c r="CO146" s="71"/>
    </row>
    <row r="147" spans="1:95" s="1" customFormat="1" x14ac:dyDescent="0.25">
      <c r="A147" s="87">
        <v>42395</v>
      </c>
      <c r="B147" s="74" t="s">
        <v>12</v>
      </c>
      <c r="C147" s="73" t="s">
        <v>263</v>
      </c>
      <c r="D147" s="73" t="s">
        <v>105</v>
      </c>
      <c r="E147" s="73" t="s">
        <v>100</v>
      </c>
      <c r="F147" s="89" t="s">
        <v>264</v>
      </c>
      <c r="G147" s="89"/>
      <c r="H147" s="89"/>
      <c r="I147" s="89"/>
      <c r="J147" s="41" t="s">
        <v>102</v>
      </c>
      <c r="K147" s="85" t="s">
        <v>103</v>
      </c>
      <c r="L147" s="94"/>
      <c r="M147" s="94"/>
      <c r="N147" s="25"/>
      <c r="O147" s="26"/>
      <c r="P147" s="26"/>
      <c r="Q147" s="26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25"/>
      <c r="AO147" s="33"/>
      <c r="AP147" s="25"/>
      <c r="AQ147" s="33"/>
      <c r="AR147" s="31"/>
      <c r="AS147" s="33"/>
      <c r="AT147" s="25"/>
      <c r="AU147" s="75"/>
      <c r="AV147" s="94"/>
      <c r="AW147" s="41"/>
      <c r="AX147" s="94"/>
      <c r="AY147" s="94"/>
      <c r="AZ147" s="94"/>
      <c r="BA147" s="94"/>
      <c r="BB147" s="94"/>
      <c r="BC147" s="94"/>
      <c r="BD147" s="94"/>
      <c r="BE147" s="31"/>
      <c r="BF147" s="94"/>
      <c r="BG147" s="94"/>
      <c r="BH147" s="94"/>
      <c r="BI147" s="94"/>
      <c r="BJ147" s="75">
        <v>49525</v>
      </c>
      <c r="BK147" s="76">
        <v>28.77</v>
      </c>
      <c r="BL147" s="45" t="s">
        <v>265</v>
      </c>
      <c r="BM147" s="45" t="s">
        <v>266</v>
      </c>
      <c r="BN147" s="103">
        <v>7.76</v>
      </c>
      <c r="BO147" s="103">
        <v>7.56</v>
      </c>
      <c r="BP147" s="103">
        <v>1.18</v>
      </c>
      <c r="BQ147" s="36"/>
      <c r="BR147" s="36"/>
      <c r="BS147" s="77">
        <v>0.3</v>
      </c>
      <c r="BT147" s="91">
        <f>8.063+0.036</f>
        <v>8.0990000000000002</v>
      </c>
      <c r="BU147" s="91">
        <f>1.375+0.036</f>
        <v>1.411</v>
      </c>
      <c r="BV147" s="91">
        <f>9.063+0.072</f>
        <v>9.1349999999999998</v>
      </c>
      <c r="BW147" s="91">
        <f t="shared" si="26"/>
        <v>6.0412001744791673E-2</v>
      </c>
      <c r="BX147" s="78">
        <v>0.12</v>
      </c>
      <c r="BY147" s="93">
        <v>11</v>
      </c>
      <c r="BZ147" s="93">
        <v>9</v>
      </c>
      <c r="CA147" s="93">
        <v>9.25</v>
      </c>
      <c r="CB147" s="91">
        <f t="shared" si="27"/>
        <v>0.52994791666666663</v>
      </c>
      <c r="CC147" s="120">
        <v>0.51</v>
      </c>
      <c r="CD147" s="120"/>
      <c r="CE147" s="120"/>
      <c r="CF147" s="104" t="s">
        <v>134</v>
      </c>
      <c r="CG147" s="27">
        <v>6</v>
      </c>
      <c r="CH147" s="27">
        <v>18</v>
      </c>
      <c r="CI147" s="27">
        <v>4</v>
      </c>
      <c r="CJ147" s="27">
        <f t="shared" si="25"/>
        <v>432</v>
      </c>
      <c r="CK147" s="27">
        <f t="shared" si="28"/>
        <v>268.16000000000003</v>
      </c>
      <c r="CL147" s="27" t="s">
        <v>139</v>
      </c>
      <c r="CM147" s="88" t="s">
        <v>140</v>
      </c>
      <c r="CN147" s="71"/>
      <c r="CO147" s="71"/>
    </row>
    <row r="148" spans="1:95" s="1" customFormat="1" ht="15" customHeight="1" x14ac:dyDescent="0.25">
      <c r="A148" s="87">
        <v>42395</v>
      </c>
      <c r="B148" s="73" t="s">
        <v>12</v>
      </c>
      <c r="C148" s="73" t="s">
        <v>267</v>
      </c>
      <c r="D148" s="73" t="s">
        <v>105</v>
      </c>
      <c r="E148" s="73" t="s">
        <v>100</v>
      </c>
      <c r="F148" s="84" t="s">
        <v>268</v>
      </c>
      <c r="G148" s="84"/>
      <c r="H148" s="84"/>
      <c r="I148" s="84"/>
      <c r="J148" s="41" t="s">
        <v>269</v>
      </c>
      <c r="K148" s="85" t="s">
        <v>270</v>
      </c>
      <c r="L148" s="94"/>
      <c r="M148" s="94"/>
      <c r="N148" s="25"/>
      <c r="O148" s="26"/>
      <c r="P148" s="26"/>
      <c r="Q148" s="26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25"/>
      <c r="AO148" s="33"/>
      <c r="AP148" s="25"/>
      <c r="AQ148" s="33"/>
      <c r="AR148" s="31"/>
      <c r="AS148" s="33"/>
      <c r="AT148" s="25"/>
      <c r="AU148" s="75" t="s">
        <v>271</v>
      </c>
      <c r="AV148" s="94"/>
      <c r="AW148" s="41"/>
      <c r="AX148" s="94"/>
      <c r="AY148" s="94"/>
      <c r="AZ148" s="94"/>
      <c r="BA148" s="94"/>
      <c r="BB148" s="94"/>
      <c r="BC148" s="94"/>
      <c r="BD148" s="94"/>
      <c r="BE148" s="31"/>
      <c r="BF148" s="94"/>
      <c r="BG148" s="94" t="s">
        <v>272</v>
      </c>
      <c r="BH148" s="94"/>
      <c r="BI148" s="94" t="s">
        <v>273</v>
      </c>
      <c r="BJ148" s="75">
        <v>24270</v>
      </c>
      <c r="BK148" s="76">
        <v>18.77</v>
      </c>
      <c r="BL148" s="45" t="s">
        <v>274</v>
      </c>
      <c r="BM148" s="45" t="s">
        <v>275</v>
      </c>
      <c r="BN148" s="103">
        <v>9.7799999999999994</v>
      </c>
      <c r="BO148" s="103">
        <v>6.75</v>
      </c>
      <c r="BP148" s="103">
        <v>0.77</v>
      </c>
      <c r="BQ148" s="36"/>
      <c r="BR148" s="36"/>
      <c r="BS148" s="77">
        <v>0.35</v>
      </c>
      <c r="BT148" s="91">
        <f>6.75+0.036</f>
        <v>6.7859999999999996</v>
      </c>
      <c r="BU148" s="91">
        <f>1.75+0.036</f>
        <v>1.786</v>
      </c>
      <c r="BV148" s="91">
        <v>10.071999999999999</v>
      </c>
      <c r="BW148" s="91">
        <f t="shared" si="26"/>
        <v>7.0642699833333322E-2</v>
      </c>
      <c r="BX148" s="78">
        <v>0.13</v>
      </c>
      <c r="BY148" s="93">
        <v>11.75</v>
      </c>
      <c r="BZ148" s="93">
        <v>10.5</v>
      </c>
      <c r="CA148" s="93">
        <f>6.875+0.5</f>
        <v>7.375</v>
      </c>
      <c r="CB148" s="91">
        <f t="shared" si="27"/>
        <v>0.52655707465277779</v>
      </c>
      <c r="CC148" s="120">
        <v>0.56000000000000005</v>
      </c>
      <c r="CD148" s="120"/>
      <c r="CE148" s="120"/>
      <c r="CF148" s="104" t="s">
        <v>134</v>
      </c>
      <c r="CG148" s="72">
        <v>6</v>
      </c>
      <c r="CH148" s="72">
        <v>12</v>
      </c>
      <c r="CI148" s="72">
        <v>6</v>
      </c>
      <c r="CJ148" s="27">
        <f t="shared" si="25"/>
        <v>432</v>
      </c>
      <c r="CK148" s="27">
        <f t="shared" si="28"/>
        <v>297.68</v>
      </c>
      <c r="CL148" s="27" t="s">
        <v>139</v>
      </c>
      <c r="CM148" s="88" t="s">
        <v>140</v>
      </c>
      <c r="CN148" s="71"/>
      <c r="CO148" s="71"/>
    </row>
    <row r="149" spans="1:95" s="1" customFormat="1" x14ac:dyDescent="0.25">
      <c r="A149" s="87">
        <v>42395</v>
      </c>
      <c r="B149" s="73" t="s">
        <v>12</v>
      </c>
      <c r="C149" s="73" t="s">
        <v>276</v>
      </c>
      <c r="D149" s="73" t="s">
        <v>105</v>
      </c>
      <c r="E149" s="73" t="s">
        <v>100</v>
      </c>
      <c r="F149" s="84" t="s">
        <v>277</v>
      </c>
      <c r="G149" s="84"/>
      <c r="H149" s="84"/>
      <c r="I149" s="84"/>
      <c r="J149" s="41" t="s">
        <v>278</v>
      </c>
      <c r="K149" s="85" t="s">
        <v>279</v>
      </c>
      <c r="L149" s="94"/>
      <c r="M149" s="94"/>
      <c r="N149" s="25"/>
      <c r="O149" s="26"/>
      <c r="P149" s="26"/>
      <c r="Q149" s="26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25"/>
      <c r="AO149" s="33"/>
      <c r="AP149" s="25"/>
      <c r="AQ149" s="33"/>
      <c r="AR149" s="31"/>
      <c r="AS149" s="33"/>
      <c r="AT149" s="25"/>
      <c r="AU149" s="75"/>
      <c r="AV149" s="94"/>
      <c r="AW149" s="41"/>
      <c r="AX149" s="94"/>
      <c r="AY149" s="94"/>
      <c r="AZ149" s="94"/>
      <c r="BA149" s="94"/>
      <c r="BB149" s="94"/>
      <c r="BC149" s="94"/>
      <c r="BD149" s="94"/>
      <c r="BE149" s="31" t="s">
        <v>280</v>
      </c>
      <c r="BF149" s="94"/>
      <c r="BG149" s="94"/>
      <c r="BH149" s="94"/>
      <c r="BI149" s="94"/>
      <c r="BJ149" s="75">
        <v>49361</v>
      </c>
      <c r="BK149" s="76">
        <v>82.48</v>
      </c>
      <c r="BL149" s="102" t="s">
        <v>281</v>
      </c>
      <c r="BM149" s="102" t="s">
        <v>282</v>
      </c>
      <c r="BN149" s="103">
        <v>15.94</v>
      </c>
      <c r="BO149" s="103">
        <v>8.35</v>
      </c>
      <c r="BP149" s="103">
        <v>2.2799999999999998</v>
      </c>
      <c r="BQ149" s="36"/>
      <c r="BR149" s="36"/>
      <c r="BS149" s="77">
        <v>1.19</v>
      </c>
      <c r="BT149" s="91">
        <f>9.75+0.036</f>
        <v>9.7859999999999996</v>
      </c>
      <c r="BU149" s="91">
        <f>3.75+0.036</f>
        <v>3.786</v>
      </c>
      <c r="BV149" s="91">
        <f>20.072</f>
        <v>20.071999999999999</v>
      </c>
      <c r="BW149" s="91">
        <f t="shared" si="26"/>
        <v>0.43036082483333332</v>
      </c>
      <c r="BX149" s="78">
        <v>0.4</v>
      </c>
      <c r="BY149" s="93">
        <v>23.5</v>
      </c>
      <c r="BZ149" s="93">
        <v>10.5</v>
      </c>
      <c r="CA149" s="93">
        <v>20.62</v>
      </c>
      <c r="CB149" s="91">
        <f t="shared" si="27"/>
        <v>2.9444357638888894</v>
      </c>
      <c r="CC149" s="120">
        <v>1.52</v>
      </c>
      <c r="CD149" s="120"/>
      <c r="CE149" s="120"/>
      <c r="CF149" s="104" t="s">
        <v>134</v>
      </c>
      <c r="CG149" s="72">
        <v>6</v>
      </c>
      <c r="CH149" s="72">
        <v>6</v>
      </c>
      <c r="CI149" s="72">
        <v>2</v>
      </c>
      <c r="CJ149" s="27">
        <f t="shared" si="25"/>
        <v>72</v>
      </c>
      <c r="CK149" s="27">
        <f t="shared" si="28"/>
        <v>182.71999999999997</v>
      </c>
      <c r="CL149" s="27" t="s">
        <v>139</v>
      </c>
      <c r="CM149" s="88" t="s">
        <v>140</v>
      </c>
      <c r="CN149" s="71"/>
      <c r="CO149" s="71"/>
    </row>
    <row r="150" spans="1:95" s="1" customFormat="1" x14ac:dyDescent="0.25">
      <c r="A150" s="87">
        <v>42395</v>
      </c>
      <c r="B150" s="74" t="s">
        <v>12</v>
      </c>
      <c r="C150" s="73" t="s">
        <v>283</v>
      </c>
      <c r="D150" s="73" t="s">
        <v>105</v>
      </c>
      <c r="E150" s="73" t="s">
        <v>100</v>
      </c>
      <c r="F150" s="84" t="s">
        <v>284</v>
      </c>
      <c r="G150" s="84"/>
      <c r="H150" s="84"/>
      <c r="I150" s="84"/>
      <c r="J150" s="41" t="s">
        <v>269</v>
      </c>
      <c r="K150" s="85" t="s">
        <v>285</v>
      </c>
      <c r="L150" s="94"/>
      <c r="M150" s="94"/>
      <c r="N150" s="25"/>
      <c r="O150" s="26"/>
      <c r="P150" s="26"/>
      <c r="Q150" s="26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25"/>
      <c r="AO150" s="33"/>
      <c r="AP150" s="25"/>
      <c r="AQ150" s="33"/>
      <c r="AR150" s="31"/>
      <c r="AS150" s="33"/>
      <c r="AT150" s="25"/>
      <c r="AU150" s="75" t="s">
        <v>286</v>
      </c>
      <c r="AV150" s="94"/>
      <c r="AW150" s="41"/>
      <c r="AX150" s="94"/>
      <c r="AY150" s="94"/>
      <c r="AZ150" s="94"/>
      <c r="BA150" s="94"/>
      <c r="BB150" s="94" t="s">
        <v>283</v>
      </c>
      <c r="BC150" s="94"/>
      <c r="BD150" s="94"/>
      <c r="BE150" s="31" t="s">
        <v>287</v>
      </c>
      <c r="BF150" s="94" t="s">
        <v>283</v>
      </c>
      <c r="BG150" s="94" t="s">
        <v>287</v>
      </c>
      <c r="BH150" s="94"/>
      <c r="BI150" s="94" t="s">
        <v>288</v>
      </c>
      <c r="BJ150" s="75">
        <v>24015</v>
      </c>
      <c r="BK150" s="76">
        <v>21.48</v>
      </c>
      <c r="BL150" s="45" t="s">
        <v>289</v>
      </c>
      <c r="BM150" s="45" t="s">
        <v>290</v>
      </c>
      <c r="BN150" s="103">
        <v>8.94</v>
      </c>
      <c r="BO150" s="103">
        <v>10.31</v>
      </c>
      <c r="BP150" s="103">
        <v>1.34</v>
      </c>
      <c r="BQ150" s="36"/>
      <c r="BR150" s="36"/>
      <c r="BS150" s="77">
        <v>0.21</v>
      </c>
      <c r="BT150" s="74">
        <v>9.0359999999999996</v>
      </c>
      <c r="BU150" s="74">
        <v>2.036</v>
      </c>
      <c r="BV150" s="74">
        <v>11.571999999999999</v>
      </c>
      <c r="BW150" s="91">
        <f t="shared" si="26"/>
        <v>0.12320226233333333</v>
      </c>
      <c r="BX150" s="78">
        <v>0.21</v>
      </c>
      <c r="BY150" s="121">
        <v>13</v>
      </c>
      <c r="BZ150" s="122">
        <v>9.75</v>
      </c>
      <c r="CA150" s="122">
        <f>11.62+0.5</f>
        <v>12.12</v>
      </c>
      <c r="CB150" s="123">
        <f t="shared" si="27"/>
        <v>0.88901041666666658</v>
      </c>
      <c r="CC150" s="124">
        <v>0.81</v>
      </c>
      <c r="CD150" s="124"/>
      <c r="CE150" s="124"/>
      <c r="CF150" s="104" t="s">
        <v>134</v>
      </c>
      <c r="CG150" s="72">
        <v>6</v>
      </c>
      <c r="CH150" s="72">
        <v>14</v>
      </c>
      <c r="CI150" s="72">
        <v>3</v>
      </c>
      <c r="CJ150" s="27">
        <f t="shared" si="25"/>
        <v>252</v>
      </c>
      <c r="CK150" s="27">
        <f t="shared" si="28"/>
        <v>189.86</v>
      </c>
      <c r="CL150" s="72" t="s">
        <v>139</v>
      </c>
      <c r="CM150" s="88" t="s">
        <v>140</v>
      </c>
      <c r="CN150" s="71"/>
      <c r="CO150" s="71"/>
    </row>
    <row r="151" spans="1:95" s="1" customFormat="1" x14ac:dyDescent="0.25">
      <c r="A151" s="87">
        <v>42395</v>
      </c>
      <c r="B151" s="74" t="s">
        <v>12</v>
      </c>
      <c r="C151" s="72" t="s">
        <v>291</v>
      </c>
      <c r="D151" s="73" t="s">
        <v>105</v>
      </c>
      <c r="E151" s="73" t="s">
        <v>100</v>
      </c>
      <c r="F151" s="84" t="s">
        <v>292</v>
      </c>
      <c r="G151" s="84"/>
      <c r="H151" s="84"/>
      <c r="I151" s="84"/>
      <c r="J151" s="41" t="s">
        <v>293</v>
      </c>
      <c r="K151" s="85" t="s">
        <v>294</v>
      </c>
      <c r="L151" s="94"/>
      <c r="M151" s="94"/>
      <c r="N151" s="25"/>
      <c r="O151" s="26"/>
      <c r="P151" s="26"/>
      <c r="Q151" s="26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25" t="s">
        <v>295</v>
      </c>
      <c r="AO151" s="33"/>
      <c r="AP151" s="25"/>
      <c r="AQ151" s="33"/>
      <c r="AR151" s="31"/>
      <c r="AS151" s="33"/>
      <c r="AT151" s="25"/>
      <c r="AU151" s="75"/>
      <c r="AV151" s="94"/>
      <c r="AW151" s="41"/>
      <c r="AX151" s="94"/>
      <c r="AY151" s="94"/>
      <c r="AZ151" s="94"/>
      <c r="BA151" s="94"/>
      <c r="BB151" s="94"/>
      <c r="BC151" s="94"/>
      <c r="BD151" s="94"/>
      <c r="BE151" s="31" t="s">
        <v>296</v>
      </c>
      <c r="BF151" s="94"/>
      <c r="BG151" s="94"/>
      <c r="BH151" s="94"/>
      <c r="BI151" s="94"/>
      <c r="BJ151" s="75">
        <v>24487</v>
      </c>
      <c r="BK151" s="76">
        <v>25.67</v>
      </c>
      <c r="BL151" s="102" t="s">
        <v>297</v>
      </c>
      <c r="BM151" s="45" t="s">
        <v>298</v>
      </c>
      <c r="BN151" s="103">
        <v>5.05</v>
      </c>
      <c r="BO151" s="103">
        <v>8.83</v>
      </c>
      <c r="BP151" s="103">
        <v>0.86599999999999999</v>
      </c>
      <c r="BQ151" s="36"/>
      <c r="BR151" s="36"/>
      <c r="BS151" s="81">
        <f>0.29*2</f>
        <v>0.57999999999999996</v>
      </c>
      <c r="BT151" s="116">
        <f>5.59+0.036</f>
        <v>5.6259999999999994</v>
      </c>
      <c r="BU151" s="116">
        <v>2.036</v>
      </c>
      <c r="BV151" s="116">
        <f>9.62+0.036+0.036</f>
        <v>9.6919999999999984</v>
      </c>
      <c r="BW151" s="91">
        <f t="shared" si="26"/>
        <v>6.424615909259257E-2</v>
      </c>
      <c r="BX151" s="81">
        <v>0.09</v>
      </c>
      <c r="BY151" s="116">
        <v>13.25</v>
      </c>
      <c r="BZ151" s="116">
        <v>10</v>
      </c>
      <c r="CA151" s="116">
        <v>6.25</v>
      </c>
      <c r="CB151" s="91">
        <f t="shared" si="27"/>
        <v>0.47923900462962965</v>
      </c>
      <c r="CC151" s="120">
        <v>0.59</v>
      </c>
      <c r="CD151" s="120"/>
      <c r="CE151" s="120"/>
      <c r="CF151" s="72" t="s">
        <v>134</v>
      </c>
      <c r="CG151" s="72">
        <v>6</v>
      </c>
      <c r="CH151" s="72">
        <v>14</v>
      </c>
      <c r="CI151" s="72">
        <v>7</v>
      </c>
      <c r="CJ151" s="27">
        <f t="shared" si="25"/>
        <v>588</v>
      </c>
      <c r="CK151" s="27">
        <f t="shared" si="28"/>
        <v>501.78</v>
      </c>
      <c r="CL151" s="27" t="s">
        <v>139</v>
      </c>
      <c r="CM151" s="88" t="s">
        <v>140</v>
      </c>
      <c r="CN151" s="71"/>
      <c r="CO151" s="71"/>
    </row>
    <row r="152" spans="1:95" s="1" customFormat="1" x14ac:dyDescent="0.25">
      <c r="A152" s="87">
        <v>42395</v>
      </c>
      <c r="B152" s="73" t="s">
        <v>12</v>
      </c>
      <c r="C152" s="73" t="s">
        <v>299</v>
      </c>
      <c r="D152" s="73" t="s">
        <v>105</v>
      </c>
      <c r="E152" s="73" t="s">
        <v>300</v>
      </c>
      <c r="F152" s="125" t="s">
        <v>301</v>
      </c>
      <c r="G152" s="125"/>
      <c r="H152" s="125"/>
      <c r="I152" s="125"/>
      <c r="J152" s="126" t="s">
        <v>108</v>
      </c>
      <c r="K152" s="127" t="s">
        <v>302</v>
      </c>
      <c r="L152" s="94"/>
      <c r="M152" s="94"/>
      <c r="N152" s="25"/>
      <c r="O152" s="26"/>
      <c r="P152" s="26"/>
      <c r="Q152" s="26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25"/>
      <c r="AO152" s="33"/>
      <c r="AP152" s="25"/>
      <c r="AQ152" s="33"/>
      <c r="AR152" s="31"/>
      <c r="AS152" s="33"/>
      <c r="AT152" s="25"/>
      <c r="AU152" s="75" t="s">
        <v>303</v>
      </c>
      <c r="AV152" s="94"/>
      <c r="AW152" s="41"/>
      <c r="AX152" s="94"/>
      <c r="AY152" s="94"/>
      <c r="AZ152" s="94"/>
      <c r="BA152" s="94"/>
      <c r="BB152" s="94"/>
      <c r="BC152" s="94"/>
      <c r="BD152" s="94"/>
      <c r="BE152" s="31" t="s">
        <v>304</v>
      </c>
      <c r="BF152" s="94"/>
      <c r="BG152" s="94" t="s">
        <v>305</v>
      </c>
      <c r="BH152" s="94"/>
      <c r="BI152" s="94" t="s">
        <v>306</v>
      </c>
      <c r="BJ152" s="75">
        <v>49830</v>
      </c>
      <c r="BK152" s="128">
        <v>22.5</v>
      </c>
      <c r="BL152" s="102" t="s">
        <v>307</v>
      </c>
      <c r="BM152" s="102" t="s">
        <v>308</v>
      </c>
      <c r="BN152" s="103">
        <v>12.32</v>
      </c>
      <c r="BO152" s="103">
        <v>10.98</v>
      </c>
      <c r="BP152" s="103">
        <v>1.67</v>
      </c>
      <c r="BQ152" s="36"/>
      <c r="BR152" s="36"/>
      <c r="BS152" s="77">
        <v>0.72</v>
      </c>
      <c r="BT152" s="129">
        <f>13.31+0.036</f>
        <v>13.346</v>
      </c>
      <c r="BU152" s="91">
        <f>2.87+0.036</f>
        <v>2.9060000000000001</v>
      </c>
      <c r="BV152" s="91">
        <f>13.31+0.072</f>
        <v>13.382</v>
      </c>
      <c r="BW152" s="91">
        <f t="shared" si="26"/>
        <v>0.30034749758796297</v>
      </c>
      <c r="BX152" s="78">
        <v>0.36</v>
      </c>
      <c r="BY152" s="93">
        <v>14.5</v>
      </c>
      <c r="BZ152" s="93">
        <v>14.25</v>
      </c>
      <c r="CA152" s="93">
        <v>9.5</v>
      </c>
      <c r="CB152" s="91">
        <f t="shared" si="27"/>
        <v>1.1359592013888888</v>
      </c>
      <c r="CC152" s="120">
        <v>0.99</v>
      </c>
      <c r="CD152" s="120"/>
      <c r="CE152" s="120"/>
      <c r="CF152" s="104" t="s">
        <v>134</v>
      </c>
      <c r="CG152" s="72">
        <v>3</v>
      </c>
      <c r="CH152" s="72">
        <v>6</v>
      </c>
      <c r="CI152" s="72">
        <v>4</v>
      </c>
      <c r="CJ152" s="27">
        <f t="shared" si="25"/>
        <v>72</v>
      </c>
      <c r="CK152" s="27">
        <f t="shared" si="28"/>
        <v>151.52000000000001</v>
      </c>
      <c r="CL152" s="72" t="s">
        <v>135</v>
      </c>
      <c r="CM152" s="79" t="s">
        <v>136</v>
      </c>
      <c r="CN152" s="71"/>
      <c r="CO152" s="71"/>
    </row>
    <row r="153" spans="1:95" s="1" customFormat="1" x14ac:dyDescent="0.25">
      <c r="A153" s="87">
        <v>42395</v>
      </c>
      <c r="B153" s="73" t="s">
        <v>12</v>
      </c>
      <c r="C153" s="72" t="s">
        <v>309</v>
      </c>
      <c r="D153" s="73" t="s">
        <v>105</v>
      </c>
      <c r="E153" s="130" t="s">
        <v>310</v>
      </c>
      <c r="F153" s="84" t="s">
        <v>311</v>
      </c>
      <c r="G153" s="84"/>
      <c r="H153" s="84"/>
      <c r="I153" s="84"/>
      <c r="J153" s="75" t="s">
        <v>278</v>
      </c>
      <c r="K153" s="85" t="s">
        <v>312</v>
      </c>
      <c r="L153" s="131"/>
      <c r="M153" s="94"/>
      <c r="N153" s="25"/>
      <c r="O153" s="26"/>
      <c r="P153" s="26"/>
      <c r="Q153" s="26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25"/>
      <c r="AO153" s="33"/>
      <c r="AP153" s="25"/>
      <c r="AQ153" s="33"/>
      <c r="AR153" s="31"/>
      <c r="AS153" s="33"/>
      <c r="AT153" s="25" t="s">
        <v>313</v>
      </c>
      <c r="AU153" s="75"/>
      <c r="AV153" s="94"/>
      <c r="AW153" s="41"/>
      <c r="AX153" s="94"/>
      <c r="AY153" s="94"/>
      <c r="AZ153" s="94"/>
      <c r="BA153" s="94"/>
      <c r="BB153" s="94"/>
      <c r="BC153" s="75"/>
      <c r="BD153" s="94"/>
      <c r="BE153" s="24"/>
      <c r="BF153" s="94"/>
      <c r="BG153" s="94"/>
      <c r="BH153" s="94"/>
      <c r="BI153" s="94"/>
      <c r="BJ153" s="132">
        <v>57161</v>
      </c>
      <c r="BK153" s="76">
        <v>25.72</v>
      </c>
      <c r="BL153" s="45" t="s">
        <v>314</v>
      </c>
      <c r="BM153" s="45" t="s">
        <v>315</v>
      </c>
      <c r="BN153" s="36"/>
      <c r="BO153" s="36"/>
      <c r="BP153" s="36"/>
      <c r="BQ153" s="133">
        <v>2.98</v>
      </c>
      <c r="BR153" s="133">
        <v>7.87</v>
      </c>
      <c r="BS153" s="80">
        <f>0.28</f>
        <v>0.28000000000000003</v>
      </c>
      <c r="BT153" s="134">
        <f>3.81+0.036</f>
        <v>3.8460000000000001</v>
      </c>
      <c r="BU153" s="116">
        <f>3.81+0.036</f>
        <v>3.8460000000000001</v>
      </c>
      <c r="BV153" s="116">
        <f>8+(4*0.018)</f>
        <v>8.0719999999999992</v>
      </c>
      <c r="BW153" s="91">
        <f t="shared" si="26"/>
        <v>6.9096488166666664E-2</v>
      </c>
      <c r="BX153" s="81">
        <f>0.09</f>
        <v>0.09</v>
      </c>
      <c r="BY153" s="116">
        <f>15.56+0.25</f>
        <v>15.81</v>
      </c>
      <c r="BZ153" s="116">
        <f>11.68+0.25</f>
        <v>11.93</v>
      </c>
      <c r="CA153" s="116">
        <v>8.6199999999999992</v>
      </c>
      <c r="CB153" s="91">
        <f t="shared" si="27"/>
        <v>0.94088347569444442</v>
      </c>
      <c r="CC153" s="120">
        <v>0.87</v>
      </c>
      <c r="CD153" s="120"/>
      <c r="CE153" s="120"/>
      <c r="CF153" s="72" t="s">
        <v>134</v>
      </c>
      <c r="CG153" s="72">
        <v>12</v>
      </c>
      <c r="CH153" s="72">
        <v>10</v>
      </c>
      <c r="CI153" s="72">
        <v>5</v>
      </c>
      <c r="CJ153" s="27">
        <f t="shared" si="25"/>
        <v>600</v>
      </c>
      <c r="CK153" s="27">
        <f t="shared" si="28"/>
        <v>315.5</v>
      </c>
      <c r="CL153" s="27" t="s">
        <v>316</v>
      </c>
      <c r="CM153" s="27" t="s">
        <v>150</v>
      </c>
      <c r="CN153" s="71"/>
      <c r="CO153" s="71"/>
    </row>
    <row r="154" spans="1:95" s="1" customFormat="1" x14ac:dyDescent="0.25">
      <c r="A154" s="87">
        <v>42395</v>
      </c>
      <c r="B154" s="73" t="s">
        <v>12</v>
      </c>
      <c r="C154" s="73" t="s">
        <v>317</v>
      </c>
      <c r="D154" s="73" t="s">
        <v>105</v>
      </c>
      <c r="E154" s="73" t="s">
        <v>310</v>
      </c>
      <c r="F154" s="135" t="s">
        <v>318</v>
      </c>
      <c r="G154" s="135"/>
      <c r="H154" s="135"/>
      <c r="I154" s="135"/>
      <c r="J154" s="136" t="s">
        <v>129</v>
      </c>
      <c r="K154" s="137">
        <v>6511800309</v>
      </c>
      <c r="L154" s="94"/>
      <c r="M154" s="94"/>
      <c r="N154" s="25"/>
      <c r="O154" s="26"/>
      <c r="P154" s="26"/>
      <c r="Q154" s="26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25"/>
      <c r="AO154" s="33"/>
      <c r="AP154" s="25"/>
      <c r="AQ154" s="33"/>
      <c r="AR154" s="31"/>
      <c r="AS154" s="33"/>
      <c r="AT154" s="25"/>
      <c r="AU154" s="75"/>
      <c r="AV154" s="94"/>
      <c r="AW154" s="41"/>
      <c r="AX154" s="94"/>
      <c r="AY154" s="94"/>
      <c r="AZ154" s="94"/>
      <c r="BA154" s="94"/>
      <c r="BB154" s="94"/>
      <c r="BC154" s="75"/>
      <c r="BD154" s="94"/>
      <c r="BE154" s="24"/>
      <c r="BF154" s="94"/>
      <c r="BG154" s="94"/>
      <c r="BH154" s="94"/>
      <c r="BI154" s="94"/>
      <c r="BJ154" s="75"/>
      <c r="BK154" s="138">
        <v>15.33</v>
      </c>
      <c r="BL154" s="45" t="s">
        <v>319</v>
      </c>
      <c r="BM154" s="45" t="s">
        <v>320</v>
      </c>
      <c r="BN154" s="36"/>
      <c r="BO154" s="36"/>
      <c r="BP154" s="36"/>
      <c r="BQ154" s="133">
        <v>2.56</v>
      </c>
      <c r="BR154" s="133">
        <v>4.3499999999999996</v>
      </c>
      <c r="BS154" s="77">
        <f>0.18</f>
        <v>0.18</v>
      </c>
      <c r="BT154" s="139">
        <f>2.755+0.018+0.018</f>
        <v>2.7909999999999995</v>
      </c>
      <c r="BU154" s="74">
        <f>2.755+0.018+0.018</f>
        <v>2.7909999999999995</v>
      </c>
      <c r="BV154" s="74">
        <f>4.842+(0.018*4)</f>
        <v>4.9139999999999997</v>
      </c>
      <c r="BW154" s="91">
        <f t="shared" si="26"/>
        <v>2.2151905343749986E-2</v>
      </c>
      <c r="BX154" s="78">
        <f>0.1</f>
        <v>0.1</v>
      </c>
      <c r="BY154" s="140">
        <f>11.42+0.25</f>
        <v>11.67</v>
      </c>
      <c r="BZ154" s="140">
        <f>8.66+0.25</f>
        <v>8.91</v>
      </c>
      <c r="CA154" s="140">
        <f>5.43+0.5</f>
        <v>5.93</v>
      </c>
      <c r="CB154" s="91">
        <f t="shared" si="27"/>
        <v>0.35682848437499998</v>
      </c>
      <c r="CC154" s="119">
        <v>0.25</v>
      </c>
      <c r="CD154" s="119"/>
      <c r="CE154" s="119"/>
      <c r="CF154" s="104" t="s">
        <v>134</v>
      </c>
      <c r="CG154" s="72">
        <v>12</v>
      </c>
      <c r="CH154" s="72">
        <v>17</v>
      </c>
      <c r="CI154" s="72">
        <v>7</v>
      </c>
      <c r="CJ154" s="27">
        <f t="shared" si="25"/>
        <v>1428</v>
      </c>
      <c r="CK154" s="27">
        <f t="shared" si="28"/>
        <v>479.59000000000003</v>
      </c>
      <c r="CL154" s="27" t="s">
        <v>321</v>
      </c>
      <c r="CM154" s="27" t="s">
        <v>150</v>
      </c>
      <c r="CN154" s="71"/>
      <c r="CO154" s="71"/>
    </row>
    <row r="155" spans="1:95" s="1" customFormat="1" x14ac:dyDescent="0.25">
      <c r="A155" s="87">
        <v>42395</v>
      </c>
      <c r="B155" s="73" t="s">
        <v>12</v>
      </c>
      <c r="C155" s="73" t="s">
        <v>322</v>
      </c>
      <c r="D155" s="73" t="s">
        <v>105</v>
      </c>
      <c r="E155" s="130" t="s">
        <v>310</v>
      </c>
      <c r="F155" s="24" t="s">
        <v>323</v>
      </c>
      <c r="G155" s="24"/>
      <c r="H155" s="24"/>
      <c r="I155" s="24"/>
      <c r="J155" s="75" t="s">
        <v>107</v>
      </c>
      <c r="K155" s="141">
        <v>55577033</v>
      </c>
      <c r="L155" s="131"/>
      <c r="M155" s="94"/>
      <c r="N155" s="25"/>
      <c r="O155" s="26"/>
      <c r="P155" s="26"/>
      <c r="Q155" s="26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25"/>
      <c r="AO155" s="33"/>
      <c r="AP155" s="25"/>
      <c r="AQ155" s="33"/>
      <c r="AR155" s="31"/>
      <c r="AS155" s="33"/>
      <c r="AT155" s="25"/>
      <c r="AU155" s="75"/>
      <c r="AV155" s="94"/>
      <c r="AW155" s="41"/>
      <c r="AX155" s="94"/>
      <c r="AY155" s="94"/>
      <c r="AZ155" s="94"/>
      <c r="BA155" s="94"/>
      <c r="BB155" s="94"/>
      <c r="BC155" s="75"/>
      <c r="BD155" s="94"/>
      <c r="BE155" s="24"/>
      <c r="BF155" s="94"/>
      <c r="BG155" s="94"/>
      <c r="BH155" s="94"/>
      <c r="BI155" s="94"/>
      <c r="BJ155" s="132"/>
      <c r="BK155" s="76">
        <v>10.27</v>
      </c>
      <c r="BL155" s="45" t="s">
        <v>324</v>
      </c>
      <c r="BM155" s="45" t="s">
        <v>325</v>
      </c>
      <c r="BN155" s="36"/>
      <c r="BO155" s="36"/>
      <c r="BP155" s="36"/>
      <c r="BQ155" s="133">
        <v>2.5870000000000002</v>
      </c>
      <c r="BR155" s="133">
        <v>4.1340000000000003</v>
      </c>
      <c r="BS155" s="77">
        <f>0.13</f>
        <v>0.13</v>
      </c>
      <c r="BT155" s="139">
        <f>2.755+0.018+0.018</f>
        <v>2.7909999999999995</v>
      </c>
      <c r="BU155" s="74">
        <f>2.755+0.018+0.018</f>
        <v>2.7909999999999995</v>
      </c>
      <c r="BV155" s="74">
        <f>4.33+(0.018*4)</f>
        <v>4.4020000000000001</v>
      </c>
      <c r="BW155" s="91">
        <f t="shared" si="26"/>
        <v>1.9843851714120366E-2</v>
      </c>
      <c r="BX155" s="78">
        <f>0.1</f>
        <v>0.1</v>
      </c>
      <c r="BY155" s="140">
        <f>11.417+0.25</f>
        <v>11.667</v>
      </c>
      <c r="BZ155" s="140">
        <f>8.582+0.25</f>
        <v>8.8320000000000007</v>
      </c>
      <c r="CA155" s="140">
        <f>4.803+0.5</f>
        <v>5.3029999999999999</v>
      </c>
      <c r="CB155" s="91">
        <f t="shared" si="27"/>
        <v>0.31622496066666667</v>
      </c>
      <c r="CC155" s="120">
        <v>0.25</v>
      </c>
      <c r="CD155" s="120"/>
      <c r="CE155" s="120"/>
      <c r="CF155" s="104" t="s">
        <v>134</v>
      </c>
      <c r="CG155" s="72">
        <v>12</v>
      </c>
      <c r="CH155" s="72">
        <v>17</v>
      </c>
      <c r="CI155" s="72">
        <v>8</v>
      </c>
      <c r="CJ155" s="27">
        <f t="shared" si="25"/>
        <v>1632</v>
      </c>
      <c r="CK155" s="27">
        <f t="shared" si="28"/>
        <v>459.36</v>
      </c>
      <c r="CL155" s="72" t="s">
        <v>139</v>
      </c>
      <c r="CM155" s="27" t="s">
        <v>150</v>
      </c>
      <c r="CN155" s="71"/>
      <c r="CO155" s="71"/>
    </row>
    <row r="156" spans="1:95" s="1" customFormat="1" x14ac:dyDescent="0.25">
      <c r="A156" s="87">
        <v>42395</v>
      </c>
      <c r="B156" s="73" t="s">
        <v>12</v>
      </c>
      <c r="C156" s="73" t="s">
        <v>326</v>
      </c>
      <c r="D156" s="73" t="s">
        <v>105</v>
      </c>
      <c r="E156" s="73" t="s">
        <v>310</v>
      </c>
      <c r="F156" s="84" t="s">
        <v>327</v>
      </c>
      <c r="G156" s="84"/>
      <c r="H156" s="84"/>
      <c r="I156" s="84"/>
      <c r="J156" s="75" t="s">
        <v>278</v>
      </c>
      <c r="K156" s="142" t="s">
        <v>328</v>
      </c>
      <c r="L156" s="94"/>
      <c r="M156" s="94"/>
      <c r="N156" s="25"/>
      <c r="O156" s="26"/>
      <c r="P156" s="26"/>
      <c r="Q156" s="26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25"/>
      <c r="AO156" s="33"/>
      <c r="AP156" s="25"/>
      <c r="AQ156" s="33"/>
      <c r="AR156" s="31"/>
      <c r="AS156" s="33"/>
      <c r="AT156" s="25"/>
      <c r="AU156" s="75"/>
      <c r="AV156" s="94"/>
      <c r="AW156" s="41"/>
      <c r="AX156" s="94"/>
      <c r="AY156" s="94"/>
      <c r="AZ156" s="94"/>
      <c r="BA156" s="94"/>
      <c r="BB156" s="94"/>
      <c r="BC156" s="75"/>
      <c r="BD156" s="94"/>
      <c r="BE156" s="24"/>
      <c r="BF156" s="94"/>
      <c r="BG156" s="94"/>
      <c r="BH156" s="94"/>
      <c r="BI156" s="94"/>
      <c r="BJ156" s="75"/>
      <c r="BK156" s="76">
        <v>10.45</v>
      </c>
      <c r="BL156" s="45" t="s">
        <v>329</v>
      </c>
      <c r="BM156" s="45" t="s">
        <v>330</v>
      </c>
      <c r="BN156" s="36"/>
      <c r="BO156" s="36"/>
      <c r="BP156" s="36"/>
      <c r="BQ156" s="133">
        <v>2.677</v>
      </c>
      <c r="BR156" s="133">
        <v>4.6849999999999996</v>
      </c>
      <c r="BS156" s="80">
        <f>0.2</f>
        <v>0.2</v>
      </c>
      <c r="BT156" s="74">
        <f>2.755+0.036</f>
        <v>2.7909999999999999</v>
      </c>
      <c r="BU156" s="74">
        <f>2.755+0.036</f>
        <v>2.7909999999999999</v>
      </c>
      <c r="BV156" s="74">
        <f>4.724+0.072</f>
        <v>4.7960000000000003</v>
      </c>
      <c r="BW156" s="91">
        <f t="shared" si="26"/>
        <v>2.1619971108796297E-2</v>
      </c>
      <c r="BX156" s="81">
        <f>0.1</f>
        <v>0.1</v>
      </c>
      <c r="BY156" s="140">
        <f>11.417+0.25</f>
        <v>11.667</v>
      </c>
      <c r="BZ156" s="140">
        <f>8.582+0.25</f>
        <v>8.8320000000000007</v>
      </c>
      <c r="CA156" s="140">
        <f>5.196+0.5</f>
        <v>5.6959999999999997</v>
      </c>
      <c r="CB156" s="91">
        <f t="shared" si="27"/>
        <v>0.3396600746666667</v>
      </c>
      <c r="CC156" s="119">
        <f>0.25</f>
        <v>0.25</v>
      </c>
      <c r="CD156" s="119"/>
      <c r="CE156" s="119"/>
      <c r="CF156" s="104" t="s">
        <v>134</v>
      </c>
      <c r="CG156" s="27">
        <v>12</v>
      </c>
      <c r="CH156" s="27">
        <v>17</v>
      </c>
      <c r="CI156" s="27">
        <v>8</v>
      </c>
      <c r="CJ156" s="27">
        <f t="shared" si="25"/>
        <v>1632</v>
      </c>
      <c r="CK156" s="27">
        <f t="shared" si="28"/>
        <v>573.6</v>
      </c>
      <c r="CL156" s="27" t="s">
        <v>139</v>
      </c>
      <c r="CM156" s="27" t="s">
        <v>150</v>
      </c>
      <c r="CN156" s="71"/>
      <c r="CO156" s="71"/>
    </row>
    <row r="157" spans="1:95" s="1" customFormat="1" x14ac:dyDescent="0.25">
      <c r="A157" s="87">
        <v>42395</v>
      </c>
      <c r="B157" s="74" t="s">
        <v>12</v>
      </c>
      <c r="C157" s="73" t="s">
        <v>331</v>
      </c>
      <c r="D157" s="73" t="s">
        <v>105</v>
      </c>
      <c r="E157" s="130" t="s">
        <v>310</v>
      </c>
      <c r="F157" s="84" t="s">
        <v>332</v>
      </c>
      <c r="G157" s="84"/>
      <c r="H157" s="84"/>
      <c r="I157" s="84"/>
      <c r="J157" s="41" t="s">
        <v>333</v>
      </c>
      <c r="K157" s="85" t="s">
        <v>334</v>
      </c>
      <c r="L157" s="94"/>
      <c r="M157" s="94"/>
      <c r="N157" s="25"/>
      <c r="O157" s="26"/>
      <c r="P157" s="26"/>
      <c r="Q157" s="26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25" t="s">
        <v>335</v>
      </c>
      <c r="AO157" s="33"/>
      <c r="AP157" s="25"/>
      <c r="AQ157" s="33"/>
      <c r="AR157" s="31"/>
      <c r="AS157" s="33" t="s">
        <v>331</v>
      </c>
      <c r="AT157" s="25"/>
      <c r="AU157" s="75" t="s">
        <v>336</v>
      </c>
      <c r="AV157" s="94"/>
      <c r="AW157" s="41"/>
      <c r="AX157" s="94"/>
      <c r="AY157" s="94"/>
      <c r="AZ157" s="94" t="s">
        <v>331</v>
      </c>
      <c r="BA157" s="94"/>
      <c r="BB157" s="94"/>
      <c r="BC157" s="94"/>
      <c r="BD157" s="94"/>
      <c r="BE157" s="31" t="s">
        <v>337</v>
      </c>
      <c r="BF157" s="94"/>
      <c r="BG157" s="94" t="s">
        <v>338</v>
      </c>
      <c r="BH157" s="94"/>
      <c r="BI157" s="94" t="s">
        <v>338</v>
      </c>
      <c r="BJ157" s="75"/>
      <c r="BK157" s="76">
        <v>16.7</v>
      </c>
      <c r="BL157" s="45" t="s">
        <v>339</v>
      </c>
      <c r="BM157" s="45" t="s">
        <v>340</v>
      </c>
      <c r="BN157" s="36"/>
      <c r="BO157" s="36"/>
      <c r="BP157" s="36"/>
      <c r="BQ157" s="133">
        <v>2.6</v>
      </c>
      <c r="BR157" s="133">
        <v>4.88</v>
      </c>
      <c r="BS157" s="77">
        <v>0.215</v>
      </c>
      <c r="BT157" s="74">
        <f>2.755+0.036</f>
        <v>2.7909999999999999</v>
      </c>
      <c r="BU157" s="74">
        <f>2.755+0.036</f>
        <v>2.7909999999999999</v>
      </c>
      <c r="BV157" s="74">
        <f>4.921+0.072</f>
        <v>4.9930000000000003</v>
      </c>
      <c r="BW157" s="91">
        <f t="shared" si="26"/>
        <v>2.2508030806134258E-2</v>
      </c>
      <c r="BX157" s="78">
        <v>5.0000000000000001E-3</v>
      </c>
      <c r="BY157" s="93">
        <f>11.417+0.25</f>
        <v>11.667</v>
      </c>
      <c r="BZ157" s="93">
        <f>8.661+0.25</f>
        <v>8.9109999999999996</v>
      </c>
      <c r="CA157" s="93">
        <f>5.118+0.5</f>
        <v>5.6180000000000003</v>
      </c>
      <c r="CB157" s="91">
        <f t="shared" si="27"/>
        <v>0.33800539969097226</v>
      </c>
      <c r="CC157" s="120">
        <v>2.1999999999999999E-2</v>
      </c>
      <c r="CD157" s="120"/>
      <c r="CE157" s="120"/>
      <c r="CF157" s="104" t="s">
        <v>134</v>
      </c>
      <c r="CG157" s="72">
        <v>12</v>
      </c>
      <c r="CH157" s="72">
        <v>17</v>
      </c>
      <c r="CI157" s="72">
        <v>8</v>
      </c>
      <c r="CJ157" s="27">
        <f t="shared" si="25"/>
        <v>1632</v>
      </c>
      <c r="CK157" s="27">
        <v>395</v>
      </c>
      <c r="CL157" s="27" t="s">
        <v>149</v>
      </c>
      <c r="CM157" s="27" t="s">
        <v>150</v>
      </c>
      <c r="CN157" s="144"/>
      <c r="CO157" s="144"/>
    </row>
    <row r="158" spans="1:95" s="1" customFormat="1" x14ac:dyDescent="0.25">
      <c r="A158" s="87">
        <v>42395</v>
      </c>
      <c r="B158" s="74" t="s">
        <v>12</v>
      </c>
      <c r="C158" s="73" t="s">
        <v>341</v>
      </c>
      <c r="D158" s="73" t="s">
        <v>105</v>
      </c>
      <c r="E158" s="73" t="s">
        <v>310</v>
      </c>
      <c r="F158" s="84" t="s">
        <v>342</v>
      </c>
      <c r="G158" s="84"/>
      <c r="H158" s="84"/>
      <c r="I158" s="84"/>
      <c r="J158" s="41" t="s">
        <v>269</v>
      </c>
      <c r="K158" s="85" t="s">
        <v>343</v>
      </c>
      <c r="L158" s="94"/>
      <c r="M158" s="94"/>
      <c r="N158" s="25"/>
      <c r="O158" s="26"/>
      <c r="P158" s="26"/>
      <c r="Q158" s="26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25"/>
      <c r="AO158" s="33"/>
      <c r="AP158" s="25"/>
      <c r="AQ158" s="33"/>
      <c r="AR158" s="31"/>
      <c r="AS158" s="33"/>
      <c r="AT158" s="25"/>
      <c r="AU158" s="75"/>
      <c r="AV158" s="94"/>
      <c r="AW158" s="41"/>
      <c r="AX158" s="94"/>
      <c r="AY158" s="94"/>
      <c r="AZ158" s="94"/>
      <c r="BA158" s="94"/>
      <c r="BB158" s="94" t="s">
        <v>341</v>
      </c>
      <c r="BC158" s="94"/>
      <c r="BD158" s="94"/>
      <c r="BE158" s="31"/>
      <c r="BF158" s="94"/>
      <c r="BG158" s="94" t="s">
        <v>344</v>
      </c>
      <c r="BH158" s="94"/>
      <c r="BI158" s="94" t="s">
        <v>344</v>
      </c>
      <c r="BJ158" s="75" t="s">
        <v>345</v>
      </c>
      <c r="BK158" s="76">
        <v>16.93</v>
      </c>
      <c r="BL158" s="45" t="s">
        <v>289</v>
      </c>
      <c r="BM158" s="45" t="s">
        <v>346</v>
      </c>
      <c r="BN158" s="36"/>
      <c r="BO158" s="36"/>
      <c r="BP158" s="36"/>
      <c r="BQ158" s="133">
        <v>3.25</v>
      </c>
      <c r="BR158" s="133">
        <v>2.83</v>
      </c>
      <c r="BS158" s="143">
        <v>0.15</v>
      </c>
      <c r="BT158" s="116">
        <f>3.346+0.036</f>
        <v>3.3820000000000001</v>
      </c>
      <c r="BU158" s="116">
        <f>3.346+0.036</f>
        <v>3.3820000000000001</v>
      </c>
      <c r="BV158" s="116">
        <f>3.07+0.072</f>
        <v>3.1419999999999999</v>
      </c>
      <c r="BW158" s="91">
        <f t="shared" si="26"/>
        <v>2.0797428939814816E-2</v>
      </c>
      <c r="BX158" s="78">
        <v>0.1</v>
      </c>
      <c r="BY158" s="93">
        <f>13.78+0.25</f>
        <v>14.03</v>
      </c>
      <c r="BZ158" s="93">
        <f>10.43+0.25</f>
        <v>10.68</v>
      </c>
      <c r="CA158" s="93">
        <f>3.58+0.5</f>
        <v>4.08</v>
      </c>
      <c r="CB158" s="91">
        <f t="shared" si="27"/>
        <v>0.3537898333333333</v>
      </c>
      <c r="CC158" s="120">
        <v>0.25</v>
      </c>
      <c r="CD158" s="120"/>
      <c r="CE158" s="120"/>
      <c r="CF158" s="104" t="s">
        <v>134</v>
      </c>
      <c r="CG158" s="27">
        <v>12</v>
      </c>
      <c r="CH158" s="27">
        <v>11</v>
      </c>
      <c r="CI158" s="27">
        <v>11</v>
      </c>
      <c r="CJ158" s="27">
        <f t="shared" si="25"/>
        <v>1452</v>
      </c>
      <c r="CK158" s="27">
        <v>447.21600000000001</v>
      </c>
      <c r="CL158" s="72" t="s">
        <v>321</v>
      </c>
      <c r="CM158" s="79" t="s">
        <v>150</v>
      </c>
      <c r="CN158" s="144"/>
      <c r="CO158" s="35"/>
      <c r="CP158" s="71"/>
      <c r="CQ158" s="71"/>
    </row>
    <row r="159" spans="1:95" s="1" customFormat="1" x14ac:dyDescent="0.25">
      <c r="A159" s="87">
        <v>42395</v>
      </c>
      <c r="B159" s="73" t="s">
        <v>12</v>
      </c>
      <c r="C159" s="73" t="s">
        <v>347</v>
      </c>
      <c r="D159" s="73" t="s">
        <v>54</v>
      </c>
      <c r="E159" s="100" t="s">
        <v>348</v>
      </c>
      <c r="F159" s="84" t="s">
        <v>349</v>
      </c>
      <c r="G159" s="84"/>
      <c r="H159" s="84"/>
      <c r="I159" s="84"/>
      <c r="J159" s="41" t="s">
        <v>350</v>
      </c>
      <c r="K159" s="85" t="s">
        <v>351</v>
      </c>
      <c r="L159" s="94"/>
      <c r="M159" s="94"/>
      <c r="N159" s="25"/>
      <c r="O159" s="26"/>
      <c r="P159" s="26"/>
      <c r="Q159" s="26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25"/>
      <c r="AO159" s="33"/>
      <c r="AP159" s="25"/>
      <c r="AQ159" s="33"/>
      <c r="AR159" s="31" t="s">
        <v>352</v>
      </c>
      <c r="AS159" s="33"/>
      <c r="AT159" s="25"/>
      <c r="AU159" s="75"/>
      <c r="AV159" s="94"/>
      <c r="AW159" s="41"/>
      <c r="AX159" s="94"/>
      <c r="AY159" s="94"/>
      <c r="AZ159" s="94"/>
      <c r="BA159" s="94"/>
      <c r="BB159" s="94"/>
      <c r="BC159" s="94"/>
      <c r="BD159" s="94"/>
      <c r="BE159" s="31"/>
      <c r="BF159" s="94"/>
      <c r="BG159" s="94"/>
      <c r="BH159" s="94"/>
      <c r="BI159" s="94"/>
      <c r="BJ159" s="75"/>
      <c r="BK159" s="76">
        <v>43.11</v>
      </c>
      <c r="BL159" s="82" t="s">
        <v>353</v>
      </c>
      <c r="BM159" s="82" t="s">
        <v>354</v>
      </c>
      <c r="BN159" s="92"/>
      <c r="BO159" s="92"/>
      <c r="BP159" s="92"/>
      <c r="BQ159" s="92">
        <v>3.9089999999999998</v>
      </c>
      <c r="BR159" s="92">
        <v>5.9450000000000003</v>
      </c>
      <c r="BS159" s="78">
        <v>1.5</v>
      </c>
      <c r="BT159" s="116">
        <v>4.25</v>
      </c>
      <c r="BU159" s="116">
        <v>4.25</v>
      </c>
      <c r="BV159" s="116">
        <v>7</v>
      </c>
      <c r="BW159" s="91">
        <f t="shared" si="26"/>
        <v>7.3169849537037035E-2</v>
      </c>
      <c r="BX159" s="81">
        <v>1.5</v>
      </c>
      <c r="BY159" s="562" t="s">
        <v>355</v>
      </c>
      <c r="BZ159" s="563"/>
      <c r="CA159" s="563"/>
      <c r="CB159" s="563"/>
      <c r="CC159" s="564"/>
      <c r="CD159" s="298"/>
      <c r="CE159" s="298"/>
      <c r="CF159" s="43" t="s">
        <v>134</v>
      </c>
      <c r="CG159" s="74">
        <v>1</v>
      </c>
      <c r="CH159" s="74">
        <v>48</v>
      </c>
      <c r="CI159" s="74">
        <v>3</v>
      </c>
      <c r="CJ159" s="27">
        <f t="shared" si="25"/>
        <v>144</v>
      </c>
      <c r="CK159" s="27">
        <f>((((BS159+BX159)*CG159)+CC159)*CH159*CI159)+50</f>
        <v>482</v>
      </c>
      <c r="CL159" s="74" t="s">
        <v>135</v>
      </c>
      <c r="CM159" s="83" t="s">
        <v>150</v>
      </c>
      <c r="CN159" s="144"/>
      <c r="CO159" s="144"/>
    </row>
    <row r="160" spans="1:95" s="1" customFormat="1" x14ac:dyDescent="0.25">
      <c r="A160" s="145">
        <v>42341</v>
      </c>
      <c r="B160" s="73" t="s">
        <v>12</v>
      </c>
      <c r="C160" s="73" t="s">
        <v>356</v>
      </c>
      <c r="D160" s="94" t="s">
        <v>105</v>
      </c>
      <c r="E160" s="73" t="s">
        <v>357</v>
      </c>
      <c r="F160" s="146" t="s">
        <v>358</v>
      </c>
      <c r="G160" s="146"/>
      <c r="H160" s="146"/>
      <c r="I160" s="146"/>
      <c r="J160" s="72" t="s">
        <v>168</v>
      </c>
      <c r="K160" s="41" t="s">
        <v>359</v>
      </c>
      <c r="L160" s="94"/>
      <c r="M160" s="94"/>
      <c r="N160" s="25"/>
      <c r="O160" s="26"/>
      <c r="P160" s="26"/>
      <c r="Q160" s="26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25"/>
      <c r="AO160" s="33"/>
      <c r="AP160" s="25"/>
      <c r="AQ160" s="33"/>
      <c r="AR160" s="31"/>
      <c r="AS160" s="33"/>
      <c r="AT160" s="25"/>
      <c r="AU160" s="72" t="s">
        <v>360</v>
      </c>
      <c r="AV160" s="74" t="s">
        <v>361</v>
      </c>
      <c r="AW160" s="41"/>
      <c r="AX160" s="94"/>
      <c r="AY160" s="94"/>
      <c r="AZ160" s="94"/>
      <c r="BA160" s="94"/>
      <c r="BB160" s="94"/>
      <c r="BC160" s="94"/>
      <c r="BD160" s="94"/>
      <c r="BE160" s="74" t="s">
        <v>362</v>
      </c>
      <c r="BF160" s="94"/>
      <c r="BG160" s="94"/>
      <c r="BH160" s="94"/>
      <c r="BI160" s="94"/>
      <c r="BJ160" s="147">
        <v>49073</v>
      </c>
      <c r="BK160" s="155">
        <v>14.99</v>
      </c>
      <c r="BL160" s="45" t="s">
        <v>367</v>
      </c>
      <c r="BM160" s="45" t="s">
        <v>368</v>
      </c>
      <c r="BN160" s="103">
        <v>11.38</v>
      </c>
      <c r="BO160" s="103">
        <v>11.5</v>
      </c>
      <c r="BP160" s="103">
        <v>1.08</v>
      </c>
      <c r="BQ160" s="36"/>
      <c r="BR160" s="36"/>
      <c r="BS160" s="148"/>
      <c r="BT160" s="47">
        <f>11.5+0.018+0.018</f>
        <v>11.536000000000001</v>
      </c>
      <c r="BU160" s="47">
        <f>2+0.018+0.018</f>
        <v>2.0359999999999996</v>
      </c>
      <c r="BV160" s="47">
        <f>11.5+(4*0.018)</f>
        <v>11.571999999999999</v>
      </c>
      <c r="BW160" s="47">
        <f t="shared" si="26"/>
        <v>0.15728876696296293</v>
      </c>
      <c r="BX160" s="149">
        <f>0.25+0.661</f>
        <v>0.91100000000000003</v>
      </c>
      <c r="BY160" s="150">
        <v>16.37</v>
      </c>
      <c r="BZ160" s="150">
        <v>12.5</v>
      </c>
      <c r="CA160" s="150">
        <v>12.75</v>
      </c>
      <c r="CB160" s="47">
        <f t="shared" ref="CB160:CB171" si="29">(CA160*BZ160*BY160)/1728</f>
        <v>1.5098198784722223</v>
      </c>
      <c r="CC160" s="151">
        <v>1.04</v>
      </c>
      <c r="CD160" s="151"/>
      <c r="CE160" s="151"/>
      <c r="CF160" s="152" t="s">
        <v>134</v>
      </c>
      <c r="CG160" s="24">
        <v>6</v>
      </c>
      <c r="CH160" s="24">
        <v>12</v>
      </c>
      <c r="CI160" s="24">
        <v>3</v>
      </c>
      <c r="CJ160" s="153">
        <f t="shared" si="25"/>
        <v>216</v>
      </c>
      <c r="CK160" s="27">
        <f t="shared" ref="CK160:CK161" si="30">((((BS160+BX160)*CG160)+CB160)*CH160*CI160)+50</f>
        <v>301.12951562500001</v>
      </c>
      <c r="CL160" s="27" t="s">
        <v>139</v>
      </c>
      <c r="CM160" s="24" t="s">
        <v>136</v>
      </c>
      <c r="CN160" s="144"/>
      <c r="CO160" s="144"/>
    </row>
    <row r="161" spans="1:95" s="1" customFormat="1" x14ac:dyDescent="0.25">
      <c r="A161" s="145">
        <v>42341</v>
      </c>
      <c r="B161" s="72" t="s">
        <v>12</v>
      </c>
      <c r="C161" s="72" t="s">
        <v>369</v>
      </c>
      <c r="D161" s="94" t="s">
        <v>105</v>
      </c>
      <c r="E161" s="73" t="s">
        <v>357</v>
      </c>
      <c r="F161" s="146" t="s">
        <v>370</v>
      </c>
      <c r="G161" s="146"/>
      <c r="H161" s="146"/>
      <c r="I161" s="146"/>
      <c r="J161" s="72" t="s">
        <v>269</v>
      </c>
      <c r="K161" s="41" t="s">
        <v>371</v>
      </c>
      <c r="L161" s="94"/>
      <c r="M161" s="94"/>
      <c r="N161" s="25"/>
      <c r="O161" s="26"/>
      <c r="P161" s="26"/>
      <c r="Q161" s="26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25"/>
      <c r="AO161" s="33"/>
      <c r="AP161" s="25"/>
      <c r="AQ161" s="33"/>
      <c r="AR161" s="31"/>
      <c r="AS161" s="33"/>
      <c r="AT161" s="25"/>
      <c r="AU161" s="72" t="s">
        <v>372</v>
      </c>
      <c r="AV161" s="94"/>
      <c r="AW161" s="41"/>
      <c r="AX161" s="94"/>
      <c r="AY161" s="94"/>
      <c r="AZ161" s="94"/>
      <c r="BA161" s="94"/>
      <c r="BB161" s="94"/>
      <c r="BC161" s="75"/>
      <c r="BD161" s="94"/>
      <c r="BE161" s="72"/>
      <c r="BF161" s="94"/>
      <c r="BG161" s="94"/>
      <c r="BH161" s="94"/>
      <c r="BI161" s="94"/>
      <c r="BJ161" s="72"/>
      <c r="BK161" s="155">
        <v>14.91</v>
      </c>
      <c r="BL161" s="45" t="s">
        <v>373</v>
      </c>
      <c r="BM161" s="45" t="s">
        <v>374</v>
      </c>
      <c r="BN161" s="103">
        <v>11.77</v>
      </c>
      <c r="BO161" s="103">
        <v>8.92</v>
      </c>
      <c r="BP161" s="103">
        <v>1.48</v>
      </c>
      <c r="BQ161" s="36"/>
      <c r="BR161" s="36"/>
      <c r="BS161" s="148"/>
      <c r="BT161" s="156">
        <f>10+0.018+0.018</f>
        <v>10.036000000000001</v>
      </c>
      <c r="BU161" s="156">
        <f>2.5+0.018+0.018</f>
        <v>2.5359999999999996</v>
      </c>
      <c r="BV161" s="156">
        <f>12.5+(4*0.018)</f>
        <v>12.571999999999999</v>
      </c>
      <c r="BW161" s="47">
        <f t="shared" si="26"/>
        <v>0.18516996140740738</v>
      </c>
      <c r="BX161" s="157">
        <f>0.22+0.688</f>
        <v>0.90799999999999992</v>
      </c>
      <c r="BY161" s="156">
        <v>15.75</v>
      </c>
      <c r="BZ161" s="156">
        <v>13.25</v>
      </c>
      <c r="CA161" s="156">
        <v>11</v>
      </c>
      <c r="CB161" s="47">
        <f t="shared" si="29"/>
        <v>1.3284505208333333</v>
      </c>
      <c r="CC161" s="151">
        <v>1.08</v>
      </c>
      <c r="CD161" s="151"/>
      <c r="CE161" s="151"/>
      <c r="CF161" s="24" t="s">
        <v>134</v>
      </c>
      <c r="CG161" s="24">
        <v>6</v>
      </c>
      <c r="CH161" s="24">
        <v>9</v>
      </c>
      <c r="CI161" s="24">
        <v>4</v>
      </c>
      <c r="CJ161" s="153">
        <f t="shared" si="25"/>
        <v>216</v>
      </c>
      <c r="CK161" s="27">
        <f t="shared" si="30"/>
        <v>293.95221874999999</v>
      </c>
      <c r="CL161" s="27" t="s">
        <v>139</v>
      </c>
      <c r="CM161" s="24" t="s">
        <v>136</v>
      </c>
      <c r="CN161" s="144"/>
      <c r="CO161" s="144"/>
    </row>
    <row r="162" spans="1:95" s="1" customFormat="1" x14ac:dyDescent="0.25">
      <c r="A162" s="145">
        <v>42341</v>
      </c>
      <c r="B162" s="75" t="s">
        <v>12</v>
      </c>
      <c r="C162" s="75" t="s">
        <v>375</v>
      </c>
      <c r="D162" s="94" t="s">
        <v>105</v>
      </c>
      <c r="E162" s="100" t="s">
        <v>100</v>
      </c>
      <c r="F162" s="146" t="s">
        <v>376</v>
      </c>
      <c r="G162" s="146"/>
      <c r="H162" s="146"/>
      <c r="I162" s="146"/>
      <c r="J162" s="75" t="s">
        <v>377</v>
      </c>
      <c r="K162" s="41" t="s">
        <v>378</v>
      </c>
      <c r="L162" s="94"/>
      <c r="M162" s="94"/>
      <c r="N162" s="25"/>
      <c r="O162" s="26"/>
      <c r="P162" s="26"/>
      <c r="Q162" s="26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25"/>
      <c r="AO162" s="33"/>
      <c r="AP162" s="25"/>
      <c r="AQ162" s="33"/>
      <c r="AR162" s="31"/>
      <c r="AS162" s="33"/>
      <c r="AT162" s="25"/>
      <c r="AU162" s="75"/>
      <c r="AV162" s="94"/>
      <c r="AW162" s="41"/>
      <c r="AX162" s="94"/>
      <c r="AY162" s="94"/>
      <c r="AZ162" s="94"/>
      <c r="BA162" s="94"/>
      <c r="BB162" s="94"/>
      <c r="BC162" s="75"/>
      <c r="BD162" s="94"/>
      <c r="BE162" s="75" t="s">
        <v>379</v>
      </c>
      <c r="BF162" s="94"/>
      <c r="BG162" s="75" t="s">
        <v>379</v>
      </c>
      <c r="BH162" s="94"/>
      <c r="BI162" s="94" t="s">
        <v>380</v>
      </c>
      <c r="BJ162" s="75">
        <v>24053</v>
      </c>
      <c r="BK162" s="76">
        <v>15.95</v>
      </c>
      <c r="BL162" s="102" t="s">
        <v>381</v>
      </c>
      <c r="BM162" s="102" t="s">
        <v>382</v>
      </c>
      <c r="BN162" s="103">
        <v>7.6</v>
      </c>
      <c r="BO162" s="103">
        <v>7.4</v>
      </c>
      <c r="BP162" s="103">
        <v>1.18</v>
      </c>
      <c r="BQ162" s="36"/>
      <c r="BR162" s="36"/>
      <c r="BS162" s="77">
        <v>0.2</v>
      </c>
      <c r="BT162" s="119">
        <f>8.87+0.018+0.018</f>
        <v>8.9060000000000006</v>
      </c>
      <c r="BU162" s="74">
        <f>1.31+0.018+0.018</f>
        <v>1.3460000000000001</v>
      </c>
      <c r="BV162" s="74">
        <f>8.87+(0.018*4)</f>
        <v>8.9419999999999984</v>
      </c>
      <c r="BW162" s="91">
        <f t="shared" si="26"/>
        <v>6.2032413421296298E-2</v>
      </c>
      <c r="BX162" s="78">
        <v>0.12</v>
      </c>
      <c r="BY162" s="93">
        <v>10.5</v>
      </c>
      <c r="BZ162" s="93">
        <v>8.75</v>
      </c>
      <c r="CA162" s="93">
        <v>9.75</v>
      </c>
      <c r="CB162" s="91">
        <f t="shared" si="29"/>
        <v>0.51839192708333337</v>
      </c>
      <c r="CC162" s="120">
        <v>0.28000000000000003</v>
      </c>
      <c r="CD162" s="120"/>
      <c r="CE162" s="120"/>
      <c r="CF162" s="43" t="s">
        <v>134</v>
      </c>
      <c r="CG162" s="74">
        <v>6</v>
      </c>
      <c r="CH162" s="74">
        <v>18</v>
      </c>
      <c r="CI162" s="74">
        <v>4</v>
      </c>
      <c r="CJ162" s="27">
        <f t="shared" si="25"/>
        <v>432</v>
      </c>
      <c r="CK162" s="27">
        <f>((BS162+BX162+CC162)*CH162*CI162)+50</f>
        <v>93.2</v>
      </c>
      <c r="CL162" s="74" t="s">
        <v>139</v>
      </c>
      <c r="CM162" s="27" t="s">
        <v>136</v>
      </c>
      <c r="CN162" s="144"/>
      <c r="CO162" s="144"/>
    </row>
    <row r="163" spans="1:95" s="1" customFormat="1" x14ac:dyDescent="0.25">
      <c r="A163" s="145">
        <v>42341</v>
      </c>
      <c r="B163" s="72" t="s">
        <v>12</v>
      </c>
      <c r="C163" s="72" t="s">
        <v>383</v>
      </c>
      <c r="D163" s="94" t="s">
        <v>105</v>
      </c>
      <c r="E163" s="73" t="s">
        <v>100</v>
      </c>
      <c r="F163" s="154" t="s">
        <v>384</v>
      </c>
      <c r="G163" s="154"/>
      <c r="H163" s="154"/>
      <c r="I163" s="154"/>
      <c r="J163" s="72" t="s">
        <v>90</v>
      </c>
      <c r="K163" s="85" t="s">
        <v>385</v>
      </c>
      <c r="L163" s="94"/>
      <c r="M163" s="94"/>
      <c r="N163" s="25"/>
      <c r="O163" s="26"/>
      <c r="P163" s="26"/>
      <c r="Q163" s="26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25"/>
      <c r="AO163" s="33"/>
      <c r="AP163" s="25"/>
      <c r="AQ163" s="33"/>
      <c r="AR163" s="31"/>
      <c r="AS163" s="33"/>
      <c r="AT163" s="25"/>
      <c r="AU163" s="72" t="s">
        <v>386</v>
      </c>
      <c r="AV163" s="94"/>
      <c r="AW163" s="41"/>
      <c r="AX163" s="94"/>
      <c r="AY163" s="94"/>
      <c r="AZ163" s="94"/>
      <c r="BA163" s="94"/>
      <c r="BB163" s="94"/>
      <c r="BC163" s="75" t="s">
        <v>387</v>
      </c>
      <c r="BD163" s="94"/>
      <c r="BE163" s="24" t="s">
        <v>388</v>
      </c>
      <c r="BF163" s="94"/>
      <c r="BG163" s="94"/>
      <c r="BH163" s="94"/>
      <c r="BI163" s="94"/>
      <c r="BJ163" s="72">
        <v>24419</v>
      </c>
      <c r="BK163" s="155">
        <v>19.45</v>
      </c>
      <c r="BL163" s="45" t="s">
        <v>389</v>
      </c>
      <c r="BM163" s="45" t="s">
        <v>390</v>
      </c>
      <c r="BN163" s="103">
        <v>10.119999999999999</v>
      </c>
      <c r="BO163" s="103">
        <v>7.99</v>
      </c>
      <c r="BP163" s="103">
        <v>1.38</v>
      </c>
      <c r="BQ163" s="36"/>
      <c r="BR163" s="36"/>
      <c r="BS163" s="148"/>
      <c r="BT163" s="156">
        <f>10.75+0.018+0.018</f>
        <v>10.786000000000001</v>
      </c>
      <c r="BU163" s="156">
        <f>1.313+0.018+0.018</f>
        <v>1.349</v>
      </c>
      <c r="BV163" s="156">
        <f>11.906+(4*0.018)</f>
        <v>11.978</v>
      </c>
      <c r="BW163" s="47">
        <f t="shared" si="26"/>
        <v>0.10085860016898149</v>
      </c>
      <c r="BX163" s="151">
        <f>0.18+0.36</f>
        <v>0.54</v>
      </c>
      <c r="BY163" s="156">
        <v>13.25</v>
      </c>
      <c r="BZ163" s="156">
        <v>11</v>
      </c>
      <c r="CA163" s="156">
        <v>9</v>
      </c>
      <c r="CB163" s="47">
        <f t="shared" si="29"/>
        <v>0.75911458333333337</v>
      </c>
      <c r="CC163" s="151">
        <v>0.69</v>
      </c>
      <c r="CD163" s="151"/>
      <c r="CE163" s="151"/>
      <c r="CF163" s="24" t="s">
        <v>134</v>
      </c>
      <c r="CG163" s="24">
        <v>6</v>
      </c>
      <c r="CH163" s="24">
        <v>12</v>
      </c>
      <c r="CI163" s="24">
        <v>4</v>
      </c>
      <c r="CJ163" s="153">
        <f t="shared" si="25"/>
        <v>288</v>
      </c>
      <c r="CK163" s="27">
        <f t="shared" ref="CK163:CK167" si="31">((((BS163+BX163)*CG163)+CB163)*CH163*CI163)+50</f>
        <v>241.95750000000001</v>
      </c>
      <c r="CL163" s="153" t="s">
        <v>139</v>
      </c>
      <c r="CM163" s="153" t="s">
        <v>136</v>
      </c>
      <c r="CN163" s="35"/>
      <c r="CO163" s="35"/>
    </row>
    <row r="164" spans="1:95" s="1" customFormat="1" x14ac:dyDescent="0.25">
      <c r="A164" s="145">
        <v>42341</v>
      </c>
      <c r="B164" s="72" t="s">
        <v>12</v>
      </c>
      <c r="C164" s="72" t="s">
        <v>391</v>
      </c>
      <c r="D164" s="94" t="s">
        <v>105</v>
      </c>
      <c r="E164" s="73" t="s">
        <v>100</v>
      </c>
      <c r="F164" s="154" t="s">
        <v>392</v>
      </c>
      <c r="G164" s="154"/>
      <c r="H164" s="154"/>
      <c r="I164" s="154"/>
      <c r="J164" s="41" t="s">
        <v>393</v>
      </c>
      <c r="K164" s="85" t="s">
        <v>394</v>
      </c>
      <c r="L164" s="94"/>
      <c r="M164" s="94"/>
      <c r="N164" s="25"/>
      <c r="O164" s="26"/>
      <c r="P164" s="26"/>
      <c r="Q164" s="26"/>
      <c r="R164" s="34"/>
      <c r="S164" s="34"/>
      <c r="T164" s="34"/>
      <c r="U164" s="34"/>
      <c r="V164" s="34"/>
      <c r="W164" s="34"/>
      <c r="X164" s="379"/>
      <c r="Y164" s="379"/>
      <c r="Z164" s="379"/>
      <c r="AA164" s="379"/>
      <c r="AB164" s="379"/>
      <c r="AC164" s="379"/>
      <c r="AD164" s="379"/>
      <c r="AE164" s="379"/>
      <c r="AF164" s="379"/>
      <c r="AG164" s="379"/>
      <c r="AH164" s="379"/>
      <c r="AI164" s="379"/>
      <c r="AJ164" s="379"/>
      <c r="AK164" s="379"/>
      <c r="AL164" s="379"/>
      <c r="AM164" s="379"/>
      <c r="AN164" s="158"/>
      <c r="AO164" s="33"/>
      <c r="AP164" s="25"/>
      <c r="AQ164" s="33"/>
      <c r="AR164" s="31"/>
      <c r="AS164" s="33"/>
      <c r="AT164" s="25"/>
      <c r="AU164" s="75"/>
      <c r="AV164" s="94"/>
      <c r="AW164" s="41"/>
      <c r="AX164" s="94"/>
      <c r="AY164" s="94"/>
      <c r="AZ164" s="94"/>
      <c r="BA164" s="94"/>
      <c r="BB164" s="94"/>
      <c r="BC164" s="94"/>
      <c r="BD164" s="94"/>
      <c r="BE164" s="31"/>
      <c r="BF164" s="94"/>
      <c r="BG164" s="94"/>
      <c r="BH164" s="94"/>
      <c r="BI164" s="94"/>
      <c r="BJ164" s="72">
        <v>24021</v>
      </c>
      <c r="BK164" s="155">
        <v>45.27</v>
      </c>
      <c r="BL164" s="45" t="s">
        <v>395</v>
      </c>
      <c r="BM164" s="45" t="s">
        <v>396</v>
      </c>
      <c r="BN164" s="103">
        <v>8.4600000000000009</v>
      </c>
      <c r="BO164" s="103">
        <v>8.4600000000000009</v>
      </c>
      <c r="BP164" s="103">
        <v>1.1599999999999999</v>
      </c>
      <c r="BQ164" s="36"/>
      <c r="BR164" s="36"/>
      <c r="BS164" s="148"/>
      <c r="BT164" s="156">
        <f>9.06+0.018+0.018</f>
        <v>9.0960000000000019</v>
      </c>
      <c r="BU164" s="156">
        <f>1.37+0.018+0.018</f>
        <v>1.4060000000000001</v>
      </c>
      <c r="BV164" s="156">
        <f>9.25+(4*0.018)</f>
        <v>9.3219999999999992</v>
      </c>
      <c r="BW164" s="47">
        <f t="shared" si="26"/>
        <v>6.8992380944444473E-2</v>
      </c>
      <c r="BX164" s="151">
        <f>0.12+0.32</f>
        <v>0.44</v>
      </c>
      <c r="BY164" s="156">
        <v>10.5</v>
      </c>
      <c r="BZ164" s="156">
        <v>8.75</v>
      </c>
      <c r="CA164" s="156">
        <v>9.75</v>
      </c>
      <c r="CB164" s="47">
        <f t="shared" si="29"/>
        <v>0.51839192708333337</v>
      </c>
      <c r="CC164" s="151">
        <v>0.28000000000000003</v>
      </c>
      <c r="CD164" s="151"/>
      <c r="CE164" s="151"/>
      <c r="CF164" s="24" t="s">
        <v>134</v>
      </c>
      <c r="CG164" s="24">
        <v>6</v>
      </c>
      <c r="CH164" s="24">
        <v>18</v>
      </c>
      <c r="CI164" s="24">
        <v>4</v>
      </c>
      <c r="CJ164" s="153">
        <f t="shared" si="25"/>
        <v>432</v>
      </c>
      <c r="CK164" s="27">
        <f t="shared" si="31"/>
        <v>277.40421875000004</v>
      </c>
      <c r="CL164" s="27" t="s">
        <v>139</v>
      </c>
      <c r="CM164" s="24" t="s">
        <v>140</v>
      </c>
      <c r="CN164" s="35"/>
      <c r="CO164" s="35"/>
    </row>
    <row r="165" spans="1:95" s="1" customFormat="1" x14ac:dyDescent="0.25">
      <c r="A165" s="145">
        <v>42341</v>
      </c>
      <c r="B165" s="72" t="s">
        <v>12</v>
      </c>
      <c r="C165" s="72" t="s">
        <v>397</v>
      </c>
      <c r="D165" s="94" t="s">
        <v>105</v>
      </c>
      <c r="E165" s="73" t="s">
        <v>100</v>
      </c>
      <c r="F165" s="159" t="s">
        <v>398</v>
      </c>
      <c r="G165" s="159"/>
      <c r="H165" s="159"/>
      <c r="I165" s="159"/>
      <c r="J165" s="72" t="s">
        <v>399</v>
      </c>
      <c r="K165" s="86" t="s">
        <v>400</v>
      </c>
      <c r="L165" s="94"/>
      <c r="M165" s="94"/>
      <c r="N165" s="25"/>
      <c r="O165" s="26"/>
      <c r="P165" s="26"/>
      <c r="Q165" s="26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25"/>
      <c r="AO165" s="33"/>
      <c r="AP165" s="25"/>
      <c r="AQ165" s="33"/>
      <c r="AR165" s="31"/>
      <c r="AS165" s="33"/>
      <c r="AT165" s="25"/>
      <c r="AU165" s="75"/>
      <c r="AV165" s="94"/>
      <c r="AW165" s="41"/>
      <c r="AX165" s="94"/>
      <c r="AY165" s="94"/>
      <c r="AZ165" s="94"/>
      <c r="BA165" s="94"/>
      <c r="BB165" s="94"/>
      <c r="BC165" s="94"/>
      <c r="BD165" s="94"/>
      <c r="BE165" s="31"/>
      <c r="BF165" s="94"/>
      <c r="BG165" s="94"/>
      <c r="BH165" s="94"/>
      <c r="BI165" s="94"/>
      <c r="BJ165" s="72" t="s">
        <v>401</v>
      </c>
      <c r="BK165" s="155">
        <v>41.96</v>
      </c>
      <c r="BL165" s="45" t="s">
        <v>402</v>
      </c>
      <c r="BM165" s="45" t="s">
        <v>403</v>
      </c>
      <c r="BN165" s="103">
        <v>10.75</v>
      </c>
      <c r="BO165" s="103">
        <v>7.76</v>
      </c>
      <c r="BP165" s="103">
        <v>0.4</v>
      </c>
      <c r="BQ165" s="36"/>
      <c r="BR165" s="36"/>
      <c r="BS165" s="148"/>
      <c r="BT165" s="156">
        <f>8.281+0.018+0.018</f>
        <v>8.3170000000000019</v>
      </c>
      <c r="BU165" s="156">
        <f>1.375+0.018+0.018</f>
        <v>1.411</v>
      </c>
      <c r="BV165" s="156">
        <f>11.25+(4*0.018)</f>
        <v>11.321999999999999</v>
      </c>
      <c r="BW165" s="47">
        <f t="shared" si="26"/>
        <v>7.6890578364583351E-2</v>
      </c>
      <c r="BX165" s="151">
        <f>0.12+0.27</f>
        <v>0.39</v>
      </c>
      <c r="BY165" s="156">
        <f>11.62+0.25</f>
        <v>11.87</v>
      </c>
      <c r="BZ165" s="156">
        <v>9</v>
      </c>
      <c r="CA165" s="156">
        <v>9</v>
      </c>
      <c r="CB165" s="47">
        <f t="shared" si="29"/>
        <v>0.55640624999999999</v>
      </c>
      <c r="CC165" s="151">
        <v>0.53</v>
      </c>
      <c r="CD165" s="151"/>
      <c r="CE165" s="151"/>
      <c r="CF165" s="24" t="s">
        <v>134</v>
      </c>
      <c r="CG165" s="24">
        <v>6</v>
      </c>
      <c r="CH165" s="24">
        <v>17</v>
      </c>
      <c r="CI165" s="24">
        <v>5</v>
      </c>
      <c r="CJ165" s="153">
        <f t="shared" si="25"/>
        <v>510</v>
      </c>
      <c r="CK165" s="27">
        <f t="shared" si="31"/>
        <v>296.19453125000001</v>
      </c>
      <c r="CL165" s="27" t="s">
        <v>139</v>
      </c>
      <c r="CM165" s="24" t="s">
        <v>140</v>
      </c>
      <c r="CN165" s="35"/>
      <c r="CO165" s="35"/>
    </row>
    <row r="166" spans="1:95" s="1" customFormat="1" ht="30" x14ac:dyDescent="0.25">
      <c r="A166" s="145">
        <v>42341</v>
      </c>
      <c r="B166" s="72" t="s">
        <v>12</v>
      </c>
      <c r="C166" s="72" t="s">
        <v>404</v>
      </c>
      <c r="D166" s="94" t="s">
        <v>105</v>
      </c>
      <c r="E166" s="73" t="s">
        <v>100</v>
      </c>
      <c r="F166" s="146" t="s">
        <v>405</v>
      </c>
      <c r="G166" s="146"/>
      <c r="H166" s="146"/>
      <c r="I166" s="146"/>
      <c r="J166" s="72" t="s">
        <v>406</v>
      </c>
      <c r="K166" s="46" t="s">
        <v>407</v>
      </c>
      <c r="L166" s="94"/>
      <c r="M166" s="94"/>
      <c r="N166" s="25"/>
      <c r="O166" s="26"/>
      <c r="P166" s="26"/>
      <c r="Q166" s="26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25"/>
      <c r="AO166" s="33"/>
      <c r="AP166" s="25"/>
      <c r="AQ166" s="33"/>
      <c r="AR166" s="31"/>
      <c r="AS166" s="33"/>
      <c r="AT166" s="25"/>
      <c r="AU166" s="75"/>
      <c r="AV166" s="94"/>
      <c r="AW166" s="41"/>
      <c r="AX166" s="94"/>
      <c r="AY166" s="94"/>
      <c r="AZ166" s="94"/>
      <c r="BA166" s="94"/>
      <c r="BB166" s="94"/>
      <c r="BC166" s="94"/>
      <c r="BD166" s="94"/>
      <c r="BE166" s="31"/>
      <c r="BF166" s="94"/>
      <c r="BG166" s="94"/>
      <c r="BH166" s="94"/>
      <c r="BI166" s="94"/>
      <c r="BJ166" s="72">
        <v>24439</v>
      </c>
      <c r="BK166" s="155">
        <v>39.36</v>
      </c>
      <c r="BL166" s="45" t="s">
        <v>408</v>
      </c>
      <c r="BM166" s="45" t="s">
        <v>409</v>
      </c>
      <c r="BN166" s="103">
        <v>9.9600000000000009</v>
      </c>
      <c r="BO166" s="103">
        <v>10.08</v>
      </c>
      <c r="BP166" s="103">
        <v>1.38</v>
      </c>
      <c r="BQ166" s="36"/>
      <c r="BR166" s="36"/>
      <c r="BS166" s="148"/>
      <c r="BT166" s="156">
        <f>10.031+0.018+0.018</f>
        <v>10.067000000000002</v>
      </c>
      <c r="BU166" s="156">
        <f>1.61+0.018+0.018</f>
        <v>1.6460000000000001</v>
      </c>
      <c r="BV166" s="156">
        <f>10.625+(4*0.018)</f>
        <v>10.696999999999999</v>
      </c>
      <c r="BW166" s="47">
        <f t="shared" si="26"/>
        <v>0.10257656629282409</v>
      </c>
      <c r="BX166" s="151">
        <f>0.15+0.23</f>
        <v>0.38</v>
      </c>
      <c r="BY166" s="156">
        <v>12</v>
      </c>
      <c r="BZ166" s="156">
        <v>10.37</v>
      </c>
      <c r="CA166" s="156">
        <v>10.62</v>
      </c>
      <c r="CB166" s="47">
        <f t="shared" si="29"/>
        <v>0.76478749999999995</v>
      </c>
      <c r="CC166" s="151">
        <v>0.66</v>
      </c>
      <c r="CD166" s="151"/>
      <c r="CE166" s="151"/>
      <c r="CF166" s="24" t="s">
        <v>134</v>
      </c>
      <c r="CG166" s="24">
        <v>6</v>
      </c>
      <c r="CH166" s="24">
        <v>12</v>
      </c>
      <c r="CI166" s="24">
        <v>4</v>
      </c>
      <c r="CJ166" s="153">
        <f t="shared" si="25"/>
        <v>288</v>
      </c>
      <c r="CK166" s="27">
        <f t="shared" si="31"/>
        <v>196.1498</v>
      </c>
      <c r="CL166" s="27" t="s">
        <v>139</v>
      </c>
      <c r="CM166" s="24" t="s">
        <v>140</v>
      </c>
      <c r="CN166" s="144"/>
      <c r="CO166" s="35"/>
    </row>
    <row r="167" spans="1:95" s="1" customFormat="1" x14ac:dyDescent="0.25">
      <c r="A167" s="145">
        <v>42341</v>
      </c>
      <c r="B167" s="72" t="s">
        <v>12</v>
      </c>
      <c r="C167" s="72" t="s">
        <v>410</v>
      </c>
      <c r="D167" s="94" t="s">
        <v>105</v>
      </c>
      <c r="E167" s="73" t="s">
        <v>100</v>
      </c>
      <c r="F167" s="160" t="s">
        <v>411</v>
      </c>
      <c r="G167" s="160"/>
      <c r="H167" s="160"/>
      <c r="I167" s="160"/>
      <c r="J167" s="72" t="s">
        <v>412</v>
      </c>
      <c r="K167" s="71" t="s">
        <v>413</v>
      </c>
      <c r="L167" s="94"/>
      <c r="M167" s="94"/>
      <c r="N167" s="25"/>
      <c r="O167" s="26"/>
      <c r="P167" s="26"/>
      <c r="Q167" s="26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25"/>
      <c r="AO167" s="33"/>
      <c r="AP167" s="25"/>
      <c r="AQ167" s="33"/>
      <c r="AR167" s="31"/>
      <c r="AS167" s="33"/>
      <c r="AT167" s="25"/>
      <c r="AU167" s="75"/>
      <c r="AV167" s="94"/>
      <c r="AW167" s="41"/>
      <c r="AX167" s="94"/>
      <c r="AY167" s="94"/>
      <c r="AZ167" s="94"/>
      <c r="BA167" s="94"/>
      <c r="BB167" s="94"/>
      <c r="BC167" s="94"/>
      <c r="BD167" s="94"/>
      <c r="BE167" s="31"/>
      <c r="BF167" s="94"/>
      <c r="BG167" s="94"/>
      <c r="BH167" s="94"/>
      <c r="BI167" s="94"/>
      <c r="BJ167" s="25"/>
      <c r="BK167" s="155">
        <v>43.87</v>
      </c>
      <c r="BL167" s="45" t="s">
        <v>414</v>
      </c>
      <c r="BM167" s="45" t="s">
        <v>415</v>
      </c>
      <c r="BN167" s="103">
        <v>9.67</v>
      </c>
      <c r="BO167" s="103">
        <v>8.5</v>
      </c>
      <c r="BP167" s="103">
        <v>0.8</v>
      </c>
      <c r="BQ167" s="36"/>
      <c r="BR167" s="36"/>
      <c r="BS167" s="148"/>
      <c r="BT167" s="156">
        <f>8.93+0.018+0.018</f>
        <v>8.9660000000000011</v>
      </c>
      <c r="BU167" s="156">
        <f>1.31+0.018+0.018</f>
        <v>1.3460000000000001</v>
      </c>
      <c r="BV167" s="156">
        <f>9.75+(4*0.018)</f>
        <v>9.8219999999999992</v>
      </c>
      <c r="BW167" s="47">
        <f t="shared" si="26"/>
        <v>6.8596188652777779E-2</v>
      </c>
      <c r="BX167" s="151">
        <f>0.12+0.47</f>
        <v>0.59</v>
      </c>
      <c r="BY167" s="156">
        <v>10.5</v>
      </c>
      <c r="BZ167" s="156">
        <v>8.75</v>
      </c>
      <c r="CA167" s="156">
        <v>9.75</v>
      </c>
      <c r="CB167" s="47">
        <f t="shared" si="29"/>
        <v>0.51839192708333337</v>
      </c>
      <c r="CC167" s="151">
        <v>0.28000000000000003</v>
      </c>
      <c r="CD167" s="151"/>
      <c r="CE167" s="151"/>
      <c r="CF167" s="24" t="s">
        <v>134</v>
      </c>
      <c r="CG167" s="24">
        <v>6</v>
      </c>
      <c r="CH167" s="24">
        <v>18</v>
      </c>
      <c r="CI167" s="24">
        <v>4</v>
      </c>
      <c r="CJ167" s="153">
        <f t="shared" si="25"/>
        <v>432</v>
      </c>
      <c r="CK167" s="27">
        <f t="shared" si="31"/>
        <v>342.20421875</v>
      </c>
      <c r="CL167" s="27" t="s">
        <v>139</v>
      </c>
      <c r="CM167" s="24" t="s">
        <v>140</v>
      </c>
      <c r="CN167" s="144"/>
      <c r="CO167" s="144"/>
    </row>
    <row r="168" spans="1:95" s="1" customFormat="1" x14ac:dyDescent="0.25">
      <c r="A168" s="145">
        <v>42341</v>
      </c>
      <c r="B168" s="72" t="s">
        <v>12</v>
      </c>
      <c r="C168" s="72" t="s">
        <v>416</v>
      </c>
      <c r="D168" s="94" t="s">
        <v>105</v>
      </c>
      <c r="E168" s="73" t="s">
        <v>100</v>
      </c>
      <c r="F168" s="161" t="s">
        <v>417</v>
      </c>
      <c r="G168" s="161"/>
      <c r="H168" s="161"/>
      <c r="I168" s="161"/>
      <c r="J168" s="72" t="s">
        <v>418</v>
      </c>
      <c r="K168" s="162" t="s">
        <v>419</v>
      </c>
      <c r="L168" s="94"/>
      <c r="M168" s="94"/>
      <c r="N168" s="25"/>
      <c r="O168" s="26"/>
      <c r="P168" s="26"/>
      <c r="Q168" s="26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25"/>
      <c r="AO168" s="33"/>
      <c r="AP168" s="25"/>
      <c r="AQ168" s="33"/>
      <c r="AR168" s="31"/>
      <c r="AS168" s="33"/>
      <c r="AT168" s="25"/>
      <c r="AU168" s="75"/>
      <c r="AV168" s="94"/>
      <c r="AW168" s="75"/>
      <c r="AX168" s="94"/>
      <c r="AY168" s="94"/>
      <c r="AZ168" s="94"/>
      <c r="BA168" s="75"/>
      <c r="BB168" s="94"/>
      <c r="BC168" s="94"/>
      <c r="BD168" s="94"/>
      <c r="BE168" s="31"/>
      <c r="BF168" s="94"/>
      <c r="BG168" s="94"/>
      <c r="BH168" s="94"/>
      <c r="BI168" s="94"/>
      <c r="BJ168" s="25"/>
      <c r="BK168" s="155">
        <v>18.940000000000001</v>
      </c>
      <c r="BL168" s="45" t="s">
        <v>420</v>
      </c>
      <c r="BM168" s="45" t="s">
        <v>421</v>
      </c>
      <c r="BN168" s="103">
        <v>9.5299999999999994</v>
      </c>
      <c r="BO168" s="103">
        <v>8.74</v>
      </c>
      <c r="BP168" s="103">
        <v>2.91</v>
      </c>
      <c r="BQ168" s="36"/>
      <c r="BR168" s="36"/>
      <c r="BS168" s="148"/>
      <c r="BT168" s="116">
        <v>10.346</v>
      </c>
      <c r="BU168" s="116">
        <v>2.9660000000000002</v>
      </c>
      <c r="BV168" s="116">
        <v>10.382</v>
      </c>
      <c r="BW168" s="91">
        <v>0.18436603133796298</v>
      </c>
      <c r="BX168" s="163">
        <v>0.26</v>
      </c>
      <c r="BY168" s="116">
        <v>18.62</v>
      </c>
      <c r="BZ168" s="116">
        <v>10.75</v>
      </c>
      <c r="CA168" s="116">
        <v>11</v>
      </c>
      <c r="CB168" s="91">
        <v>1.2741984953703704</v>
      </c>
      <c r="CC168" s="163">
        <v>0.91</v>
      </c>
      <c r="CD168" s="163"/>
      <c r="CE168" s="163"/>
      <c r="CF168" s="74" t="s">
        <v>134</v>
      </c>
      <c r="CG168" s="74">
        <v>6</v>
      </c>
      <c r="CH168" s="74">
        <v>8</v>
      </c>
      <c r="CI168" s="74">
        <v>4</v>
      </c>
      <c r="CJ168" s="27">
        <v>192</v>
      </c>
      <c r="CK168" s="27">
        <v>190.61435185185186</v>
      </c>
      <c r="CL168" s="27" t="s">
        <v>139</v>
      </c>
      <c r="CM168" s="24" t="s">
        <v>140</v>
      </c>
      <c r="CN168" s="35"/>
      <c r="CO168" s="35"/>
    </row>
    <row r="169" spans="1:95" s="1" customFormat="1" x14ac:dyDescent="0.25">
      <c r="A169" s="145">
        <v>42341</v>
      </c>
      <c r="B169" s="72" t="s">
        <v>12</v>
      </c>
      <c r="C169" s="72" t="s">
        <v>422</v>
      </c>
      <c r="D169" s="94" t="s">
        <v>105</v>
      </c>
      <c r="E169" s="73" t="s">
        <v>310</v>
      </c>
      <c r="F169" s="154" t="s">
        <v>423</v>
      </c>
      <c r="G169" s="154"/>
      <c r="H169" s="154"/>
      <c r="I169" s="154"/>
      <c r="J169" s="72" t="s">
        <v>365</v>
      </c>
      <c r="K169" s="31">
        <v>1131840225</v>
      </c>
      <c r="L169" s="94"/>
      <c r="M169" s="94"/>
      <c r="N169" s="25"/>
      <c r="O169" s="26"/>
      <c r="P169" s="26"/>
      <c r="Q169" s="26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25"/>
      <c r="AO169" s="33"/>
      <c r="AP169" s="25"/>
      <c r="AQ169" s="33"/>
      <c r="AR169" s="31"/>
      <c r="AS169" s="33"/>
      <c r="AT169" s="25"/>
      <c r="AU169" s="75"/>
      <c r="AV169" s="94"/>
      <c r="AW169" s="75"/>
      <c r="AX169" s="94"/>
      <c r="AY169" s="94"/>
      <c r="AZ169" s="94"/>
      <c r="BA169" s="72" t="s">
        <v>424</v>
      </c>
      <c r="BB169" s="94"/>
      <c r="BC169" s="94"/>
      <c r="BD169" s="94"/>
      <c r="BE169" s="31"/>
      <c r="BF169" s="94"/>
      <c r="BG169" s="94"/>
      <c r="BH169" s="94"/>
      <c r="BI169" s="94"/>
      <c r="BJ169" s="25"/>
      <c r="BK169" s="155">
        <v>16.93</v>
      </c>
      <c r="BL169" s="45" t="s">
        <v>425</v>
      </c>
      <c r="BM169" s="45" t="s">
        <v>426</v>
      </c>
      <c r="BN169" s="36"/>
      <c r="BO169" s="36"/>
      <c r="BP169" s="36"/>
      <c r="BQ169" s="133">
        <v>2.5590000000000002</v>
      </c>
      <c r="BR169" s="133">
        <v>4.0549999999999997</v>
      </c>
      <c r="BS169" s="164"/>
      <c r="BT169" s="156">
        <f>2.755+0.018+0.018</f>
        <v>2.7909999999999995</v>
      </c>
      <c r="BU169" s="156">
        <f>2.755+0.018+0.018</f>
        <v>2.7909999999999995</v>
      </c>
      <c r="BV169" s="156">
        <f>4.842+(4*0.018)</f>
        <v>4.9139999999999997</v>
      </c>
      <c r="BW169" s="47">
        <f t="shared" si="26"/>
        <v>2.2151905343749986E-2</v>
      </c>
      <c r="BX169" s="157">
        <f>0.1+0.25</f>
        <v>0.35</v>
      </c>
      <c r="BY169" s="156">
        <f>11.42+0.25</f>
        <v>11.67</v>
      </c>
      <c r="BZ169" s="156">
        <f>8.66+0.25</f>
        <v>8.91</v>
      </c>
      <c r="CA169" s="156">
        <v>5.93</v>
      </c>
      <c r="CB169" s="47">
        <f t="shared" si="29"/>
        <v>0.35682848437499998</v>
      </c>
      <c r="CC169" s="24">
        <v>0.25</v>
      </c>
      <c r="CD169" s="24"/>
      <c r="CE169" s="24"/>
      <c r="CF169" s="24" t="s">
        <v>134</v>
      </c>
      <c r="CG169" s="24">
        <v>12</v>
      </c>
      <c r="CH169" s="24">
        <v>17</v>
      </c>
      <c r="CI169" s="24">
        <v>7</v>
      </c>
      <c r="CJ169" s="153">
        <f t="shared" si="25"/>
        <v>1428</v>
      </c>
      <c r="CK169" s="27">
        <f>((((BS169+BX169)*CG169)+CB169)*CH169*CI169)+50</f>
        <v>592.26258964062492</v>
      </c>
      <c r="CL169" s="27" t="s">
        <v>321</v>
      </c>
      <c r="CM169" s="88" t="s">
        <v>150</v>
      </c>
      <c r="CN169" s="27" t="s">
        <v>136</v>
      </c>
      <c r="CO169" s="35"/>
    </row>
    <row r="170" spans="1:95" s="1" customFormat="1" ht="60" customHeight="1" x14ac:dyDescent="0.25">
      <c r="A170" s="145">
        <v>42341</v>
      </c>
      <c r="B170" s="72" t="s">
        <v>12</v>
      </c>
      <c r="C170" s="72" t="s">
        <v>363</v>
      </c>
      <c r="D170" s="94" t="s">
        <v>105</v>
      </c>
      <c r="E170" s="73" t="s">
        <v>310</v>
      </c>
      <c r="F170" s="154" t="s">
        <v>364</v>
      </c>
      <c r="G170" s="154"/>
      <c r="H170" s="154"/>
      <c r="I170" s="154"/>
      <c r="J170" s="72" t="s">
        <v>365</v>
      </c>
      <c r="K170" s="31">
        <v>2761800009</v>
      </c>
      <c r="L170" s="94"/>
      <c r="M170" s="94"/>
      <c r="N170" s="25"/>
      <c r="O170" s="26"/>
      <c r="P170" s="26"/>
      <c r="Q170" s="26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25"/>
      <c r="AO170" s="33"/>
      <c r="AP170" s="25"/>
      <c r="AQ170" s="33"/>
      <c r="AR170" s="31"/>
      <c r="AS170" s="33"/>
      <c r="AT170" s="25"/>
      <c r="AU170" s="72"/>
      <c r="AV170" s="94"/>
      <c r="AW170" s="41"/>
      <c r="AX170" s="94"/>
      <c r="AY170" s="94"/>
      <c r="AZ170" s="94"/>
      <c r="BA170" s="94"/>
      <c r="BB170" s="94"/>
      <c r="BC170" s="94"/>
      <c r="BD170" s="94"/>
      <c r="BE170" s="31"/>
      <c r="BF170" s="94"/>
      <c r="BG170" s="94"/>
      <c r="BH170" s="94"/>
      <c r="BI170" s="94"/>
      <c r="BJ170" s="25"/>
      <c r="BK170" s="155">
        <v>29.88</v>
      </c>
      <c r="BL170" s="45" t="s">
        <v>427</v>
      </c>
      <c r="BM170" s="45" t="s">
        <v>428</v>
      </c>
      <c r="BN170" s="36"/>
      <c r="BO170" s="36"/>
      <c r="BP170" s="36"/>
      <c r="BQ170" s="92">
        <v>2.56</v>
      </c>
      <c r="BR170" s="92">
        <v>6.59</v>
      </c>
      <c r="BS170" s="164"/>
      <c r="BT170" s="165">
        <f>2.87+0.018+0.018</f>
        <v>2.9059999999999997</v>
      </c>
      <c r="BU170" s="166">
        <f>2.87+0.018+0.018</f>
        <v>2.9059999999999997</v>
      </c>
      <c r="BV170" s="166">
        <f>6.62+(4*0.018)</f>
        <v>6.6920000000000002</v>
      </c>
      <c r="BW170" s="167">
        <f t="shared" si="26"/>
        <v>3.2704191268518513E-2</v>
      </c>
      <c r="BX170" s="168">
        <f>0.08+0.5</f>
        <v>0.57999999999999996</v>
      </c>
      <c r="BY170" s="156">
        <v>13.5</v>
      </c>
      <c r="BZ170" s="156">
        <v>9.25</v>
      </c>
      <c r="CA170" s="156">
        <v>7.25</v>
      </c>
      <c r="CB170" s="47">
        <f t="shared" si="29"/>
        <v>0.52392578125</v>
      </c>
      <c r="CC170" s="151">
        <v>0.56999999999999995</v>
      </c>
      <c r="CD170" s="151"/>
      <c r="CE170" s="151"/>
      <c r="CF170" s="24" t="s">
        <v>134</v>
      </c>
      <c r="CG170" s="24">
        <v>12</v>
      </c>
      <c r="CH170" s="24">
        <v>13</v>
      </c>
      <c r="CI170" s="24">
        <v>6</v>
      </c>
      <c r="CJ170" s="153">
        <f t="shared" si="25"/>
        <v>936</v>
      </c>
      <c r="CK170" s="27">
        <f>((((BS170+BX170)*CG170)+CB170)*CH170*CI170)+50</f>
        <v>633.74621093749988</v>
      </c>
      <c r="CL170" s="27" t="s">
        <v>366</v>
      </c>
      <c r="CM170" s="88" t="s">
        <v>150</v>
      </c>
      <c r="CN170" s="71"/>
      <c r="CO170" s="71"/>
    </row>
    <row r="171" spans="1:95" s="1" customFormat="1" ht="60" customHeight="1" x14ac:dyDescent="0.25">
      <c r="A171" s="145">
        <v>42341</v>
      </c>
      <c r="B171" s="75" t="s">
        <v>12</v>
      </c>
      <c r="C171" s="75" t="s">
        <v>429</v>
      </c>
      <c r="D171" s="94" t="s">
        <v>54</v>
      </c>
      <c r="E171" s="100" t="s">
        <v>59</v>
      </c>
      <c r="F171" s="154" t="s">
        <v>430</v>
      </c>
      <c r="G171" s="154"/>
      <c r="H171" s="154"/>
      <c r="I171" s="154"/>
      <c r="J171" s="75" t="s">
        <v>107</v>
      </c>
      <c r="K171" s="31">
        <v>19256348</v>
      </c>
      <c r="L171" s="94"/>
      <c r="M171" s="94"/>
      <c r="N171" s="25"/>
      <c r="O171" s="26"/>
      <c r="P171" s="26"/>
      <c r="Q171" s="26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25" t="s">
        <v>431</v>
      </c>
      <c r="AO171" s="33"/>
      <c r="AP171" s="25"/>
      <c r="AQ171" s="33"/>
      <c r="AR171" s="31"/>
      <c r="AS171" s="33"/>
      <c r="AT171" s="25"/>
      <c r="AU171" s="75" t="s">
        <v>432</v>
      </c>
      <c r="AV171" s="94"/>
      <c r="AW171" s="41"/>
      <c r="AX171" s="94"/>
      <c r="AY171" s="94"/>
      <c r="AZ171" s="94"/>
      <c r="BA171" s="94"/>
      <c r="BB171" s="94"/>
      <c r="BC171" s="94"/>
      <c r="BD171" s="94"/>
      <c r="BE171" s="31" t="s">
        <v>433</v>
      </c>
      <c r="BF171" s="94"/>
      <c r="BG171" s="94" t="s">
        <v>434</v>
      </c>
      <c r="BH171" s="94"/>
      <c r="BI171" s="94" t="s">
        <v>434</v>
      </c>
      <c r="BJ171" s="25">
        <v>33837</v>
      </c>
      <c r="BK171" s="76">
        <v>173.32</v>
      </c>
      <c r="BL171" s="45" t="s">
        <v>435</v>
      </c>
      <c r="BM171" s="45" t="s">
        <v>436</v>
      </c>
      <c r="BN171" s="36"/>
      <c r="BO171" s="36"/>
      <c r="BP171" s="36"/>
      <c r="BQ171" s="133">
        <v>4.0199999999999996</v>
      </c>
      <c r="BR171" s="133">
        <v>6.44</v>
      </c>
      <c r="BS171" s="77">
        <v>1.28</v>
      </c>
      <c r="BT171" s="74">
        <f>4.43+0.018+0.018</f>
        <v>4.4659999999999993</v>
      </c>
      <c r="BU171" s="74">
        <f>4.43+0.018+0.018</f>
        <v>4.4659999999999993</v>
      </c>
      <c r="BV171" s="74">
        <f>10.37+0.018+0.018+0.018+0.018</f>
        <v>10.442000000000002</v>
      </c>
      <c r="BW171" s="91">
        <f t="shared" si="26"/>
        <v>0.12052506883796293</v>
      </c>
      <c r="BX171" s="78">
        <v>0.27</v>
      </c>
      <c r="BY171" s="93">
        <v>14.5</v>
      </c>
      <c r="BZ171" s="93">
        <f>9.37+0.25</f>
        <v>9.6199999999999992</v>
      </c>
      <c r="CA171" s="93">
        <v>11.56</v>
      </c>
      <c r="CB171" s="91">
        <f t="shared" si="29"/>
        <v>0.93316226851851858</v>
      </c>
      <c r="CC171" s="120">
        <v>1.24</v>
      </c>
      <c r="CD171" s="120"/>
      <c r="CE171" s="120"/>
      <c r="CF171" s="43" t="s">
        <v>134</v>
      </c>
      <c r="CG171" s="74">
        <v>6</v>
      </c>
      <c r="CH171" s="74">
        <v>12</v>
      </c>
      <c r="CI171" s="74">
        <v>3</v>
      </c>
      <c r="CJ171" s="27">
        <f t="shared" si="25"/>
        <v>216</v>
      </c>
      <c r="CK171" s="27">
        <f>((BS171+BX171+CC171)*CH171*CI171)+50</f>
        <v>150.44</v>
      </c>
      <c r="CL171" s="74" t="s">
        <v>256</v>
      </c>
      <c r="CM171" s="27" t="s">
        <v>136</v>
      </c>
      <c r="CN171" s="71"/>
      <c r="CO171" s="71"/>
    </row>
    <row r="172" spans="1:95" s="1" customFormat="1" x14ac:dyDescent="0.25">
      <c r="A172" s="145">
        <v>42264</v>
      </c>
      <c r="B172" s="94" t="s">
        <v>12</v>
      </c>
      <c r="C172" s="31" t="s">
        <v>437</v>
      </c>
      <c r="D172" s="94" t="s">
        <v>105</v>
      </c>
      <c r="E172" s="169" t="s">
        <v>438</v>
      </c>
      <c r="F172" s="94" t="s">
        <v>439</v>
      </c>
      <c r="G172" s="131"/>
      <c r="H172" s="131"/>
      <c r="I172" s="131"/>
      <c r="J172" s="131" t="s">
        <v>168</v>
      </c>
      <c r="K172" s="94" t="s">
        <v>440</v>
      </c>
      <c r="L172" s="94"/>
      <c r="M172" s="94"/>
      <c r="N172" s="25"/>
      <c r="O172" s="26"/>
      <c r="P172" s="26"/>
      <c r="Q172" s="26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25"/>
      <c r="AO172" s="33"/>
      <c r="AP172" s="25"/>
      <c r="AQ172" s="33"/>
      <c r="AR172" s="31"/>
      <c r="AS172" s="33"/>
      <c r="AT172" s="25"/>
      <c r="AU172" s="41" t="s">
        <v>441</v>
      </c>
      <c r="AV172" s="94"/>
      <c r="AW172" s="41"/>
      <c r="AX172" s="94" t="s">
        <v>442</v>
      </c>
      <c r="AY172" s="94"/>
      <c r="AZ172" s="94"/>
      <c r="BA172" s="94"/>
      <c r="BB172" s="94"/>
      <c r="BC172" s="94"/>
      <c r="BD172" s="94"/>
      <c r="BE172" s="31"/>
      <c r="BF172" s="94" t="s">
        <v>443</v>
      </c>
      <c r="BG172" s="94" t="s">
        <v>444</v>
      </c>
      <c r="BH172" s="94"/>
      <c r="BI172" s="94" t="s">
        <v>444</v>
      </c>
      <c r="BJ172" s="25"/>
      <c r="BK172" s="170">
        <v>69.95</v>
      </c>
      <c r="BL172" s="171" t="s">
        <v>445</v>
      </c>
      <c r="BM172" s="172">
        <v>10038568742459</v>
      </c>
      <c r="BN172" s="164">
        <v>12.42</v>
      </c>
      <c r="BO172" s="164">
        <v>13.27</v>
      </c>
      <c r="BP172" s="164">
        <v>1.34</v>
      </c>
      <c r="BQ172" s="148"/>
      <c r="BR172" s="148"/>
      <c r="BS172" s="148"/>
      <c r="BT172" s="150">
        <f>13.31+(0.018*2)</f>
        <v>13.346</v>
      </c>
      <c r="BU172" s="150">
        <f>2.87+(0.018*2)</f>
        <v>2.9060000000000001</v>
      </c>
      <c r="BV172" s="150">
        <f>13.31+(0.018*4)</f>
        <v>13.382</v>
      </c>
      <c r="BW172" s="47">
        <f t="shared" si="26"/>
        <v>0.30034749758796297</v>
      </c>
      <c r="BX172" s="173">
        <f>0.908+0.1</f>
        <v>1.008</v>
      </c>
      <c r="BY172" s="174">
        <f>14.25+(0.125*2)</f>
        <v>14.5</v>
      </c>
      <c r="BZ172" s="174">
        <f>13.5+(0.125*2)</f>
        <v>13.75</v>
      </c>
      <c r="CA172" s="174">
        <f>9+(0.125*4)</f>
        <v>9.5</v>
      </c>
      <c r="CB172" s="47">
        <f>(CA172*BZ172*BY172)/1728</f>
        <v>1.0961009837962963</v>
      </c>
      <c r="CC172" s="173">
        <f>(BX172*3)+0.25</f>
        <v>3.274</v>
      </c>
      <c r="CD172" s="173"/>
      <c r="CE172" s="173"/>
      <c r="CF172" s="94" t="s">
        <v>163</v>
      </c>
      <c r="CG172" s="94">
        <v>3</v>
      </c>
      <c r="CH172" s="94">
        <v>6</v>
      </c>
      <c r="CI172" s="94">
        <v>4</v>
      </c>
      <c r="CJ172" s="153">
        <f t="shared" si="25"/>
        <v>72</v>
      </c>
      <c r="CK172" s="153">
        <f>(CC172*CH172*CI172)+50</f>
        <v>128.57599999999999</v>
      </c>
      <c r="CL172" s="94" t="s">
        <v>321</v>
      </c>
      <c r="CM172" s="153" t="s">
        <v>136</v>
      </c>
      <c r="CN172" s="71"/>
      <c r="CO172" s="35"/>
      <c r="CP172" s="71"/>
      <c r="CQ172" s="71"/>
    </row>
    <row r="173" spans="1:95" s="1" customFormat="1" ht="30" x14ac:dyDescent="0.25">
      <c r="A173" s="145">
        <v>42264</v>
      </c>
      <c r="B173" s="94" t="s">
        <v>12</v>
      </c>
      <c r="C173" s="31" t="s">
        <v>446</v>
      </c>
      <c r="D173" s="94" t="s">
        <v>54</v>
      </c>
      <c r="E173" s="175" t="s">
        <v>447</v>
      </c>
      <c r="F173" s="175" t="s">
        <v>448</v>
      </c>
      <c r="G173" s="434"/>
      <c r="H173" s="434"/>
      <c r="I173" s="434"/>
      <c r="J173" s="131"/>
      <c r="K173" s="46"/>
      <c r="L173" s="94"/>
      <c r="M173" s="94"/>
      <c r="N173" s="25"/>
      <c r="O173" s="26"/>
      <c r="P173" s="26"/>
      <c r="Q173" s="26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25" t="s">
        <v>449</v>
      </c>
      <c r="AO173" s="33"/>
      <c r="AP173" s="25"/>
      <c r="AQ173" s="33"/>
      <c r="AR173" s="31"/>
      <c r="AS173" s="33"/>
      <c r="AT173" s="25" t="s">
        <v>450</v>
      </c>
      <c r="AU173" s="41"/>
      <c r="AV173" s="94"/>
      <c r="AW173" s="41"/>
      <c r="AX173" s="94"/>
      <c r="AY173" s="94"/>
      <c r="AZ173" s="94"/>
      <c r="BA173" s="94"/>
      <c r="BB173" s="94"/>
      <c r="BC173" s="94"/>
      <c r="BD173" s="94"/>
      <c r="BE173" s="31"/>
      <c r="BF173" s="94"/>
      <c r="BG173" s="94"/>
      <c r="BH173" s="94"/>
      <c r="BI173" s="94"/>
      <c r="BJ173" s="25" t="s">
        <v>451</v>
      </c>
      <c r="BK173" s="170">
        <v>69.989999999999995</v>
      </c>
      <c r="BL173" s="171" t="s">
        <v>452</v>
      </c>
      <c r="BM173" s="172">
        <v>10038568739817</v>
      </c>
      <c r="BN173" s="148"/>
      <c r="BO173" s="148"/>
      <c r="BP173" s="148"/>
      <c r="BQ173" s="148"/>
      <c r="BR173" s="148"/>
      <c r="BS173" s="148"/>
      <c r="BT173" s="150">
        <f>3.81+(0.125*2)</f>
        <v>4.0600000000000005</v>
      </c>
      <c r="BU173" s="150">
        <f>3.81+(0.125*2)</f>
        <v>4.0600000000000005</v>
      </c>
      <c r="BV173" s="150">
        <f>5.37+(0.125*4)</f>
        <v>5.87</v>
      </c>
      <c r="BW173" s="47">
        <f t="shared" si="26"/>
        <v>5.5994636574074087E-2</v>
      </c>
      <c r="BX173" s="173">
        <f>1.5+0.25</f>
        <v>1.75</v>
      </c>
      <c r="BY173" s="562" t="s">
        <v>355</v>
      </c>
      <c r="BZ173" s="563"/>
      <c r="CA173" s="563"/>
      <c r="CB173" s="563"/>
      <c r="CC173" s="564"/>
      <c r="CD173" s="298"/>
      <c r="CE173" s="298"/>
      <c r="CF173" s="94" t="s">
        <v>163</v>
      </c>
      <c r="CG173" s="94">
        <v>1</v>
      </c>
      <c r="CH173" s="94">
        <v>99</v>
      </c>
      <c r="CI173" s="94">
        <v>6</v>
      </c>
      <c r="CJ173" s="153">
        <f t="shared" si="25"/>
        <v>594</v>
      </c>
      <c r="CK173" s="153">
        <f>(BX173*CJ173)+50</f>
        <v>1089.5</v>
      </c>
      <c r="CL173" s="94" t="s">
        <v>139</v>
      </c>
      <c r="CM173" s="153" t="s">
        <v>136</v>
      </c>
      <c r="CN173" s="71"/>
      <c r="CO173" s="71"/>
    </row>
    <row r="174" spans="1:95" s="1" customFormat="1" x14ac:dyDescent="0.25">
      <c r="A174" s="145">
        <v>42264</v>
      </c>
      <c r="B174" s="94" t="s">
        <v>12</v>
      </c>
      <c r="C174" s="31" t="s">
        <v>453</v>
      </c>
      <c r="D174" s="94" t="s">
        <v>105</v>
      </c>
      <c r="E174" s="169" t="s">
        <v>454</v>
      </c>
      <c r="F174" s="94" t="s">
        <v>455</v>
      </c>
      <c r="G174" s="131"/>
      <c r="H174" s="131"/>
      <c r="I174" s="131"/>
      <c r="J174" s="131" t="s">
        <v>333</v>
      </c>
      <c r="K174" s="94" t="s">
        <v>456</v>
      </c>
      <c r="L174" s="94"/>
      <c r="M174" s="94"/>
      <c r="N174" s="25"/>
      <c r="O174" s="26"/>
      <c r="P174" s="26"/>
      <c r="Q174" s="26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25" t="s">
        <v>457</v>
      </c>
      <c r="AO174" s="33"/>
      <c r="AP174" s="25"/>
      <c r="AQ174" s="33"/>
      <c r="AR174" s="31"/>
      <c r="AS174" s="33"/>
      <c r="AT174" s="25"/>
      <c r="AU174" s="25"/>
      <c r="AV174" s="94"/>
      <c r="AW174" s="41"/>
      <c r="AX174" s="94"/>
      <c r="AY174" s="94"/>
      <c r="AZ174" s="94"/>
      <c r="BA174" s="94"/>
      <c r="BB174" s="94"/>
      <c r="BC174" s="94"/>
      <c r="BD174" s="94"/>
      <c r="BE174" s="31"/>
      <c r="BF174" s="94"/>
      <c r="BG174" s="94"/>
      <c r="BH174" s="94"/>
      <c r="BI174" s="94"/>
      <c r="BJ174" s="25"/>
      <c r="BK174" s="170">
        <v>18.97</v>
      </c>
      <c r="BL174" s="171" t="s">
        <v>458</v>
      </c>
      <c r="BM174" s="172">
        <v>10038568743234</v>
      </c>
      <c r="BN174" s="164">
        <v>5.98</v>
      </c>
      <c r="BO174" s="164">
        <v>2.91</v>
      </c>
      <c r="BP174" s="164">
        <v>0.79</v>
      </c>
      <c r="BQ174" s="148"/>
      <c r="BR174" s="148"/>
      <c r="BS174" s="148"/>
      <c r="BT174" s="150">
        <f>3.15+(0.018*2)</f>
        <v>3.1859999999999999</v>
      </c>
      <c r="BU174" s="150">
        <f>3.15+(0.018*2)</f>
        <v>3.1859999999999999</v>
      </c>
      <c r="BV174" s="150">
        <f>6+(0.018*4)</f>
        <v>6.0720000000000001</v>
      </c>
      <c r="BW174" s="47">
        <f t="shared" si="26"/>
        <v>3.5668066499999998E-2</v>
      </c>
      <c r="BX174" s="173">
        <f>0.07+0.1</f>
        <v>0.17</v>
      </c>
      <c r="BY174" s="176">
        <f>9.75+(0.125*2)</f>
        <v>10</v>
      </c>
      <c r="BZ174" s="177">
        <f>6.5+(0.125*2)</f>
        <v>6.75</v>
      </c>
      <c r="CA174" s="177">
        <f>6.12+(0.125*4)</f>
        <v>6.62</v>
      </c>
      <c r="CB174" s="167">
        <f t="shared" ref="CB174:CB185" si="32">(CA174*BZ174*BY174)/1728</f>
        <v>0.25859375000000001</v>
      </c>
      <c r="CC174" s="178">
        <f t="shared" ref="CC174:CC181" si="33">(BX174*6)+0.25</f>
        <v>1.27</v>
      </c>
      <c r="CD174" s="178"/>
      <c r="CE174" s="178"/>
      <c r="CF174" s="94" t="s">
        <v>163</v>
      </c>
      <c r="CG174" s="94">
        <v>6</v>
      </c>
      <c r="CH174" s="94">
        <v>26</v>
      </c>
      <c r="CI174" s="94">
        <v>6</v>
      </c>
      <c r="CJ174" s="153">
        <f t="shared" si="25"/>
        <v>936</v>
      </c>
      <c r="CK174" s="153">
        <f t="shared" ref="CK174:CK180" si="34">(CC174*CH174*CI174)+50</f>
        <v>248.12</v>
      </c>
      <c r="CL174" s="94" t="s">
        <v>139</v>
      </c>
      <c r="CM174" s="153" t="s">
        <v>136</v>
      </c>
      <c r="CN174" s="71"/>
      <c r="CO174" s="71"/>
    </row>
    <row r="175" spans="1:95" s="1" customFormat="1" x14ac:dyDescent="0.25">
      <c r="A175" s="145">
        <v>42264</v>
      </c>
      <c r="B175" s="94" t="s">
        <v>12</v>
      </c>
      <c r="C175" s="31" t="s">
        <v>459</v>
      </c>
      <c r="D175" s="94" t="s">
        <v>105</v>
      </c>
      <c r="E175" s="169" t="s">
        <v>454</v>
      </c>
      <c r="F175" s="94" t="s">
        <v>460</v>
      </c>
      <c r="G175" s="131"/>
      <c r="H175" s="131"/>
      <c r="I175" s="131"/>
      <c r="J175" s="131" t="s">
        <v>124</v>
      </c>
      <c r="K175" s="131">
        <v>64319159606</v>
      </c>
      <c r="L175" s="94"/>
      <c r="M175" s="94"/>
      <c r="N175" s="25"/>
      <c r="O175" s="26"/>
      <c r="P175" s="26"/>
      <c r="Q175" s="26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25"/>
      <c r="AO175" s="33"/>
      <c r="AP175" s="25"/>
      <c r="AQ175" s="33"/>
      <c r="AR175" s="31"/>
      <c r="AS175" s="33"/>
      <c r="AT175" s="25"/>
      <c r="AU175" s="41"/>
      <c r="AV175" s="94"/>
      <c r="AW175" s="41"/>
      <c r="AX175" s="94"/>
      <c r="AY175" s="94"/>
      <c r="AZ175" s="94"/>
      <c r="BA175" s="94"/>
      <c r="BB175" s="94"/>
      <c r="BC175" s="94"/>
      <c r="BD175" s="94"/>
      <c r="BE175" s="31"/>
      <c r="BF175" s="94"/>
      <c r="BG175" s="94"/>
      <c r="BH175" s="94"/>
      <c r="BI175" s="94"/>
      <c r="BJ175" s="25"/>
      <c r="BK175" s="170">
        <v>74.28</v>
      </c>
      <c r="BL175" s="171" t="s">
        <v>461</v>
      </c>
      <c r="BM175" s="172">
        <v>10038568743456</v>
      </c>
      <c r="BN175" s="164">
        <v>8.6199999999999992</v>
      </c>
      <c r="BO175" s="164">
        <v>3.76</v>
      </c>
      <c r="BP175" s="164">
        <v>0.87</v>
      </c>
      <c r="BQ175" s="148"/>
      <c r="BR175" s="148"/>
      <c r="BS175" s="148"/>
      <c r="BT175" s="150">
        <f>5.59+(0.018*2)</f>
        <v>5.6259999999999994</v>
      </c>
      <c r="BU175" s="150">
        <f>2+(0.018*2)</f>
        <v>2.036</v>
      </c>
      <c r="BV175" s="150">
        <f>9.62+(0.018*4)</f>
        <v>9.6919999999999984</v>
      </c>
      <c r="BW175" s="47">
        <f t="shared" si="26"/>
        <v>6.424615909259257E-2</v>
      </c>
      <c r="BX175" s="173">
        <f>0.56+0.1</f>
        <v>0.66</v>
      </c>
      <c r="BY175" s="174">
        <f>13+(0.125*2)</f>
        <v>13.25</v>
      </c>
      <c r="BZ175" s="174">
        <f>9.75+(0.125*2)</f>
        <v>10</v>
      </c>
      <c r="CA175" s="174">
        <f>5.75+(0.125*4)</f>
        <v>6.25</v>
      </c>
      <c r="CB175" s="47">
        <f t="shared" si="32"/>
        <v>0.47923900462962965</v>
      </c>
      <c r="CC175" s="173">
        <f t="shared" si="33"/>
        <v>4.21</v>
      </c>
      <c r="CD175" s="173"/>
      <c r="CE175" s="173"/>
      <c r="CF175" s="94" t="s">
        <v>163</v>
      </c>
      <c r="CG175" s="94">
        <v>6</v>
      </c>
      <c r="CH175" s="94">
        <v>14</v>
      </c>
      <c r="CI175" s="94">
        <v>7</v>
      </c>
      <c r="CJ175" s="153">
        <f t="shared" si="25"/>
        <v>588</v>
      </c>
      <c r="CK175" s="153">
        <f t="shared" si="34"/>
        <v>462.58</v>
      </c>
      <c r="CL175" s="94" t="s">
        <v>139</v>
      </c>
      <c r="CM175" s="153" t="s">
        <v>136</v>
      </c>
      <c r="CN175" s="71"/>
      <c r="CO175" s="71"/>
    </row>
    <row r="176" spans="1:95" s="1" customFormat="1" ht="30" x14ac:dyDescent="0.25">
      <c r="A176" s="145">
        <v>42264</v>
      </c>
      <c r="B176" s="94" t="s">
        <v>12</v>
      </c>
      <c r="C176" s="31" t="s">
        <v>462</v>
      </c>
      <c r="D176" s="94" t="s">
        <v>105</v>
      </c>
      <c r="E176" s="169" t="s">
        <v>454</v>
      </c>
      <c r="F176" s="179" t="s">
        <v>463</v>
      </c>
      <c r="G176" s="435"/>
      <c r="H176" s="435"/>
      <c r="I176" s="435"/>
      <c r="J176" s="131" t="s">
        <v>464</v>
      </c>
      <c r="K176" s="94">
        <v>1648300218</v>
      </c>
      <c r="L176" s="94"/>
      <c r="M176" s="94"/>
      <c r="N176" s="25"/>
      <c r="O176" s="26"/>
      <c r="P176" s="26"/>
      <c r="Q176" s="26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25"/>
      <c r="AO176" s="33"/>
      <c r="AP176" s="25"/>
      <c r="AQ176" s="33"/>
      <c r="AR176" s="31"/>
      <c r="AS176" s="33"/>
      <c r="AT176" s="25"/>
      <c r="AU176" s="41"/>
      <c r="AV176" s="94"/>
      <c r="AW176" s="41"/>
      <c r="AX176" s="94"/>
      <c r="AY176" s="94"/>
      <c r="AZ176" s="94"/>
      <c r="BA176" s="94"/>
      <c r="BB176" s="94"/>
      <c r="BC176" s="94"/>
      <c r="BD176" s="94"/>
      <c r="BE176" s="31"/>
      <c r="BF176" s="94"/>
      <c r="BG176" s="94"/>
      <c r="BH176" s="94"/>
      <c r="BI176" s="94"/>
      <c r="BJ176" s="25"/>
      <c r="BK176" s="170">
        <v>45.78</v>
      </c>
      <c r="BL176" s="171" t="s">
        <v>465</v>
      </c>
      <c r="BM176" s="172">
        <v>10038568743548</v>
      </c>
      <c r="BN176" s="164">
        <v>10</v>
      </c>
      <c r="BO176" s="164">
        <v>5.27</v>
      </c>
      <c r="BP176" s="164">
        <v>1.57</v>
      </c>
      <c r="BQ176" s="148"/>
      <c r="BR176" s="148"/>
      <c r="BS176" s="148"/>
      <c r="BT176" s="180">
        <f>10+(0.018*2)</f>
        <v>10.036</v>
      </c>
      <c r="BU176" s="181">
        <f>2+(0.018*2)</f>
        <v>2.036</v>
      </c>
      <c r="BV176" s="181">
        <f>11.75+(0.018*4)</f>
        <v>11.821999999999999</v>
      </c>
      <c r="BW176" s="167">
        <f t="shared" si="26"/>
        <v>0.13979307020370368</v>
      </c>
      <c r="BX176" s="178">
        <f>0.32+0.1</f>
        <v>0.42000000000000004</v>
      </c>
      <c r="BY176" s="174">
        <f>12.5+(0.125*2)</f>
        <v>12.75</v>
      </c>
      <c r="BZ176" s="174">
        <f>11.12+(0.125*2)</f>
        <v>11.37</v>
      </c>
      <c r="CA176" s="174">
        <f>12.5+(0.125*4)</f>
        <v>13</v>
      </c>
      <c r="CB176" s="47">
        <f t="shared" si="32"/>
        <v>1.0906119791666666</v>
      </c>
      <c r="CC176" s="173">
        <f t="shared" si="33"/>
        <v>2.7700000000000005</v>
      </c>
      <c r="CD176" s="173"/>
      <c r="CE176" s="173"/>
      <c r="CF176" s="94" t="s">
        <v>163</v>
      </c>
      <c r="CG176" s="94">
        <v>6</v>
      </c>
      <c r="CH176" s="94">
        <v>12</v>
      </c>
      <c r="CI176" s="94">
        <v>3</v>
      </c>
      <c r="CJ176" s="153">
        <f t="shared" si="25"/>
        <v>216</v>
      </c>
      <c r="CK176" s="153">
        <f t="shared" si="34"/>
        <v>149.72000000000003</v>
      </c>
      <c r="CL176" s="94" t="s">
        <v>139</v>
      </c>
      <c r="CM176" s="153" t="s">
        <v>136</v>
      </c>
      <c r="CN176" s="35"/>
      <c r="CO176" s="35"/>
    </row>
    <row r="177" spans="1:99" s="1" customFormat="1" x14ac:dyDescent="0.25">
      <c r="A177" s="145">
        <v>42264</v>
      </c>
      <c r="B177" s="94" t="s">
        <v>12</v>
      </c>
      <c r="C177" s="31" t="s">
        <v>466</v>
      </c>
      <c r="D177" s="94" t="s">
        <v>105</v>
      </c>
      <c r="E177" s="169" t="s">
        <v>454</v>
      </c>
      <c r="F177" s="94" t="s">
        <v>467</v>
      </c>
      <c r="G177" s="131"/>
      <c r="H177" s="131"/>
      <c r="I177" s="131"/>
      <c r="J177" s="131" t="s">
        <v>235</v>
      </c>
      <c r="K177" s="94" t="s">
        <v>468</v>
      </c>
      <c r="L177" s="94"/>
      <c r="M177" s="94"/>
      <c r="N177" s="25"/>
      <c r="O177" s="26"/>
      <c r="P177" s="26"/>
      <c r="Q177" s="26"/>
      <c r="R177" s="34"/>
      <c r="S177" s="34"/>
      <c r="T177" s="34"/>
      <c r="U177" s="34"/>
      <c r="V177" s="34"/>
      <c r="W177" s="34"/>
      <c r="X177" s="379"/>
      <c r="Y177" s="379"/>
      <c r="Z177" s="379"/>
      <c r="AA177" s="379"/>
      <c r="AB177" s="379"/>
      <c r="AC177" s="379"/>
      <c r="AD177" s="379"/>
      <c r="AE177" s="379"/>
      <c r="AF177" s="379"/>
      <c r="AG177" s="379"/>
      <c r="AH177" s="379"/>
      <c r="AI177" s="379"/>
      <c r="AJ177" s="379"/>
      <c r="AK177" s="379"/>
      <c r="AL177" s="379"/>
      <c r="AM177" s="379"/>
      <c r="AN177" s="158"/>
      <c r="AO177" s="33"/>
      <c r="AP177" s="25"/>
      <c r="AQ177" s="33"/>
      <c r="AR177" s="31"/>
      <c r="AS177" s="33"/>
      <c r="AT177" s="25"/>
      <c r="AU177" s="182"/>
      <c r="AV177" s="94"/>
      <c r="AW177" s="41"/>
      <c r="AX177" s="94"/>
      <c r="AY177" s="94"/>
      <c r="AZ177" s="94"/>
      <c r="BA177" s="94"/>
      <c r="BB177" s="94"/>
      <c r="BC177" s="94"/>
      <c r="BD177" s="94"/>
      <c r="BE177" s="31"/>
      <c r="BF177" s="94"/>
      <c r="BG177" s="94"/>
      <c r="BH177" s="94"/>
      <c r="BI177" s="94"/>
      <c r="BJ177" s="25"/>
      <c r="BK177" s="170">
        <v>27.95</v>
      </c>
      <c r="BL177" s="171" t="s">
        <v>469</v>
      </c>
      <c r="BM177" s="172">
        <v>10038568743203</v>
      </c>
      <c r="BN177" s="164">
        <v>6.57</v>
      </c>
      <c r="BO177" s="164">
        <v>6.38</v>
      </c>
      <c r="BP177" s="164">
        <v>0.79</v>
      </c>
      <c r="BQ177" s="148"/>
      <c r="BR177" s="148"/>
      <c r="BS177" s="148"/>
      <c r="BT177" s="150">
        <f>7.25+(0.018*2)</f>
        <v>7.2859999999999996</v>
      </c>
      <c r="BU177" s="150">
        <f>1.68+(0.018*2)</f>
        <v>1.716</v>
      </c>
      <c r="BV177" s="150">
        <f>8+(0.018*4)</f>
        <v>8.0719999999999992</v>
      </c>
      <c r="BW177" s="47">
        <f t="shared" si="26"/>
        <v>5.8404171222222211E-2</v>
      </c>
      <c r="BX177" s="173">
        <f>0.15+0.1</f>
        <v>0.25</v>
      </c>
      <c r="BY177" s="174">
        <f>10.75+(0.125*2)</f>
        <v>11</v>
      </c>
      <c r="BZ177" s="174">
        <f>7.75+(0.125*2)</f>
        <v>8</v>
      </c>
      <c r="CA177" s="174">
        <f>8.12+(0.125*4)</f>
        <v>8.6199999999999992</v>
      </c>
      <c r="CB177" s="47">
        <f t="shared" si="32"/>
        <v>0.43898148148148147</v>
      </c>
      <c r="CC177" s="173">
        <f t="shared" si="33"/>
        <v>1.75</v>
      </c>
      <c r="CD177" s="173"/>
      <c r="CE177" s="173"/>
      <c r="CF177" s="94" t="s">
        <v>163</v>
      </c>
      <c r="CG177" s="94">
        <v>6</v>
      </c>
      <c r="CH177" s="94">
        <v>20</v>
      </c>
      <c r="CI177" s="94">
        <v>5</v>
      </c>
      <c r="CJ177" s="153">
        <f t="shared" si="25"/>
        <v>600</v>
      </c>
      <c r="CK177" s="153">
        <f t="shared" si="34"/>
        <v>225</v>
      </c>
      <c r="CL177" s="94" t="s">
        <v>139</v>
      </c>
      <c r="CM177" s="153" t="s">
        <v>136</v>
      </c>
      <c r="CN177" s="35"/>
      <c r="CO177" s="35"/>
    </row>
    <row r="178" spans="1:99" s="1" customFormat="1" x14ac:dyDescent="0.25">
      <c r="A178" s="145">
        <v>42264</v>
      </c>
      <c r="B178" s="94" t="s">
        <v>12</v>
      </c>
      <c r="C178" s="31" t="s">
        <v>397</v>
      </c>
      <c r="D178" s="94" t="s">
        <v>105</v>
      </c>
      <c r="E178" s="169" t="s">
        <v>454</v>
      </c>
      <c r="F178" s="94" t="s">
        <v>470</v>
      </c>
      <c r="G178" s="131"/>
      <c r="H178" s="131"/>
      <c r="I178" s="131"/>
      <c r="J178" s="131" t="s">
        <v>471</v>
      </c>
      <c r="K178" s="94" t="s">
        <v>400</v>
      </c>
      <c r="L178" s="94"/>
      <c r="M178" s="94"/>
      <c r="N178" s="25"/>
      <c r="O178" s="26"/>
      <c r="P178" s="26"/>
      <c r="Q178" s="26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25"/>
      <c r="AO178" s="33"/>
      <c r="AP178" s="25"/>
      <c r="AQ178" s="33"/>
      <c r="AR178" s="31"/>
      <c r="AS178" s="33"/>
      <c r="AT178" s="25"/>
      <c r="AU178" s="41"/>
      <c r="AV178" s="94"/>
      <c r="AW178" s="41"/>
      <c r="AX178" s="94"/>
      <c r="AY178" s="94"/>
      <c r="AZ178" s="94"/>
      <c r="BA178" s="94"/>
      <c r="BB178" s="94"/>
      <c r="BC178" s="94"/>
      <c r="BD178" s="94"/>
      <c r="BE178" s="31"/>
      <c r="BF178" s="94"/>
      <c r="BG178" s="94"/>
      <c r="BH178" s="94"/>
      <c r="BI178" s="94"/>
      <c r="BJ178" s="94" t="s">
        <v>401</v>
      </c>
      <c r="BK178" s="170">
        <v>41.96</v>
      </c>
      <c r="BL178" s="171" t="s">
        <v>402</v>
      </c>
      <c r="BM178" s="172">
        <v>10038568743296</v>
      </c>
      <c r="BN178" s="164">
        <v>10.75</v>
      </c>
      <c r="BO178" s="164">
        <v>7.76</v>
      </c>
      <c r="BP178" s="164">
        <v>0.4</v>
      </c>
      <c r="BQ178" s="148"/>
      <c r="BR178" s="148"/>
      <c r="BS178" s="148"/>
      <c r="BT178" s="150">
        <f>8.281+(0.018*2)</f>
        <v>8.3170000000000002</v>
      </c>
      <c r="BU178" s="150">
        <f>1.375+(0.018*2)</f>
        <v>1.411</v>
      </c>
      <c r="BV178" s="150">
        <f>8.11+(0.018*4)</f>
        <v>8.1819999999999986</v>
      </c>
      <c r="BW178" s="47">
        <f t="shared" si="26"/>
        <v>5.5566040644675928E-2</v>
      </c>
      <c r="BX178" s="173">
        <f>0.27+0.1</f>
        <v>0.37</v>
      </c>
      <c r="BY178" s="174">
        <f>11.62+(0.125*2)</f>
        <v>11.87</v>
      </c>
      <c r="BZ178" s="174">
        <f>8.75+(0.125*2)</f>
        <v>9</v>
      </c>
      <c r="CA178" s="174">
        <f>8.5+(0.125*4)</f>
        <v>9</v>
      </c>
      <c r="CB178" s="47">
        <f t="shared" si="32"/>
        <v>0.55640624999999999</v>
      </c>
      <c r="CC178" s="173">
        <f t="shared" si="33"/>
        <v>2.4699999999999998</v>
      </c>
      <c r="CD178" s="173"/>
      <c r="CE178" s="173"/>
      <c r="CF178" s="94" t="s">
        <v>163</v>
      </c>
      <c r="CG178" s="94">
        <v>6</v>
      </c>
      <c r="CH178" s="94">
        <v>17</v>
      </c>
      <c r="CI178" s="94">
        <v>5</v>
      </c>
      <c r="CJ178" s="153">
        <f t="shared" si="25"/>
        <v>510</v>
      </c>
      <c r="CK178" s="153">
        <f t="shared" si="34"/>
        <v>259.95</v>
      </c>
      <c r="CL178" s="94" t="s">
        <v>139</v>
      </c>
      <c r="CM178" s="153" t="s">
        <v>136</v>
      </c>
      <c r="CN178" s="35"/>
      <c r="CO178" s="35"/>
    </row>
    <row r="179" spans="1:99" s="1" customFormat="1" ht="30" x14ac:dyDescent="0.25">
      <c r="A179" s="145">
        <v>42264</v>
      </c>
      <c r="B179" s="94" t="s">
        <v>12</v>
      </c>
      <c r="C179" s="31" t="s">
        <v>472</v>
      </c>
      <c r="D179" s="94" t="s">
        <v>105</v>
      </c>
      <c r="E179" s="169" t="s">
        <v>454</v>
      </c>
      <c r="F179" s="179" t="s">
        <v>473</v>
      </c>
      <c r="G179" s="435"/>
      <c r="H179" s="435"/>
      <c r="I179" s="435"/>
      <c r="J179" s="131" t="s">
        <v>333</v>
      </c>
      <c r="K179" s="94" t="s">
        <v>474</v>
      </c>
      <c r="L179" s="94"/>
      <c r="M179" s="94"/>
      <c r="N179" s="25"/>
      <c r="O179" s="26"/>
      <c r="P179" s="26"/>
      <c r="Q179" s="26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25"/>
      <c r="AO179" s="33"/>
      <c r="AP179" s="25"/>
      <c r="AQ179" s="33"/>
      <c r="AR179" s="31"/>
      <c r="AS179" s="33"/>
      <c r="AT179" s="25"/>
      <c r="AU179" s="25" t="s">
        <v>475</v>
      </c>
      <c r="AV179" s="94"/>
      <c r="AW179" s="41"/>
      <c r="AX179" s="94"/>
      <c r="AY179" s="94"/>
      <c r="AZ179" s="94"/>
      <c r="BA179" s="94"/>
      <c r="BB179" s="94" t="s">
        <v>472</v>
      </c>
      <c r="BC179" s="94"/>
      <c r="BD179" s="94"/>
      <c r="BE179" s="31" t="s">
        <v>476</v>
      </c>
      <c r="BF179" s="94"/>
      <c r="BG179" s="94" t="s">
        <v>476</v>
      </c>
      <c r="BH179" s="94"/>
      <c r="BI179" s="94" t="s">
        <v>477</v>
      </c>
      <c r="BJ179" s="94">
        <v>24048</v>
      </c>
      <c r="BK179" s="170">
        <v>25.95</v>
      </c>
      <c r="BL179" s="171" t="s">
        <v>478</v>
      </c>
      <c r="BM179" s="172">
        <v>10038568743555</v>
      </c>
      <c r="BN179" s="164">
        <v>10.94</v>
      </c>
      <c r="BO179" s="164">
        <v>7.83</v>
      </c>
      <c r="BP179" s="164">
        <v>1.18</v>
      </c>
      <c r="BQ179" s="148"/>
      <c r="BR179" s="148"/>
      <c r="BS179" s="148"/>
      <c r="BT179" s="150">
        <f>8.298+(0.018*2)</f>
        <v>8.3339999999999996</v>
      </c>
      <c r="BU179" s="150">
        <f>1.375+(0.018*2)</f>
        <v>1.411</v>
      </c>
      <c r="BV179" s="150">
        <f>8.11+(0.018*4)</f>
        <v>8.1819999999999986</v>
      </c>
      <c r="BW179" s="47">
        <f t="shared" si="26"/>
        <v>5.5679617979166658E-2</v>
      </c>
      <c r="BX179" s="173">
        <f>0.45+0.1</f>
        <v>0.55000000000000004</v>
      </c>
      <c r="BY179" s="174">
        <f>11.62+(0.125*2)</f>
        <v>11.87</v>
      </c>
      <c r="BZ179" s="174">
        <f>8.75+(0.125*2)</f>
        <v>9</v>
      </c>
      <c r="CA179" s="174">
        <f>8.5+(0.125*4)</f>
        <v>9</v>
      </c>
      <c r="CB179" s="47">
        <f t="shared" si="32"/>
        <v>0.55640624999999999</v>
      </c>
      <c r="CC179" s="173">
        <f t="shared" si="33"/>
        <v>3.5500000000000003</v>
      </c>
      <c r="CD179" s="173"/>
      <c r="CE179" s="173"/>
      <c r="CF179" s="94" t="s">
        <v>163</v>
      </c>
      <c r="CG179" s="94">
        <v>6</v>
      </c>
      <c r="CH179" s="94">
        <v>17</v>
      </c>
      <c r="CI179" s="94">
        <v>5</v>
      </c>
      <c r="CJ179" s="153">
        <f t="shared" si="25"/>
        <v>510</v>
      </c>
      <c r="CK179" s="153">
        <f t="shared" si="34"/>
        <v>351.75</v>
      </c>
      <c r="CL179" s="94" t="s">
        <v>139</v>
      </c>
      <c r="CM179" s="153" t="s">
        <v>136</v>
      </c>
      <c r="CN179" s="71"/>
      <c r="CO179" s="35"/>
    </row>
    <row r="180" spans="1:99" s="1" customFormat="1" ht="60" customHeight="1" x14ac:dyDescent="0.25">
      <c r="A180" s="145">
        <v>42264</v>
      </c>
      <c r="B180" s="94" t="s">
        <v>12</v>
      </c>
      <c r="C180" s="31" t="s">
        <v>479</v>
      </c>
      <c r="D180" s="94" t="s">
        <v>105</v>
      </c>
      <c r="E180" s="169" t="s">
        <v>454</v>
      </c>
      <c r="F180" s="94" t="s">
        <v>480</v>
      </c>
      <c r="G180" s="131"/>
      <c r="H180" s="131"/>
      <c r="I180" s="131"/>
      <c r="J180" s="131" t="s">
        <v>481</v>
      </c>
      <c r="K180" s="94">
        <v>5335955</v>
      </c>
      <c r="L180" s="94"/>
      <c r="M180" s="94"/>
      <c r="N180" s="25"/>
      <c r="O180" s="26"/>
      <c r="P180" s="26"/>
      <c r="Q180" s="26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25"/>
      <c r="AO180" s="33"/>
      <c r="AP180" s="25"/>
      <c r="AQ180" s="33"/>
      <c r="AR180" s="31"/>
      <c r="AS180" s="33"/>
      <c r="AT180" s="25"/>
      <c r="AU180" s="41"/>
      <c r="AV180" s="94"/>
      <c r="AW180" s="41"/>
      <c r="AX180" s="94"/>
      <c r="AY180" s="94"/>
      <c r="AZ180" s="94"/>
      <c r="BA180" s="94"/>
      <c r="BB180" s="94" t="s">
        <v>482</v>
      </c>
      <c r="BC180" s="94"/>
      <c r="BD180" s="94"/>
      <c r="BE180" s="31" t="s">
        <v>483</v>
      </c>
      <c r="BF180" s="94" t="s">
        <v>482</v>
      </c>
      <c r="BG180" s="94"/>
      <c r="BH180" s="94"/>
      <c r="BI180" s="94"/>
      <c r="BJ180" s="25">
        <v>49370</v>
      </c>
      <c r="BK180" s="170">
        <v>41.23</v>
      </c>
      <c r="BL180" s="171" t="s">
        <v>484</v>
      </c>
      <c r="BM180" s="172">
        <v>10038568743418</v>
      </c>
      <c r="BN180" s="164">
        <v>12.95</v>
      </c>
      <c r="BO180" s="164">
        <v>8.07</v>
      </c>
      <c r="BP180" s="164">
        <v>2.15</v>
      </c>
      <c r="BQ180" s="148"/>
      <c r="BR180" s="148"/>
      <c r="BS180" s="148"/>
      <c r="BT180" s="150">
        <f>8.62+(0.018*2)</f>
        <v>8.6559999999999988</v>
      </c>
      <c r="BU180" s="150">
        <f>2.25+(0.018*2)</f>
        <v>2.286</v>
      </c>
      <c r="BV180" s="150">
        <f>13.87+(0.018*4)</f>
        <v>13.941999999999998</v>
      </c>
      <c r="BW180" s="47">
        <f t="shared" si="26"/>
        <v>0.15965216566666662</v>
      </c>
      <c r="BX180" s="173">
        <f>0.85+0.1</f>
        <v>0.95</v>
      </c>
      <c r="BY180" s="174">
        <f>14.25+(0.125*2)</f>
        <v>14.5</v>
      </c>
      <c r="BZ180" s="174">
        <f>14+(0.125*2)</f>
        <v>14.25</v>
      </c>
      <c r="CA180" s="174">
        <f>9+(0.125*4)</f>
        <v>9.5</v>
      </c>
      <c r="CB180" s="47">
        <f t="shared" si="32"/>
        <v>1.1359592013888888</v>
      </c>
      <c r="CC180" s="173">
        <f t="shared" si="33"/>
        <v>5.9499999999999993</v>
      </c>
      <c r="CD180" s="173"/>
      <c r="CE180" s="173"/>
      <c r="CF180" s="94" t="s">
        <v>163</v>
      </c>
      <c r="CG180" s="94">
        <v>6</v>
      </c>
      <c r="CH180" s="94">
        <v>6</v>
      </c>
      <c r="CI180" s="94">
        <v>4</v>
      </c>
      <c r="CJ180" s="153">
        <f t="shared" si="25"/>
        <v>144</v>
      </c>
      <c r="CK180" s="153">
        <f t="shared" si="34"/>
        <v>192.79999999999998</v>
      </c>
      <c r="CL180" s="94" t="s">
        <v>139</v>
      </c>
      <c r="CM180" s="153" t="s">
        <v>136</v>
      </c>
      <c r="CN180" s="71"/>
      <c r="CO180" s="71"/>
    </row>
    <row r="181" spans="1:99" s="1" customFormat="1" ht="30" x14ac:dyDescent="0.25">
      <c r="A181" s="145">
        <v>42264</v>
      </c>
      <c r="B181" s="94" t="s">
        <v>12</v>
      </c>
      <c r="C181" s="31" t="s">
        <v>485</v>
      </c>
      <c r="D181" s="94" t="s">
        <v>54</v>
      </c>
      <c r="E181" s="169" t="s">
        <v>486</v>
      </c>
      <c r="F181" s="175" t="s">
        <v>487</v>
      </c>
      <c r="G181" s="434"/>
      <c r="H181" s="434"/>
      <c r="I181" s="434"/>
      <c r="J181" s="183" t="s">
        <v>488</v>
      </c>
      <c r="K181" s="94">
        <v>3619555</v>
      </c>
      <c r="L181" s="94"/>
      <c r="M181" s="94"/>
      <c r="N181" s="25"/>
      <c r="O181" s="26"/>
      <c r="P181" s="26"/>
      <c r="Q181" s="26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25" t="s">
        <v>489</v>
      </c>
      <c r="AO181" s="33"/>
      <c r="AP181" s="25"/>
      <c r="AQ181" s="33"/>
      <c r="AR181" s="31" t="s">
        <v>490</v>
      </c>
      <c r="AS181" s="33"/>
      <c r="AT181" s="25" t="s">
        <v>491</v>
      </c>
      <c r="AU181" s="41"/>
      <c r="AV181" s="94"/>
      <c r="AW181" s="41"/>
      <c r="AX181" s="94"/>
      <c r="AY181" s="94"/>
      <c r="AZ181" s="94"/>
      <c r="BA181" s="94"/>
      <c r="BB181" s="94"/>
      <c r="BC181" s="94"/>
      <c r="BD181" s="94"/>
      <c r="BE181" s="31"/>
      <c r="BF181" s="94"/>
      <c r="BG181" s="94"/>
      <c r="BH181" s="94"/>
      <c r="BI181" s="94"/>
      <c r="BJ181" s="25" t="s">
        <v>492</v>
      </c>
      <c r="BK181" s="170">
        <v>45.36</v>
      </c>
      <c r="BL181" s="171" t="s">
        <v>493</v>
      </c>
      <c r="BM181" s="172">
        <v>10038568740424</v>
      </c>
      <c r="BN181" s="148"/>
      <c r="BO181" s="148"/>
      <c r="BP181" s="148"/>
      <c r="BQ181" s="164">
        <v>3.46</v>
      </c>
      <c r="BR181" s="164">
        <v>7.7</v>
      </c>
      <c r="BS181" s="148"/>
      <c r="BT181" s="150">
        <f>3.81+(0.018*2)</f>
        <v>3.8460000000000001</v>
      </c>
      <c r="BU181" s="150">
        <f>3.81+(0.018*2)</f>
        <v>3.8460000000000001</v>
      </c>
      <c r="BV181" s="150">
        <f>8+(0.018*4)</f>
        <v>8.0719999999999992</v>
      </c>
      <c r="BW181" s="47">
        <f t="shared" si="26"/>
        <v>6.9096488166666664E-2</v>
      </c>
      <c r="BX181" s="173">
        <f>1.15+0.25</f>
        <v>1.4</v>
      </c>
      <c r="BY181" s="174">
        <f>11.68+(0.125*2)</f>
        <v>11.93</v>
      </c>
      <c r="BZ181" s="174">
        <f>8.12+(0.125*2)</f>
        <v>8.3699999999999992</v>
      </c>
      <c r="CA181" s="174">
        <f>8.12+(0.125*4)</f>
        <v>8.6199999999999992</v>
      </c>
      <c r="CB181" s="47">
        <f t="shared" si="32"/>
        <v>0.49811478124999986</v>
      </c>
      <c r="CC181" s="173">
        <f t="shared" si="33"/>
        <v>8.6499999999999986</v>
      </c>
      <c r="CD181" s="173"/>
      <c r="CE181" s="173"/>
      <c r="CF181" s="94" t="s">
        <v>163</v>
      </c>
      <c r="CG181" s="94">
        <v>6</v>
      </c>
      <c r="CH181" s="94">
        <v>17</v>
      </c>
      <c r="CI181" s="94">
        <v>5</v>
      </c>
      <c r="CJ181" s="153">
        <f t="shared" si="25"/>
        <v>510</v>
      </c>
      <c r="CK181" s="153">
        <f>(BX181*CJ181)+50</f>
        <v>764</v>
      </c>
      <c r="CL181" s="94" t="s">
        <v>256</v>
      </c>
      <c r="CM181" s="153" t="s">
        <v>136</v>
      </c>
      <c r="CN181" s="71"/>
      <c r="CO181" s="71"/>
    </row>
    <row r="182" spans="1:99" s="1" customFormat="1" x14ac:dyDescent="0.25">
      <c r="A182" s="145">
        <v>42264</v>
      </c>
      <c r="B182" s="94" t="s">
        <v>12</v>
      </c>
      <c r="C182" s="31" t="s">
        <v>494</v>
      </c>
      <c r="D182" s="94" t="s">
        <v>54</v>
      </c>
      <c r="E182" s="169" t="s">
        <v>495</v>
      </c>
      <c r="F182" s="26" t="s">
        <v>496</v>
      </c>
      <c r="G182" s="183"/>
      <c r="H182" s="183"/>
      <c r="I182" s="183"/>
      <c r="J182" s="131" t="s">
        <v>497</v>
      </c>
      <c r="K182" s="26">
        <v>504082382</v>
      </c>
      <c r="L182" s="94"/>
      <c r="M182" s="94"/>
      <c r="N182" s="25"/>
      <c r="O182" s="26"/>
      <c r="P182" s="26"/>
      <c r="Q182" s="26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25"/>
      <c r="AO182" s="33"/>
      <c r="AP182" s="25"/>
      <c r="AQ182" s="33"/>
      <c r="AR182" s="31"/>
      <c r="AS182" s="33"/>
      <c r="AT182" s="25"/>
      <c r="AU182" s="182"/>
      <c r="AV182" s="94"/>
      <c r="AW182" s="41"/>
      <c r="AX182" s="94"/>
      <c r="AY182" s="94"/>
      <c r="AZ182" s="94"/>
      <c r="BA182" s="94"/>
      <c r="BB182" s="94"/>
      <c r="BC182" s="94"/>
      <c r="BD182" s="94"/>
      <c r="BE182" s="31"/>
      <c r="BF182" s="94"/>
      <c r="BG182" s="94"/>
      <c r="BH182" s="94"/>
      <c r="BI182" s="94"/>
      <c r="BJ182" s="25"/>
      <c r="BK182" s="170">
        <v>49.99</v>
      </c>
      <c r="BL182" s="171" t="s">
        <v>498</v>
      </c>
      <c r="BM182" s="172">
        <v>10038568738155</v>
      </c>
      <c r="BN182" s="148"/>
      <c r="BO182" s="148"/>
      <c r="BP182" s="148"/>
      <c r="BQ182" s="164">
        <v>4.2300000000000004</v>
      </c>
      <c r="BR182" s="164">
        <v>9.07</v>
      </c>
      <c r="BS182" s="164">
        <v>3.63</v>
      </c>
      <c r="BT182" s="562" t="s">
        <v>355</v>
      </c>
      <c r="BU182" s="563"/>
      <c r="BV182" s="563"/>
      <c r="BW182" s="563"/>
      <c r="BX182" s="564"/>
      <c r="BY182" s="174">
        <f>14.62+(0.125*2)</f>
        <v>14.87</v>
      </c>
      <c r="BZ182" s="174">
        <f>9.75+(0.125*2)</f>
        <v>10</v>
      </c>
      <c r="CA182" s="174">
        <f>10+(0.125*4)</f>
        <v>10.5</v>
      </c>
      <c r="CB182" s="47">
        <f t="shared" si="32"/>
        <v>0.90355902777777775</v>
      </c>
      <c r="CC182" s="173">
        <f>(2.44*6)+0.25</f>
        <v>14.89</v>
      </c>
      <c r="CD182" s="173"/>
      <c r="CE182" s="173"/>
      <c r="CF182" s="94" t="s">
        <v>163</v>
      </c>
      <c r="CG182" s="94">
        <v>6</v>
      </c>
      <c r="CH182" s="94">
        <v>12</v>
      </c>
      <c r="CI182" s="94">
        <v>4</v>
      </c>
      <c r="CJ182" s="153">
        <f t="shared" si="25"/>
        <v>288</v>
      </c>
      <c r="CK182" s="153">
        <f>(2.44*CJ182)+50+ (48*0.25)</f>
        <v>764.72</v>
      </c>
      <c r="CL182" s="94" t="s">
        <v>256</v>
      </c>
      <c r="CM182" s="153" t="s">
        <v>136</v>
      </c>
      <c r="CN182" s="71"/>
      <c r="CO182" s="35"/>
    </row>
    <row r="183" spans="1:99" s="1" customFormat="1" x14ac:dyDescent="0.25">
      <c r="A183" s="145">
        <v>42264</v>
      </c>
      <c r="B183" s="94" t="s">
        <v>12</v>
      </c>
      <c r="C183" s="31" t="s">
        <v>503</v>
      </c>
      <c r="D183" s="94" t="s">
        <v>105</v>
      </c>
      <c r="E183" s="169" t="s">
        <v>495</v>
      </c>
      <c r="F183" s="26" t="s">
        <v>504</v>
      </c>
      <c r="G183" s="26"/>
      <c r="H183" s="26"/>
      <c r="I183" s="26"/>
      <c r="J183" s="94" t="s">
        <v>124</v>
      </c>
      <c r="K183" s="26" t="s">
        <v>505</v>
      </c>
      <c r="L183" s="94"/>
      <c r="M183" s="94"/>
      <c r="N183" s="25"/>
      <c r="O183" s="26"/>
      <c r="P183" s="26"/>
      <c r="Q183" s="26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25"/>
      <c r="AO183" s="33"/>
      <c r="AP183" s="25"/>
      <c r="AQ183" s="33"/>
      <c r="AR183" s="31"/>
      <c r="AS183" s="33"/>
      <c r="AT183" s="25"/>
      <c r="AU183" s="25" t="s">
        <v>506</v>
      </c>
      <c r="AV183" s="94"/>
      <c r="AW183" s="41"/>
      <c r="AX183" s="94"/>
      <c r="AY183" s="94"/>
      <c r="AZ183" s="94"/>
      <c r="BA183" s="94"/>
      <c r="BB183" s="94"/>
      <c r="BC183" s="94"/>
      <c r="BD183" s="94"/>
      <c r="BE183" s="31" t="s">
        <v>507</v>
      </c>
      <c r="BF183" s="94" t="s">
        <v>508</v>
      </c>
      <c r="BG183" s="94" t="s">
        <v>509</v>
      </c>
      <c r="BH183" s="94"/>
      <c r="BI183" s="25" t="s">
        <v>510</v>
      </c>
      <c r="BJ183" s="25"/>
      <c r="BK183" s="170">
        <v>13.9</v>
      </c>
      <c r="BL183" s="171" t="s">
        <v>511</v>
      </c>
      <c r="BM183" s="172">
        <v>10038568743012</v>
      </c>
      <c r="BN183" s="148"/>
      <c r="BO183" s="148"/>
      <c r="BP183" s="148"/>
      <c r="BQ183" s="164">
        <v>5.39</v>
      </c>
      <c r="BR183" s="164">
        <v>1.94</v>
      </c>
      <c r="BS183" s="148"/>
      <c r="BT183" s="150">
        <f>2.312+(0.018*2)</f>
        <v>2.3479999999999999</v>
      </c>
      <c r="BU183" s="150">
        <f>2.312+(0.018*2)</f>
        <v>2.3479999999999999</v>
      </c>
      <c r="BV183" s="150">
        <f>5.75+(0.018*4)</f>
        <v>5.8220000000000001</v>
      </c>
      <c r="BW183" s="47">
        <f>(BV183*BU183*BT183)/1728</f>
        <v>1.8574821462962961E-2</v>
      </c>
      <c r="BX183" s="173">
        <f>0.115+0.1</f>
        <v>0.21500000000000002</v>
      </c>
      <c r="BY183" s="174">
        <f>10+(0.125*2)</f>
        <v>10.25</v>
      </c>
      <c r="BZ183" s="174">
        <f>7.5+(0.125*2)</f>
        <v>7.75</v>
      </c>
      <c r="CA183" s="174">
        <f>6.62+(0.125*4)</f>
        <v>7.12</v>
      </c>
      <c r="CB183" s="47">
        <f t="shared" si="32"/>
        <v>0.32731192129629633</v>
      </c>
      <c r="CC183" s="173">
        <f>(BX183*12)+0.25</f>
        <v>2.83</v>
      </c>
      <c r="CD183" s="173"/>
      <c r="CE183" s="173"/>
      <c r="CF183" s="94" t="s">
        <v>134</v>
      </c>
      <c r="CG183" s="94">
        <v>12</v>
      </c>
      <c r="CH183" s="94">
        <v>22</v>
      </c>
      <c r="CI183" s="94">
        <v>6</v>
      </c>
      <c r="CJ183" s="153">
        <f t="shared" si="25"/>
        <v>1584</v>
      </c>
      <c r="CK183" s="153">
        <f>(CC183*CH183*CI183)+50</f>
        <v>423.56000000000006</v>
      </c>
      <c r="CL183" s="94" t="s">
        <v>256</v>
      </c>
      <c r="CM183" s="153" t="s">
        <v>136</v>
      </c>
      <c r="CN183" s="35"/>
      <c r="CO183" s="35"/>
    </row>
    <row r="184" spans="1:99" s="210" customFormat="1" x14ac:dyDescent="0.25">
      <c r="A184" s="145">
        <v>42264</v>
      </c>
      <c r="B184" s="94" t="s">
        <v>12</v>
      </c>
      <c r="C184" s="31" t="s">
        <v>422</v>
      </c>
      <c r="D184" s="94" t="s">
        <v>105</v>
      </c>
      <c r="E184" s="169" t="s">
        <v>495</v>
      </c>
      <c r="F184" s="26" t="s">
        <v>512</v>
      </c>
      <c r="G184" s="26"/>
      <c r="H184" s="26"/>
      <c r="I184" s="26"/>
      <c r="J184" s="94" t="s">
        <v>129</v>
      </c>
      <c r="K184" s="26" t="s">
        <v>513</v>
      </c>
      <c r="L184" s="184" t="s">
        <v>129</v>
      </c>
      <c r="M184" s="185" t="s">
        <v>514</v>
      </c>
      <c r="N184" s="25"/>
      <c r="O184" s="26"/>
      <c r="P184" s="26"/>
      <c r="Q184" s="26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25"/>
      <c r="AO184" s="33"/>
      <c r="AP184" s="25"/>
      <c r="AQ184" s="33"/>
      <c r="AR184" s="31"/>
      <c r="AS184" s="33"/>
      <c r="AT184" s="25"/>
      <c r="AU184" s="41" t="s">
        <v>515</v>
      </c>
      <c r="AV184" s="94"/>
      <c r="AW184" s="41"/>
      <c r="AX184" s="94"/>
      <c r="AY184" s="94"/>
      <c r="AZ184" s="94"/>
      <c r="BA184" s="94"/>
      <c r="BB184" s="94"/>
      <c r="BC184" s="94"/>
      <c r="BD184" s="94"/>
      <c r="BE184" s="31" t="s">
        <v>516</v>
      </c>
      <c r="BF184" s="94"/>
      <c r="BG184" s="94"/>
      <c r="BH184" s="94"/>
      <c r="BI184" s="94"/>
      <c r="BJ184" s="25">
        <v>57010</v>
      </c>
      <c r="BK184" s="170">
        <v>17.18</v>
      </c>
      <c r="BL184" s="171" t="s">
        <v>425</v>
      </c>
      <c r="BM184" s="172">
        <v>10038568743067</v>
      </c>
      <c r="BN184" s="148"/>
      <c r="BO184" s="148"/>
      <c r="BP184" s="148"/>
      <c r="BQ184" s="164">
        <v>2.5590000000000002</v>
      </c>
      <c r="BR184" s="164">
        <v>4.0549999999999997</v>
      </c>
      <c r="BS184" s="148"/>
      <c r="BT184" s="150">
        <f>2.755+(0.018*2)</f>
        <v>2.7909999999999999</v>
      </c>
      <c r="BU184" s="150">
        <f>2.755+(0.018*2)</f>
        <v>2.7909999999999999</v>
      </c>
      <c r="BV184" s="150">
        <f>4.842+(0.018*4)</f>
        <v>4.9139999999999997</v>
      </c>
      <c r="BW184" s="47">
        <f>(BV184*BU184*BT184)/1728</f>
        <v>2.2151905343749997E-2</v>
      </c>
      <c r="BX184" s="173">
        <f>0.25+0.1</f>
        <v>0.35</v>
      </c>
      <c r="BY184" s="174">
        <f>11.42+(0.125*2)</f>
        <v>11.67</v>
      </c>
      <c r="BZ184" s="174">
        <f>8.66+(0.125*2)</f>
        <v>8.91</v>
      </c>
      <c r="CA184" s="174">
        <f>5.43+(0.125*4)</f>
        <v>5.93</v>
      </c>
      <c r="CB184" s="47">
        <f t="shared" si="32"/>
        <v>0.35682848437499998</v>
      </c>
      <c r="CC184" s="173">
        <f>(BX184*12)+0.25</f>
        <v>4.4499999999999993</v>
      </c>
      <c r="CD184" s="173"/>
      <c r="CE184" s="173"/>
      <c r="CF184" s="31" t="s">
        <v>134</v>
      </c>
      <c r="CG184" s="94">
        <v>12</v>
      </c>
      <c r="CH184" s="94">
        <v>17</v>
      </c>
      <c r="CI184" s="94">
        <v>7</v>
      </c>
      <c r="CJ184" s="153">
        <f t="shared" si="25"/>
        <v>1428</v>
      </c>
      <c r="CK184" s="153">
        <f>(CC184*CH184*CI184)+50</f>
        <v>579.54999999999995</v>
      </c>
      <c r="CL184" s="94" t="s">
        <v>321</v>
      </c>
      <c r="CM184" s="153" t="s">
        <v>136</v>
      </c>
      <c r="CN184" s="209"/>
      <c r="CO184" s="209"/>
      <c r="CP184" s="1"/>
      <c r="CQ184" s="1"/>
      <c r="CR184" s="1"/>
      <c r="CS184" s="1"/>
      <c r="CT184" s="1"/>
      <c r="CU184" s="1"/>
    </row>
    <row r="185" spans="1:99" s="210" customFormat="1" x14ac:dyDescent="0.25">
      <c r="A185" s="145">
        <v>42264</v>
      </c>
      <c r="B185" s="94" t="s">
        <v>12</v>
      </c>
      <c r="C185" s="31" t="s">
        <v>517</v>
      </c>
      <c r="D185" s="94" t="s">
        <v>54</v>
      </c>
      <c r="E185" s="169" t="s">
        <v>495</v>
      </c>
      <c r="F185" s="26" t="s">
        <v>518</v>
      </c>
      <c r="G185" s="26"/>
      <c r="H185" s="26"/>
      <c r="I185" s="26"/>
      <c r="J185" s="94" t="s">
        <v>519</v>
      </c>
      <c r="K185" s="26" t="s">
        <v>520</v>
      </c>
      <c r="L185" s="94"/>
      <c r="M185" s="94"/>
      <c r="N185" s="25"/>
      <c r="O185" s="26"/>
      <c r="P185" s="26"/>
      <c r="Q185" s="26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25" t="s">
        <v>521</v>
      </c>
      <c r="AO185" s="33"/>
      <c r="AP185" s="25"/>
      <c r="AQ185" s="33"/>
      <c r="AR185" s="31"/>
      <c r="AS185" s="33"/>
      <c r="AT185" s="25" t="s">
        <v>522</v>
      </c>
      <c r="AU185" s="41" t="s">
        <v>523</v>
      </c>
      <c r="AV185" s="94"/>
      <c r="AW185" s="41"/>
      <c r="AX185" s="94"/>
      <c r="AY185" s="94"/>
      <c r="AZ185" s="94"/>
      <c r="BA185" s="94"/>
      <c r="BB185" s="94"/>
      <c r="BC185" s="94"/>
      <c r="BD185" s="94"/>
      <c r="BE185" s="31"/>
      <c r="BF185" s="94"/>
      <c r="BG185" s="94"/>
      <c r="BH185" s="94"/>
      <c r="BI185" s="94"/>
      <c r="BJ185" s="25">
        <v>57707</v>
      </c>
      <c r="BK185" s="170">
        <v>35.18</v>
      </c>
      <c r="BL185" s="186" t="s">
        <v>524</v>
      </c>
      <c r="BM185" s="187">
        <v>10038568741575</v>
      </c>
      <c r="BN185" s="38"/>
      <c r="BO185" s="38"/>
      <c r="BP185" s="38"/>
      <c r="BQ185" s="92">
        <v>3.83</v>
      </c>
      <c r="BR185" s="92">
        <v>7</v>
      </c>
      <c r="BS185" s="92">
        <v>4.7699999999999996</v>
      </c>
      <c r="BT185" s="116">
        <f>3.875+(0.018*2)</f>
        <v>3.911</v>
      </c>
      <c r="BU185" s="116">
        <f>3.875+(0.018*2)</f>
        <v>3.911</v>
      </c>
      <c r="BV185" s="116">
        <f>7.25+(0.018*4)</f>
        <v>7.3220000000000001</v>
      </c>
      <c r="BW185" s="91">
        <f>(BV185*BU185*BT185)/1728</f>
        <v>6.4812924515046291E-2</v>
      </c>
      <c r="BX185" s="188">
        <f>1+0.25</f>
        <v>1.25</v>
      </c>
      <c r="BY185" s="189">
        <f>16.187+(0.125*2)</f>
        <v>16.437000000000001</v>
      </c>
      <c r="BZ185" s="189">
        <f>12.187+(0.125*2)</f>
        <v>12.436999999999999</v>
      </c>
      <c r="CA185" s="189">
        <f>7.375+(0.125*4)</f>
        <v>7.875</v>
      </c>
      <c r="CB185" s="91">
        <f t="shared" si="32"/>
        <v>0.93163332226562501</v>
      </c>
      <c r="CC185" s="188">
        <f>(BX185*12)+0.25</f>
        <v>15.25</v>
      </c>
      <c r="CD185" s="188"/>
      <c r="CE185" s="188"/>
      <c r="CF185" s="72" t="s">
        <v>163</v>
      </c>
      <c r="CG185" s="72">
        <v>12</v>
      </c>
      <c r="CH185" s="72">
        <v>8</v>
      </c>
      <c r="CI185" s="72">
        <v>5</v>
      </c>
      <c r="CJ185" s="27">
        <f t="shared" si="25"/>
        <v>480</v>
      </c>
      <c r="CK185" s="27">
        <f>(BX185*CJ185)+50</f>
        <v>650</v>
      </c>
      <c r="CL185" s="72" t="s">
        <v>256</v>
      </c>
      <c r="CM185" s="27" t="s">
        <v>136</v>
      </c>
      <c r="CN185" s="209"/>
      <c r="CO185" s="209"/>
      <c r="CP185" s="1"/>
      <c r="CQ185" s="1"/>
      <c r="CR185" s="1"/>
      <c r="CS185" s="1"/>
      <c r="CT185" s="1"/>
      <c r="CU185" s="1"/>
    </row>
    <row r="186" spans="1:99" s="210" customFormat="1" x14ac:dyDescent="0.25">
      <c r="A186" s="190">
        <v>42200</v>
      </c>
      <c r="B186" s="190"/>
      <c r="C186" s="191" t="s">
        <v>525</v>
      </c>
      <c r="D186" s="192" t="s">
        <v>105</v>
      </c>
      <c r="E186" s="193" t="s">
        <v>438</v>
      </c>
      <c r="F186" s="192" t="s">
        <v>526</v>
      </c>
      <c r="G186" s="192"/>
      <c r="H186" s="192"/>
      <c r="I186" s="192"/>
      <c r="J186" s="192" t="s">
        <v>124</v>
      </c>
      <c r="K186" s="191">
        <v>13727838804</v>
      </c>
      <c r="L186" s="192"/>
      <c r="M186" s="192"/>
      <c r="N186" s="194"/>
      <c r="O186" s="195"/>
      <c r="P186" s="195"/>
      <c r="Q186" s="195"/>
      <c r="R186" s="196"/>
      <c r="S186" s="196"/>
      <c r="T186" s="196"/>
      <c r="U186" s="196"/>
      <c r="V186" s="196"/>
      <c r="W186" s="196"/>
      <c r="X186" s="196"/>
      <c r="Y186" s="196"/>
      <c r="Z186" s="196"/>
      <c r="AA186" s="196"/>
      <c r="AB186" s="196"/>
      <c r="AC186" s="196"/>
      <c r="AD186" s="196"/>
      <c r="AE186" s="196"/>
      <c r="AF186" s="196"/>
      <c r="AG186" s="196"/>
      <c r="AH186" s="196"/>
      <c r="AI186" s="196"/>
      <c r="AJ186" s="196"/>
      <c r="AK186" s="196"/>
      <c r="AL186" s="196"/>
      <c r="AM186" s="196"/>
      <c r="AN186" s="194"/>
      <c r="AO186" s="197"/>
      <c r="AP186" s="194"/>
      <c r="AQ186" s="197"/>
      <c r="AR186" s="191"/>
      <c r="AS186" s="197"/>
      <c r="AT186" s="194"/>
      <c r="AU186" s="194" t="s">
        <v>527</v>
      </c>
      <c r="AV186" s="192"/>
      <c r="AW186" s="198"/>
      <c r="AX186" s="192"/>
      <c r="AY186" s="192"/>
      <c r="AZ186" s="192"/>
      <c r="BA186" s="192"/>
      <c r="BB186" s="192"/>
      <c r="BC186" s="192"/>
      <c r="BD186" s="192"/>
      <c r="BE186" s="191" t="s">
        <v>528</v>
      </c>
      <c r="BF186" s="192"/>
      <c r="BG186" s="192"/>
      <c r="BH186" s="192"/>
      <c r="BI186" s="192"/>
      <c r="BJ186" s="194"/>
      <c r="BK186" s="199">
        <v>59.95</v>
      </c>
      <c r="BL186" s="200" t="s">
        <v>529</v>
      </c>
      <c r="BM186" s="201">
        <v>10038568742442</v>
      </c>
      <c r="BN186" s="202">
        <v>9.01</v>
      </c>
      <c r="BO186" s="202">
        <v>8.27</v>
      </c>
      <c r="BP186" s="202">
        <v>6.34</v>
      </c>
      <c r="BQ186" s="203"/>
      <c r="BR186" s="203"/>
      <c r="BS186" s="203"/>
      <c r="BT186" s="204">
        <f>9.88+(0.018*2)</f>
        <v>9.9160000000000004</v>
      </c>
      <c r="BU186" s="204">
        <f>9.38+(0.018*2)</f>
        <v>9.4160000000000004</v>
      </c>
      <c r="BV186" s="204">
        <f>6.88+(0.018*4)</f>
        <v>6.952</v>
      </c>
      <c r="BW186" s="205">
        <f t="shared" ref="BW186:BW195" si="35">(BV186*BU186*BT186)/1728</f>
        <v>0.37563754474074074</v>
      </c>
      <c r="BX186" s="206">
        <f>0.9+0.1</f>
        <v>1</v>
      </c>
      <c r="BY186" s="207">
        <f>23+(0.125*2)</f>
        <v>23.25</v>
      </c>
      <c r="BZ186" s="207">
        <f>10.12+(0.125*2)</f>
        <v>10.37</v>
      </c>
      <c r="CA186" s="207">
        <f>10.12+(0.125*4)</f>
        <v>10.62</v>
      </c>
      <c r="CB186" s="205">
        <f>(CA186*BZ186*BY186)/1728</f>
        <v>1.4817757812499996</v>
      </c>
      <c r="CC186" s="206">
        <f>(BX186*3)+0.25</f>
        <v>3.25</v>
      </c>
      <c r="CD186" s="206"/>
      <c r="CE186" s="206"/>
      <c r="CF186" s="192" t="s">
        <v>163</v>
      </c>
      <c r="CG186" s="192">
        <v>3</v>
      </c>
      <c r="CH186" s="192">
        <v>6</v>
      </c>
      <c r="CI186" s="192">
        <v>4</v>
      </c>
      <c r="CJ186" s="208">
        <f>CG186*CH186*CI186</f>
        <v>72</v>
      </c>
      <c r="CK186" s="208">
        <f t="shared" ref="CK186:CK193" si="36">(CC186*CH186*CI186)+50</f>
        <v>128</v>
      </c>
      <c r="CL186" s="192" t="s">
        <v>530</v>
      </c>
      <c r="CM186" s="208" t="s">
        <v>136</v>
      </c>
      <c r="CN186" s="209"/>
      <c r="CO186" s="209"/>
      <c r="CP186" s="1"/>
      <c r="CQ186" s="1"/>
      <c r="CR186" s="1"/>
      <c r="CS186" s="1"/>
      <c r="CT186" s="1"/>
      <c r="CU186" s="1"/>
    </row>
    <row r="187" spans="1:99" s="210" customFormat="1" x14ac:dyDescent="0.25">
      <c r="A187" s="145">
        <v>42200</v>
      </c>
      <c r="B187" s="145"/>
      <c r="C187" s="211" t="s">
        <v>531</v>
      </c>
      <c r="D187" s="212" t="s">
        <v>105</v>
      </c>
      <c r="E187" s="213" t="s">
        <v>495</v>
      </c>
      <c r="F187" s="214" t="s">
        <v>532</v>
      </c>
      <c r="G187" s="214"/>
      <c r="H187" s="214"/>
      <c r="I187" s="214"/>
      <c r="J187" s="212" t="s">
        <v>278</v>
      </c>
      <c r="K187" s="211" t="s">
        <v>533</v>
      </c>
      <c r="L187" s="212"/>
      <c r="M187" s="212"/>
      <c r="N187" s="25"/>
      <c r="O187" s="26"/>
      <c r="P187" s="26"/>
      <c r="Q187" s="26"/>
      <c r="R187" s="215"/>
      <c r="S187" s="215"/>
      <c r="T187" s="215"/>
      <c r="U187" s="215"/>
      <c r="V187" s="215"/>
      <c r="W187" s="215"/>
      <c r="X187" s="215"/>
      <c r="Y187" s="215"/>
      <c r="Z187" s="215"/>
      <c r="AA187" s="215"/>
      <c r="AB187" s="215"/>
      <c r="AC187" s="215"/>
      <c r="AD187" s="215"/>
      <c r="AE187" s="215"/>
      <c r="AF187" s="215"/>
      <c r="AG187" s="215"/>
      <c r="AH187" s="215"/>
      <c r="AI187" s="215"/>
      <c r="AJ187" s="215"/>
      <c r="AK187" s="215"/>
      <c r="AL187" s="215"/>
      <c r="AM187" s="215"/>
      <c r="AN187" s="25"/>
      <c r="AO187" s="33"/>
      <c r="AP187" s="25"/>
      <c r="AQ187" s="33"/>
      <c r="AR187" s="211"/>
      <c r="AS187" s="33"/>
      <c r="AT187" s="25"/>
      <c r="AU187" s="41"/>
      <c r="AV187" s="212"/>
      <c r="AW187" s="41"/>
      <c r="AX187" s="212"/>
      <c r="AY187" s="212"/>
      <c r="AZ187" s="212"/>
      <c r="BA187" s="212"/>
      <c r="BB187" s="212"/>
      <c r="BC187" s="212"/>
      <c r="BD187" s="212"/>
      <c r="BE187" s="211"/>
      <c r="BF187" s="212"/>
      <c r="BG187" s="212"/>
      <c r="BH187" s="212"/>
      <c r="BI187" s="212"/>
      <c r="BJ187" s="25" t="s">
        <v>451</v>
      </c>
      <c r="BK187" s="216">
        <v>20.39</v>
      </c>
      <c r="BL187" s="217" t="s">
        <v>534</v>
      </c>
      <c r="BM187" s="218">
        <v>10038568743005</v>
      </c>
      <c r="BN187" s="38"/>
      <c r="BO187" s="38"/>
      <c r="BP187" s="38"/>
      <c r="BQ187" s="92">
        <v>2.99</v>
      </c>
      <c r="BR187" s="92">
        <v>5.0199999999999996</v>
      </c>
      <c r="BS187" s="38"/>
      <c r="BT187" s="93">
        <f>3.346+(0.018*2)</f>
        <v>3.3820000000000001</v>
      </c>
      <c r="BU187" s="93">
        <f>3.346+(0.018*2)</f>
        <v>3.3820000000000001</v>
      </c>
      <c r="BV187" s="93">
        <f>5.511+(0.018*4)</f>
        <v>5.5830000000000002</v>
      </c>
      <c r="BW187" s="91">
        <f t="shared" si="35"/>
        <v>3.6954820423611118E-2</v>
      </c>
      <c r="BX187" s="219">
        <f>0.25+0.1</f>
        <v>0.35</v>
      </c>
      <c r="BY187" s="220">
        <f>13.75+(0.125*2)</f>
        <v>14</v>
      </c>
      <c r="BZ187" s="220">
        <f>10.25+(0.125*2)</f>
        <v>10.5</v>
      </c>
      <c r="CA187" s="220">
        <f>5.75+(0.125*4)</f>
        <v>6.25</v>
      </c>
      <c r="CB187" s="91">
        <f t="shared" ref="CB187:CB193" si="37">(CA187*BZ187*BY187)/1728</f>
        <v>0.53168402777777779</v>
      </c>
      <c r="CC187" s="219">
        <f>(BX187*12)+0.25</f>
        <v>4.4499999999999993</v>
      </c>
      <c r="CD187" s="219"/>
      <c r="CE187" s="219"/>
      <c r="CF187" s="212" t="s">
        <v>134</v>
      </c>
      <c r="CG187" s="212">
        <v>12</v>
      </c>
      <c r="CH187" s="212">
        <v>11</v>
      </c>
      <c r="CI187" s="212">
        <v>7</v>
      </c>
      <c r="CJ187" s="27">
        <f t="shared" ref="CJ187:CJ193" si="38">CG187*CH187*CI187</f>
        <v>924</v>
      </c>
      <c r="CK187" s="27">
        <f t="shared" si="36"/>
        <v>392.64999999999992</v>
      </c>
      <c r="CL187" s="212" t="s">
        <v>316</v>
      </c>
      <c r="CM187" s="27" t="s">
        <v>136</v>
      </c>
      <c r="CN187" s="209"/>
      <c r="CO187" s="209"/>
      <c r="CP187" s="1"/>
      <c r="CQ187" s="1"/>
      <c r="CR187" s="1"/>
      <c r="CS187" s="1"/>
      <c r="CT187" s="1"/>
      <c r="CU187" s="1"/>
    </row>
    <row r="188" spans="1:99" s="210" customFormat="1" x14ac:dyDescent="0.25">
      <c r="A188" s="145">
        <v>42200</v>
      </c>
      <c r="B188" s="145"/>
      <c r="C188" s="211" t="s">
        <v>535</v>
      </c>
      <c r="D188" s="212" t="s">
        <v>105</v>
      </c>
      <c r="E188" s="213" t="s">
        <v>495</v>
      </c>
      <c r="F188" s="214" t="s">
        <v>536</v>
      </c>
      <c r="G188" s="214"/>
      <c r="H188" s="214"/>
      <c r="I188" s="214"/>
      <c r="J188" s="212" t="s">
        <v>129</v>
      </c>
      <c r="K188" s="211">
        <v>1803009</v>
      </c>
      <c r="L188" s="212"/>
      <c r="M188" s="212"/>
      <c r="N188" s="25"/>
      <c r="O188" s="26"/>
      <c r="P188" s="26"/>
      <c r="Q188" s="26"/>
      <c r="R188" s="215"/>
      <c r="S188" s="215"/>
      <c r="T188" s="215"/>
      <c r="U188" s="215"/>
      <c r="V188" s="215"/>
      <c r="W188" s="215"/>
      <c r="X188" s="215"/>
      <c r="Y188" s="215"/>
      <c r="Z188" s="215"/>
      <c r="AA188" s="215"/>
      <c r="AB188" s="215"/>
      <c r="AC188" s="215"/>
      <c r="AD188" s="215"/>
      <c r="AE188" s="215"/>
      <c r="AF188" s="215"/>
      <c r="AG188" s="215"/>
      <c r="AH188" s="215"/>
      <c r="AI188" s="215"/>
      <c r="AJ188" s="215"/>
      <c r="AK188" s="215"/>
      <c r="AL188" s="215"/>
      <c r="AM188" s="215"/>
      <c r="AN188" s="25"/>
      <c r="AO188" s="33"/>
      <c r="AP188" s="25"/>
      <c r="AQ188" s="33"/>
      <c r="AR188" s="211"/>
      <c r="AS188" s="33"/>
      <c r="AT188" s="25"/>
      <c r="AU188" s="41" t="s">
        <v>515</v>
      </c>
      <c r="AV188" s="212"/>
      <c r="AW188" s="41"/>
      <c r="AX188" s="212"/>
      <c r="AY188" s="212"/>
      <c r="AZ188" s="212"/>
      <c r="BA188" s="212"/>
      <c r="BB188" s="212"/>
      <c r="BC188" s="212"/>
      <c r="BD188" s="212"/>
      <c r="BE188" s="211" t="s">
        <v>516</v>
      </c>
      <c r="BF188" s="212"/>
      <c r="BG188" s="212"/>
      <c r="BH188" s="212"/>
      <c r="BI188" s="212"/>
      <c r="BJ188" s="25">
        <v>57010</v>
      </c>
      <c r="BK188" s="216">
        <v>30.39</v>
      </c>
      <c r="BL188" s="217" t="s">
        <v>537</v>
      </c>
      <c r="BM188" s="218">
        <v>10038568743029</v>
      </c>
      <c r="BN188" s="38"/>
      <c r="BO188" s="38"/>
      <c r="BP188" s="38"/>
      <c r="BQ188" s="92">
        <v>4.99</v>
      </c>
      <c r="BR188" s="92">
        <v>2.87</v>
      </c>
      <c r="BS188" s="38"/>
      <c r="BT188" s="93">
        <f>3.812+(0.018*2)</f>
        <v>3.8479999999999999</v>
      </c>
      <c r="BU188" s="93">
        <f>3.812+(0.018*2)</f>
        <v>3.8479999999999999</v>
      </c>
      <c r="BV188" s="93">
        <f>5.375+(0.018*4)</f>
        <v>5.4470000000000001</v>
      </c>
      <c r="BW188" s="91">
        <f t="shared" si="35"/>
        <v>4.6674939518518511E-2</v>
      </c>
      <c r="BX188" s="219">
        <f>0.215+0.1</f>
        <v>0.315</v>
      </c>
      <c r="BY188" s="220">
        <f>11.625+(0.125*2)</f>
        <v>11.875</v>
      </c>
      <c r="BZ188" s="220">
        <f>5.562+(0.125*2)</f>
        <v>5.8120000000000003</v>
      </c>
      <c r="CA188" s="220">
        <f>15.5+(0.125*4)</f>
        <v>16</v>
      </c>
      <c r="CB188" s="91">
        <f t="shared" si="37"/>
        <v>0.63905092592592594</v>
      </c>
      <c r="CC188" s="219">
        <f>(BX188*3)+0.25</f>
        <v>1.1950000000000001</v>
      </c>
      <c r="CD188" s="219"/>
      <c r="CE188" s="219"/>
      <c r="CF188" s="212" t="s">
        <v>163</v>
      </c>
      <c r="CG188" s="212">
        <v>12</v>
      </c>
      <c r="CH188" s="212">
        <v>10</v>
      </c>
      <c r="CI188" s="212">
        <v>5</v>
      </c>
      <c r="CJ188" s="27">
        <f t="shared" si="38"/>
        <v>600</v>
      </c>
      <c r="CK188" s="27">
        <f t="shared" si="36"/>
        <v>109.75</v>
      </c>
      <c r="CL188" s="212" t="s">
        <v>530</v>
      </c>
      <c r="CM188" s="27" t="s">
        <v>136</v>
      </c>
      <c r="CN188" s="209"/>
      <c r="CO188" s="209"/>
      <c r="CP188" s="1"/>
      <c r="CQ188" s="1"/>
      <c r="CR188" s="1"/>
      <c r="CS188" s="1"/>
      <c r="CT188" s="1"/>
      <c r="CU188" s="1"/>
    </row>
    <row r="189" spans="1:99" s="210" customFormat="1" x14ac:dyDescent="0.25">
      <c r="A189" s="145">
        <v>42160</v>
      </c>
      <c r="B189" s="145"/>
      <c r="C189" s="211" t="s">
        <v>538</v>
      </c>
      <c r="D189" s="212" t="s">
        <v>105</v>
      </c>
      <c r="E189" s="213" t="s">
        <v>438</v>
      </c>
      <c r="F189" s="214" t="s">
        <v>539</v>
      </c>
      <c r="G189" s="214"/>
      <c r="H189" s="214"/>
      <c r="I189" s="214"/>
      <c r="J189" s="212" t="s">
        <v>540</v>
      </c>
      <c r="K189" s="211" t="s">
        <v>541</v>
      </c>
      <c r="L189" s="212"/>
      <c r="M189" s="212"/>
      <c r="N189" s="25"/>
      <c r="O189" s="26"/>
      <c r="P189" s="26"/>
      <c r="Q189" s="26"/>
      <c r="R189" s="215"/>
      <c r="S189" s="215"/>
      <c r="T189" s="215"/>
      <c r="U189" s="215"/>
      <c r="V189" s="215"/>
      <c r="W189" s="215"/>
      <c r="X189" s="215"/>
      <c r="Y189" s="215"/>
      <c r="Z189" s="215"/>
      <c r="AA189" s="215"/>
      <c r="AB189" s="215"/>
      <c r="AC189" s="215"/>
      <c r="AD189" s="215"/>
      <c r="AE189" s="215"/>
      <c r="AF189" s="215"/>
      <c r="AG189" s="215"/>
      <c r="AH189" s="215"/>
      <c r="AI189" s="215"/>
      <c r="AJ189" s="215"/>
      <c r="AK189" s="215"/>
      <c r="AL189" s="215"/>
      <c r="AM189" s="215"/>
      <c r="AN189" s="25"/>
      <c r="AO189" s="33"/>
      <c r="AP189" s="25">
        <v>83240</v>
      </c>
      <c r="AQ189" s="33"/>
      <c r="AR189" s="211"/>
      <c r="AS189" s="33"/>
      <c r="AT189" s="25"/>
      <c r="AU189" s="25" t="s">
        <v>542</v>
      </c>
      <c r="AV189" s="212" t="s">
        <v>543</v>
      </c>
      <c r="AW189" s="41"/>
      <c r="AX189" s="212" t="s">
        <v>544</v>
      </c>
      <c r="AY189" s="212"/>
      <c r="AZ189" s="212"/>
      <c r="BA189" s="212"/>
      <c r="BB189" s="212"/>
      <c r="BC189" s="212"/>
      <c r="BD189" s="212">
        <v>9240</v>
      </c>
      <c r="BE189" s="211" t="s">
        <v>545</v>
      </c>
      <c r="BF189" s="212"/>
      <c r="BG189" s="212"/>
      <c r="BH189" s="212"/>
      <c r="BI189" s="212"/>
      <c r="BJ189" s="25">
        <v>49240</v>
      </c>
      <c r="BK189" s="216">
        <v>29.14</v>
      </c>
      <c r="BL189" s="217" t="s">
        <v>546</v>
      </c>
      <c r="BM189" s="218">
        <v>10038568742466</v>
      </c>
      <c r="BN189" s="92">
        <v>9.17</v>
      </c>
      <c r="BO189" s="92">
        <v>9</v>
      </c>
      <c r="BP189" s="92">
        <v>2.48</v>
      </c>
      <c r="BQ189" s="38"/>
      <c r="BR189" s="38"/>
      <c r="BS189" s="38"/>
      <c r="BT189" s="93">
        <f>9.87+(0.018*2)</f>
        <v>9.9059999999999988</v>
      </c>
      <c r="BU189" s="93">
        <f>3.75+(0.018*2)</f>
        <v>3.786</v>
      </c>
      <c r="BV189" s="93">
        <f>9.87+(0.018*4)</f>
        <v>9.9419999999999984</v>
      </c>
      <c r="BW189" s="91">
        <f t="shared" si="35"/>
        <v>0.21577888962499994</v>
      </c>
      <c r="BX189" s="93">
        <f>0.591+0.1</f>
        <v>0.69099999999999995</v>
      </c>
      <c r="BY189" s="220">
        <f>11.75+(0.125*2)</f>
        <v>12</v>
      </c>
      <c r="BZ189" s="220">
        <f>10.12+(0.125*2)</f>
        <v>10.37</v>
      </c>
      <c r="CA189" s="220">
        <f>10.12+(0.125*4)</f>
        <v>10.62</v>
      </c>
      <c r="CB189" s="91">
        <f t="shared" si="37"/>
        <v>0.76478749999999995</v>
      </c>
      <c r="CC189" s="93">
        <f>(BX189*3)+0.25</f>
        <v>2.323</v>
      </c>
      <c r="CD189" s="301"/>
      <c r="CE189" s="301"/>
      <c r="CF189" s="212" t="s">
        <v>163</v>
      </c>
      <c r="CG189" s="212">
        <v>3</v>
      </c>
      <c r="CH189" s="212">
        <v>12</v>
      </c>
      <c r="CI189" s="212">
        <v>4</v>
      </c>
      <c r="CJ189" s="27">
        <f t="shared" si="38"/>
        <v>144</v>
      </c>
      <c r="CK189" s="27">
        <f t="shared" si="36"/>
        <v>161.50399999999999</v>
      </c>
      <c r="CL189" s="212" t="s">
        <v>135</v>
      </c>
      <c r="CM189" s="27" t="s">
        <v>136</v>
      </c>
      <c r="CN189" s="209"/>
      <c r="CO189" s="209"/>
      <c r="CP189" s="1"/>
      <c r="CQ189" s="1"/>
      <c r="CR189" s="1"/>
      <c r="CS189" s="1"/>
      <c r="CT189" s="1"/>
      <c r="CU189" s="1"/>
    </row>
    <row r="190" spans="1:99" s="210" customFormat="1" x14ac:dyDescent="0.25">
      <c r="A190" s="145">
        <v>42160</v>
      </c>
      <c r="B190" s="145"/>
      <c r="C190" s="211" t="s">
        <v>547</v>
      </c>
      <c r="D190" s="212" t="s">
        <v>105</v>
      </c>
      <c r="E190" s="213" t="s">
        <v>438</v>
      </c>
      <c r="F190" s="214" t="s">
        <v>548</v>
      </c>
      <c r="G190" s="214"/>
      <c r="H190" s="214"/>
      <c r="I190" s="214"/>
      <c r="J190" s="212" t="s">
        <v>418</v>
      </c>
      <c r="K190" s="211" t="s">
        <v>549</v>
      </c>
      <c r="L190" s="212"/>
      <c r="M190" s="212"/>
      <c r="N190" s="25"/>
      <c r="O190" s="26"/>
      <c r="P190" s="26"/>
      <c r="Q190" s="26"/>
      <c r="R190" s="215"/>
      <c r="S190" s="215"/>
      <c r="T190" s="215"/>
      <c r="U190" s="215"/>
      <c r="V190" s="215"/>
      <c r="W190" s="215"/>
      <c r="X190" s="215"/>
      <c r="Y190" s="215"/>
      <c r="Z190" s="215"/>
      <c r="AA190" s="215"/>
      <c r="AB190" s="215"/>
      <c r="AC190" s="215"/>
      <c r="AD190" s="215"/>
      <c r="AE190" s="215"/>
      <c r="AF190" s="215"/>
      <c r="AG190" s="215"/>
      <c r="AH190" s="215"/>
      <c r="AI190" s="215"/>
      <c r="AJ190" s="215"/>
      <c r="AK190" s="215"/>
      <c r="AL190" s="215"/>
      <c r="AM190" s="215"/>
      <c r="AN190" s="25"/>
      <c r="AO190" s="33"/>
      <c r="AP190" s="25">
        <v>93007</v>
      </c>
      <c r="AQ190" s="33" t="s">
        <v>547</v>
      </c>
      <c r="AR190" s="211"/>
      <c r="AS190" s="33"/>
      <c r="AT190" s="25"/>
      <c r="AU190" s="25" t="s">
        <v>550</v>
      </c>
      <c r="AV190" s="212"/>
      <c r="AW190" s="41"/>
      <c r="AX190" s="212"/>
      <c r="AY190" s="212"/>
      <c r="AZ190" s="212"/>
      <c r="BA190" s="212" t="s">
        <v>551</v>
      </c>
      <c r="BB190" s="212" t="s">
        <v>547</v>
      </c>
      <c r="BC190" s="212"/>
      <c r="BD190" s="212"/>
      <c r="BE190" s="211"/>
      <c r="BF190" s="212" t="s">
        <v>552</v>
      </c>
      <c r="BG190" s="212"/>
      <c r="BH190" s="212"/>
      <c r="BI190" s="212"/>
      <c r="BJ190" s="25" t="s">
        <v>553</v>
      </c>
      <c r="BK190" s="216">
        <v>17.350000000000001</v>
      </c>
      <c r="BL190" s="217" t="s">
        <v>554</v>
      </c>
      <c r="BM190" s="218">
        <v>10038568742527</v>
      </c>
      <c r="BN190" s="92">
        <v>11.34</v>
      </c>
      <c r="BO190" s="92">
        <v>7.05</v>
      </c>
      <c r="BP190" s="92">
        <v>2.2799999999999998</v>
      </c>
      <c r="BQ190" s="38"/>
      <c r="BR190" s="38"/>
      <c r="BS190" s="38"/>
      <c r="BT190" s="93">
        <f>7+(0.018*2)</f>
        <v>7.0359999999999996</v>
      </c>
      <c r="BU190" s="93">
        <f>2.5+(0.018*2)</f>
        <v>2.536</v>
      </c>
      <c r="BV190" s="93">
        <f>11.75+(0.018*4)</f>
        <v>11.821999999999999</v>
      </c>
      <c r="BW190" s="91">
        <f t="shared" si="35"/>
        <v>0.12207375307407406</v>
      </c>
      <c r="BX190" s="93">
        <f>0.7+0.1</f>
        <v>0.79999999999999993</v>
      </c>
      <c r="BY190" s="220">
        <f>12+(0.125*2)</f>
        <v>12.25</v>
      </c>
      <c r="BZ190" s="220">
        <f>7.25+(0.125*2)</f>
        <v>7.5</v>
      </c>
      <c r="CA190" s="220">
        <f>8+(0.125*4)</f>
        <v>8.5</v>
      </c>
      <c r="CB190" s="91">
        <f t="shared" si="37"/>
        <v>0.4519314236111111</v>
      </c>
      <c r="CC190" s="93">
        <f>(BX190*3)+0.25</f>
        <v>2.65</v>
      </c>
      <c r="CD190" s="301"/>
      <c r="CE190" s="301"/>
      <c r="CF190" s="212" t="s">
        <v>163</v>
      </c>
      <c r="CG190" s="212">
        <v>3</v>
      </c>
      <c r="CH190" s="212">
        <v>13</v>
      </c>
      <c r="CI190" s="212">
        <v>5</v>
      </c>
      <c r="CJ190" s="27">
        <f t="shared" si="38"/>
        <v>195</v>
      </c>
      <c r="CK190" s="27">
        <f t="shared" si="36"/>
        <v>222.24999999999997</v>
      </c>
      <c r="CL190" s="212" t="s">
        <v>139</v>
      </c>
      <c r="CM190" s="27" t="s">
        <v>136</v>
      </c>
      <c r="CN190" s="209"/>
      <c r="CO190" s="209"/>
      <c r="CP190" s="1"/>
      <c r="CQ190" s="1"/>
      <c r="CR190" s="1"/>
      <c r="CS190" s="1"/>
      <c r="CT190" s="1"/>
      <c r="CU190" s="1"/>
    </row>
    <row r="191" spans="1:99" s="210" customFormat="1" x14ac:dyDescent="0.25">
      <c r="A191" s="145">
        <v>42160</v>
      </c>
      <c r="B191" s="145"/>
      <c r="C191" s="211" t="s">
        <v>356</v>
      </c>
      <c r="D191" s="212" t="s">
        <v>105</v>
      </c>
      <c r="E191" s="213" t="s">
        <v>438</v>
      </c>
      <c r="F191" s="214" t="s">
        <v>555</v>
      </c>
      <c r="G191" s="214"/>
      <c r="H191" s="214"/>
      <c r="I191" s="214"/>
      <c r="J191" s="212" t="s">
        <v>168</v>
      </c>
      <c r="K191" s="211" t="s">
        <v>556</v>
      </c>
      <c r="L191" s="212"/>
      <c r="M191" s="212"/>
      <c r="N191" s="25"/>
      <c r="O191" s="26"/>
      <c r="P191" s="26"/>
      <c r="Q191" s="26"/>
      <c r="R191" s="215"/>
      <c r="S191" s="215"/>
      <c r="T191" s="215"/>
      <c r="U191" s="215"/>
      <c r="V191" s="215"/>
      <c r="W191" s="215"/>
      <c r="X191" s="215"/>
      <c r="Y191" s="215"/>
      <c r="Z191" s="215"/>
      <c r="AA191" s="215"/>
      <c r="AB191" s="215"/>
      <c r="AC191" s="215"/>
      <c r="AD191" s="215"/>
      <c r="AE191" s="215"/>
      <c r="AF191" s="215"/>
      <c r="AG191" s="215"/>
      <c r="AH191" s="215"/>
      <c r="AI191" s="215"/>
      <c r="AJ191" s="215"/>
      <c r="AK191" s="215"/>
      <c r="AL191" s="215"/>
      <c r="AM191" s="215"/>
      <c r="AN191" s="25"/>
      <c r="AO191" s="33"/>
      <c r="AP191" s="25">
        <v>83074</v>
      </c>
      <c r="AQ191" s="33" t="s">
        <v>356</v>
      </c>
      <c r="AR191" s="211"/>
      <c r="AS191" s="33"/>
      <c r="AT191" s="25"/>
      <c r="AU191" s="41" t="s">
        <v>557</v>
      </c>
      <c r="AV191" s="212" t="s">
        <v>558</v>
      </c>
      <c r="AW191" s="41"/>
      <c r="AX191" s="212" t="s">
        <v>559</v>
      </c>
      <c r="AY191" s="212"/>
      <c r="AZ191" s="212"/>
      <c r="BA191" s="212"/>
      <c r="BB191" s="212" t="s">
        <v>356</v>
      </c>
      <c r="BC191" s="212"/>
      <c r="BD191" s="212">
        <v>9074</v>
      </c>
      <c r="BE191" s="211" t="s">
        <v>560</v>
      </c>
      <c r="BF191" s="212" t="s">
        <v>561</v>
      </c>
      <c r="BG191" s="212" t="s">
        <v>562</v>
      </c>
      <c r="BH191" s="212"/>
      <c r="BI191" s="212" t="s">
        <v>562</v>
      </c>
      <c r="BJ191" s="25">
        <v>49074</v>
      </c>
      <c r="BK191" s="216">
        <v>14.99</v>
      </c>
      <c r="BL191" s="217" t="s">
        <v>563</v>
      </c>
      <c r="BM191" s="218">
        <v>10038568742374</v>
      </c>
      <c r="BN191" s="92">
        <v>11.5</v>
      </c>
      <c r="BO191" s="92">
        <v>11.38</v>
      </c>
      <c r="BP191" s="92">
        <v>1.08</v>
      </c>
      <c r="BQ191" s="38"/>
      <c r="BR191" s="38"/>
      <c r="BS191" s="38"/>
      <c r="BT191" s="93">
        <f>11.5+(0.018*2)</f>
        <v>11.536</v>
      </c>
      <c r="BU191" s="93">
        <f>2+(0.018*2)</f>
        <v>2.036</v>
      </c>
      <c r="BV191" s="93">
        <f>11.5+(0.018*4)</f>
        <v>11.571999999999999</v>
      </c>
      <c r="BW191" s="91">
        <f t="shared" si="35"/>
        <v>0.15728876696296296</v>
      </c>
      <c r="BX191" s="93">
        <f>0.661+0.1</f>
        <v>0.76100000000000001</v>
      </c>
      <c r="BY191" s="220">
        <f>16.12+(0.125*2)</f>
        <v>16.37</v>
      </c>
      <c r="BZ191" s="220">
        <f>12.25+(0.125*2)</f>
        <v>12.5</v>
      </c>
      <c r="CA191" s="220">
        <f>12.25+(0.125*4)</f>
        <v>12.75</v>
      </c>
      <c r="CB191" s="91">
        <f t="shared" si="37"/>
        <v>1.5098198784722223</v>
      </c>
      <c r="CC191" s="93">
        <f>(BX191*6)+0.25</f>
        <v>4.8159999999999998</v>
      </c>
      <c r="CD191" s="301"/>
      <c r="CE191" s="301"/>
      <c r="CF191" s="212" t="s">
        <v>163</v>
      </c>
      <c r="CG191" s="212">
        <v>6</v>
      </c>
      <c r="CH191" s="212">
        <v>12</v>
      </c>
      <c r="CI191" s="212">
        <v>3</v>
      </c>
      <c r="CJ191" s="27">
        <f t="shared" si="38"/>
        <v>216</v>
      </c>
      <c r="CK191" s="27">
        <f t="shared" si="36"/>
        <v>223.376</v>
      </c>
      <c r="CL191" s="212" t="s">
        <v>139</v>
      </c>
      <c r="CM191" s="27" t="s">
        <v>136</v>
      </c>
      <c r="CN191" s="209"/>
      <c r="CO191" s="209"/>
      <c r="CP191" s="1"/>
      <c r="CQ191" s="1"/>
      <c r="CR191" s="1"/>
      <c r="CS191" s="1"/>
      <c r="CT191" s="1"/>
      <c r="CU191" s="1"/>
    </row>
    <row r="192" spans="1:99" s="210" customFormat="1" x14ac:dyDescent="0.25">
      <c r="A192" s="145">
        <v>42160</v>
      </c>
      <c r="B192" s="145"/>
      <c r="C192" s="211" t="s">
        <v>564</v>
      </c>
      <c r="D192" s="212" t="s">
        <v>105</v>
      </c>
      <c r="E192" s="213" t="s">
        <v>438</v>
      </c>
      <c r="F192" s="214" t="s">
        <v>565</v>
      </c>
      <c r="G192" s="214"/>
      <c r="H192" s="214"/>
      <c r="I192" s="214"/>
      <c r="J192" s="212" t="s">
        <v>418</v>
      </c>
      <c r="K192" s="211" t="s">
        <v>566</v>
      </c>
      <c r="L192" s="212"/>
      <c r="M192" s="212"/>
      <c r="N192" s="25"/>
      <c r="O192" s="26"/>
      <c r="P192" s="26"/>
      <c r="Q192" s="26"/>
      <c r="R192" s="215"/>
      <c r="S192" s="215"/>
      <c r="T192" s="215"/>
      <c r="U192" s="215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5"/>
      <c r="AK192" s="215"/>
      <c r="AL192" s="215"/>
      <c r="AM192" s="215"/>
      <c r="AN192" s="25"/>
      <c r="AO192" s="33"/>
      <c r="AP192" s="25">
        <v>83593</v>
      </c>
      <c r="AQ192" s="33"/>
      <c r="AR192" s="211"/>
      <c r="AS192" s="33"/>
      <c r="AT192" s="25"/>
      <c r="AU192" s="41" t="s">
        <v>567</v>
      </c>
      <c r="AV192" s="212" t="s">
        <v>568</v>
      </c>
      <c r="AW192" s="41"/>
      <c r="AX192" s="212"/>
      <c r="AY192" s="212"/>
      <c r="AZ192" s="212"/>
      <c r="BA192" s="212" t="s">
        <v>569</v>
      </c>
      <c r="BB192" s="212"/>
      <c r="BC192" s="212"/>
      <c r="BD192" s="212">
        <v>9593</v>
      </c>
      <c r="BE192" s="211"/>
      <c r="BF192" s="212"/>
      <c r="BG192" s="212"/>
      <c r="BH192" s="212"/>
      <c r="BI192" s="212"/>
      <c r="BJ192" s="25">
        <v>49593</v>
      </c>
      <c r="BK192" s="216">
        <v>39.82</v>
      </c>
      <c r="BL192" s="217" t="s">
        <v>570</v>
      </c>
      <c r="BM192" s="218">
        <v>10038568742428</v>
      </c>
      <c r="BN192" s="92">
        <v>13.56</v>
      </c>
      <c r="BO192" s="92">
        <v>6.44</v>
      </c>
      <c r="BP192" s="92">
        <v>1.95</v>
      </c>
      <c r="BQ192" s="38"/>
      <c r="BR192" s="38"/>
      <c r="BS192" s="38"/>
      <c r="BT192" s="93">
        <f>6.5+(0.018*2)</f>
        <v>6.5359999999999996</v>
      </c>
      <c r="BU192" s="93">
        <f>1.75+(0.018*2)</f>
        <v>1.786</v>
      </c>
      <c r="BV192" s="93">
        <f>13.25+(0.018*4)</f>
        <v>13.321999999999999</v>
      </c>
      <c r="BW192" s="91">
        <f t="shared" si="35"/>
        <v>8.9995167425925907E-2</v>
      </c>
      <c r="BX192" s="93">
        <f>0.549+0.1</f>
        <v>0.64900000000000002</v>
      </c>
      <c r="BY192" s="220">
        <f>13.75+(0.125*2)</f>
        <v>14</v>
      </c>
      <c r="BZ192" s="220">
        <f>7+(0.125*2)</f>
        <v>7.25</v>
      </c>
      <c r="CA192" s="220">
        <f>6+(0.125*4)</f>
        <v>6.5</v>
      </c>
      <c r="CB192" s="91">
        <f t="shared" si="37"/>
        <v>0.38179976851851855</v>
      </c>
      <c r="CC192" s="93">
        <f>(BX192*3)+0.25</f>
        <v>2.1970000000000001</v>
      </c>
      <c r="CD192" s="301"/>
      <c r="CE192" s="301"/>
      <c r="CF192" s="212" t="s">
        <v>163</v>
      </c>
      <c r="CG192" s="212">
        <v>3</v>
      </c>
      <c r="CH192" s="212">
        <v>15</v>
      </c>
      <c r="CI192" s="212">
        <v>6</v>
      </c>
      <c r="CJ192" s="27">
        <f t="shared" si="38"/>
        <v>270</v>
      </c>
      <c r="CK192" s="27">
        <f t="shared" si="36"/>
        <v>247.73</v>
      </c>
      <c r="CL192" s="212" t="s">
        <v>321</v>
      </c>
      <c r="CM192" s="27" t="s">
        <v>136</v>
      </c>
      <c r="CN192" s="209"/>
      <c r="CO192" s="209"/>
      <c r="CP192" s="1"/>
      <c r="CQ192" s="1"/>
      <c r="CR192" s="1"/>
      <c r="CS192" s="1"/>
      <c r="CT192" s="1"/>
      <c r="CU192" s="1"/>
    </row>
    <row r="193" spans="1:99" s="210" customFormat="1" x14ac:dyDescent="0.25">
      <c r="A193" s="145">
        <v>42160</v>
      </c>
      <c r="B193" s="145"/>
      <c r="C193" s="211" t="s">
        <v>571</v>
      </c>
      <c r="D193" s="212" t="s">
        <v>105</v>
      </c>
      <c r="E193" s="213" t="s">
        <v>438</v>
      </c>
      <c r="F193" s="214" t="s">
        <v>572</v>
      </c>
      <c r="G193" s="214"/>
      <c r="H193" s="214"/>
      <c r="I193" s="214"/>
      <c r="J193" s="212" t="s">
        <v>129</v>
      </c>
      <c r="K193" s="211">
        <v>1560940504</v>
      </c>
      <c r="L193" s="212"/>
      <c r="M193" s="212"/>
      <c r="N193" s="25"/>
      <c r="O193" s="26"/>
      <c r="P193" s="26"/>
      <c r="Q193" s="26"/>
      <c r="R193" s="215"/>
      <c r="S193" s="215"/>
      <c r="T193" s="215"/>
      <c r="U193" s="215"/>
      <c r="V193" s="215"/>
      <c r="W193" s="215"/>
      <c r="X193" s="215"/>
      <c r="Y193" s="215"/>
      <c r="Z193" s="215"/>
      <c r="AA193" s="215"/>
      <c r="AB193" s="215"/>
      <c r="AC193" s="215"/>
      <c r="AD193" s="215"/>
      <c r="AE193" s="215"/>
      <c r="AF193" s="215"/>
      <c r="AG193" s="215"/>
      <c r="AH193" s="215"/>
      <c r="AI193" s="215"/>
      <c r="AJ193" s="215"/>
      <c r="AK193" s="215"/>
      <c r="AL193" s="215"/>
      <c r="AM193" s="215"/>
      <c r="AN193" s="25"/>
      <c r="AO193" s="33"/>
      <c r="AP193" s="25">
        <v>83504</v>
      </c>
      <c r="AQ193" s="33"/>
      <c r="AR193" s="211"/>
      <c r="AS193" s="33"/>
      <c r="AT193" s="25"/>
      <c r="AU193" s="41" t="s">
        <v>573</v>
      </c>
      <c r="AV193" s="212" t="s">
        <v>574</v>
      </c>
      <c r="AW193" s="41"/>
      <c r="AX193" s="212" t="s">
        <v>575</v>
      </c>
      <c r="AY193" s="212"/>
      <c r="AZ193" s="212"/>
      <c r="BA193" s="212" t="s">
        <v>576</v>
      </c>
      <c r="BB193" s="212"/>
      <c r="BC193" s="212"/>
      <c r="BD193" s="212">
        <v>9504</v>
      </c>
      <c r="BE193" s="211" t="s">
        <v>577</v>
      </c>
      <c r="BF193" s="212"/>
      <c r="BG193" s="212"/>
      <c r="BH193" s="212"/>
      <c r="BI193" s="212"/>
      <c r="BJ193" s="25">
        <v>49504</v>
      </c>
      <c r="BK193" s="216">
        <v>32.71</v>
      </c>
      <c r="BL193" s="217" t="s">
        <v>578</v>
      </c>
      <c r="BM193" s="218">
        <v>10038568742503</v>
      </c>
      <c r="BN193" s="92">
        <v>12.32</v>
      </c>
      <c r="BO193" s="92">
        <v>6.2</v>
      </c>
      <c r="BP193" s="92">
        <v>0.98</v>
      </c>
      <c r="BQ193" s="38"/>
      <c r="BR193" s="38"/>
      <c r="BS193" s="38"/>
      <c r="BT193" s="93">
        <f>7+(0.018*2)</f>
        <v>7.0359999999999996</v>
      </c>
      <c r="BU193" s="93">
        <f>2.5+(0.018*2)</f>
        <v>2.536</v>
      </c>
      <c r="BV193" s="93">
        <f>11.75+(0.018*4)</f>
        <v>11.821999999999999</v>
      </c>
      <c r="BW193" s="91">
        <f t="shared" si="35"/>
        <v>0.12207375307407406</v>
      </c>
      <c r="BX193" s="93">
        <f>0.26+0.1</f>
        <v>0.36</v>
      </c>
      <c r="BY193" s="220">
        <f>12+(0.125*2)</f>
        <v>12.25</v>
      </c>
      <c r="BZ193" s="220">
        <f>7.25+(0.125*2)</f>
        <v>7.5</v>
      </c>
      <c r="CA193" s="220">
        <f>8+(0.125*4)</f>
        <v>8.5</v>
      </c>
      <c r="CB193" s="91">
        <f t="shared" si="37"/>
        <v>0.4519314236111111</v>
      </c>
      <c r="CC193" s="93">
        <f>(BX193*3)+0.25</f>
        <v>1.33</v>
      </c>
      <c r="CD193" s="301"/>
      <c r="CE193" s="301"/>
      <c r="CF193" s="212" t="s">
        <v>163</v>
      </c>
      <c r="CG193" s="212">
        <v>3</v>
      </c>
      <c r="CH193" s="212">
        <v>15</v>
      </c>
      <c r="CI193" s="212">
        <v>6</v>
      </c>
      <c r="CJ193" s="27">
        <f t="shared" si="38"/>
        <v>270</v>
      </c>
      <c r="CK193" s="27">
        <f t="shared" si="36"/>
        <v>169.70000000000002</v>
      </c>
      <c r="CL193" s="212" t="s">
        <v>321</v>
      </c>
      <c r="CM193" s="27" t="s">
        <v>136</v>
      </c>
      <c r="CN193" s="209"/>
      <c r="CO193" s="209"/>
      <c r="CP193" s="1"/>
      <c r="CQ193" s="1"/>
      <c r="CR193" s="1"/>
      <c r="CS193" s="1"/>
      <c r="CT193" s="1"/>
      <c r="CU193" s="1"/>
    </row>
    <row r="194" spans="1:99" s="210" customFormat="1" x14ac:dyDescent="0.25">
      <c r="A194" s="145">
        <v>42130</v>
      </c>
      <c r="B194" s="145"/>
      <c r="C194" s="211" t="s">
        <v>579</v>
      </c>
      <c r="D194" s="213" t="s">
        <v>580</v>
      </c>
      <c r="E194" s="213" t="s">
        <v>581</v>
      </c>
      <c r="F194" s="214" t="s">
        <v>582</v>
      </c>
      <c r="G194" s="214"/>
      <c r="H194" s="214"/>
      <c r="I194" s="214"/>
      <c r="J194" s="212" t="s">
        <v>107</v>
      </c>
      <c r="K194" s="211">
        <v>95021102</v>
      </c>
      <c r="L194" s="212"/>
      <c r="M194" s="212"/>
      <c r="N194" s="25"/>
      <c r="O194" s="26"/>
      <c r="P194" s="26"/>
      <c r="Q194" s="26"/>
      <c r="R194" s="215"/>
      <c r="S194" s="215"/>
      <c r="T194" s="215"/>
      <c r="U194" s="215"/>
      <c r="V194" s="215"/>
      <c r="W194" s="215"/>
      <c r="X194" s="215"/>
      <c r="Y194" s="215"/>
      <c r="Z194" s="215"/>
      <c r="AA194" s="215"/>
      <c r="AB194" s="215"/>
      <c r="AC194" s="215"/>
      <c r="AD194" s="215"/>
      <c r="AE194" s="215"/>
      <c r="AF194" s="215"/>
      <c r="AG194" s="215"/>
      <c r="AH194" s="215"/>
      <c r="AI194" s="215"/>
      <c r="AJ194" s="215"/>
      <c r="AK194" s="215"/>
      <c r="AL194" s="215"/>
      <c r="AM194" s="215"/>
      <c r="AN194" s="25"/>
      <c r="AO194" s="33"/>
      <c r="AP194" s="25"/>
      <c r="AQ194" s="33"/>
      <c r="AR194" s="211"/>
      <c r="AS194" s="33"/>
      <c r="AT194" s="25"/>
      <c r="AU194" s="25" t="s">
        <v>583</v>
      </c>
      <c r="AV194" s="212"/>
      <c r="AW194" s="41"/>
      <c r="AX194" s="212"/>
      <c r="AY194" s="212"/>
      <c r="AZ194" s="212"/>
      <c r="BA194" s="212"/>
      <c r="BB194" s="212"/>
      <c r="BC194" s="212"/>
      <c r="BD194" s="212"/>
      <c r="BE194" s="211"/>
      <c r="BF194" s="212"/>
      <c r="BG194" s="212"/>
      <c r="BH194" s="212"/>
      <c r="BI194" s="212"/>
      <c r="BJ194" s="25"/>
      <c r="BK194" s="216">
        <v>19.59</v>
      </c>
      <c r="BL194" s="217" t="s">
        <v>584</v>
      </c>
      <c r="BM194" s="218">
        <v>10038568742404</v>
      </c>
      <c r="BN194" s="92">
        <v>9</v>
      </c>
      <c r="BO194" s="92">
        <v>6.26</v>
      </c>
      <c r="BP194" s="92">
        <v>2.2599999999999998</v>
      </c>
      <c r="BQ194" s="38"/>
      <c r="BR194" s="38"/>
      <c r="BS194" s="38"/>
      <c r="BT194" s="93">
        <f>7+(0.018*2)</f>
        <v>7.0359999999999996</v>
      </c>
      <c r="BU194" s="93">
        <f>2.5+(0.018*2)</f>
        <v>2.536</v>
      </c>
      <c r="BV194" s="93">
        <f>11.75+(0.018*4)</f>
        <v>11.821999999999999</v>
      </c>
      <c r="BW194" s="91">
        <f t="shared" si="35"/>
        <v>0.12207375307407406</v>
      </c>
      <c r="BX194" s="93">
        <f>0.412+0.1</f>
        <v>0.51200000000000001</v>
      </c>
      <c r="BY194" s="220">
        <f>12+(0.125*2)</f>
        <v>12.25</v>
      </c>
      <c r="BZ194" s="220">
        <f>7.25+(0.125*2)</f>
        <v>7.5</v>
      </c>
      <c r="CA194" s="220">
        <f>8+(0.125*4)</f>
        <v>8.5</v>
      </c>
      <c r="CB194" s="91">
        <f>(CA194*BZ194*BY194)/1728</f>
        <v>0.4519314236111111</v>
      </c>
      <c r="CC194" s="93">
        <f>(BX194*3)+0.25</f>
        <v>1.786</v>
      </c>
      <c r="CD194" s="301"/>
      <c r="CE194" s="301"/>
      <c r="CF194" s="212" t="s">
        <v>163</v>
      </c>
      <c r="CG194" s="212">
        <v>3</v>
      </c>
      <c r="CH194" s="212">
        <v>20</v>
      </c>
      <c r="CI194" s="212">
        <v>5</v>
      </c>
      <c r="CJ194" s="27">
        <f>CG194*CH194*CI194</f>
        <v>300</v>
      </c>
      <c r="CK194" s="27">
        <f>(CC194*CH194*CI194)+50</f>
        <v>228.6</v>
      </c>
      <c r="CL194" s="212" t="s">
        <v>135</v>
      </c>
      <c r="CM194" s="27" t="s">
        <v>136</v>
      </c>
      <c r="CN194" s="209"/>
      <c r="CO194" s="209"/>
      <c r="CP194" s="1"/>
      <c r="CQ194" s="1"/>
      <c r="CR194" s="1"/>
      <c r="CS194" s="1"/>
      <c r="CT194" s="1"/>
      <c r="CU194" s="1"/>
    </row>
    <row r="195" spans="1:99" s="210" customFormat="1" x14ac:dyDescent="0.25">
      <c r="A195" s="145">
        <v>42130</v>
      </c>
      <c r="B195" s="145"/>
      <c r="C195" s="211" t="s">
        <v>585</v>
      </c>
      <c r="D195" s="213" t="s">
        <v>580</v>
      </c>
      <c r="E195" s="213" t="s">
        <v>581</v>
      </c>
      <c r="F195" s="214" t="s">
        <v>586</v>
      </c>
      <c r="G195" s="214"/>
      <c r="H195" s="214"/>
      <c r="I195" s="214"/>
      <c r="J195" s="212" t="s">
        <v>269</v>
      </c>
      <c r="K195" s="211" t="s">
        <v>587</v>
      </c>
      <c r="L195" s="212"/>
      <c r="M195" s="212"/>
      <c r="N195" s="25"/>
      <c r="O195" s="26"/>
      <c r="P195" s="26"/>
      <c r="Q195" s="26"/>
      <c r="R195" s="215"/>
      <c r="S195" s="215"/>
      <c r="T195" s="215"/>
      <c r="U195" s="215"/>
      <c r="V195" s="215"/>
      <c r="W195" s="215"/>
      <c r="X195" s="215"/>
      <c r="Y195" s="215"/>
      <c r="Z195" s="215"/>
      <c r="AA195" s="215"/>
      <c r="AB195" s="215"/>
      <c r="AC195" s="215"/>
      <c r="AD195" s="215"/>
      <c r="AE195" s="215"/>
      <c r="AF195" s="215"/>
      <c r="AG195" s="215"/>
      <c r="AH195" s="215"/>
      <c r="AI195" s="215"/>
      <c r="AJ195" s="215"/>
      <c r="AK195" s="215"/>
      <c r="AL195" s="215"/>
      <c r="AM195" s="215"/>
      <c r="AN195" s="25"/>
      <c r="AO195" s="33"/>
      <c r="AP195" s="25"/>
      <c r="AQ195" s="33"/>
      <c r="AR195" s="211"/>
      <c r="AS195" s="33"/>
      <c r="AT195" s="25"/>
      <c r="AU195" s="25" t="s">
        <v>588</v>
      </c>
      <c r="AV195" s="212"/>
      <c r="AW195" s="41"/>
      <c r="AX195" s="212"/>
      <c r="AY195" s="212"/>
      <c r="AZ195" s="212"/>
      <c r="BA195" s="212"/>
      <c r="BB195" s="212"/>
      <c r="BC195" s="212"/>
      <c r="BD195" s="212"/>
      <c r="BE195" s="211"/>
      <c r="BF195" s="212"/>
      <c r="BG195" s="212"/>
      <c r="BH195" s="212"/>
      <c r="BI195" s="212"/>
      <c r="BJ195" s="25"/>
      <c r="BK195" s="216">
        <v>19.86</v>
      </c>
      <c r="BL195" s="217" t="s">
        <v>589</v>
      </c>
      <c r="BM195" s="218">
        <v>10038568742336</v>
      </c>
      <c r="BN195" s="92">
        <v>11.67</v>
      </c>
      <c r="BO195" s="92">
        <v>6.48</v>
      </c>
      <c r="BP195" s="92">
        <v>2.09</v>
      </c>
      <c r="BQ195" s="38"/>
      <c r="BR195" s="38"/>
      <c r="BS195" s="38"/>
      <c r="BT195" s="93">
        <f>7+(0.018*2)</f>
        <v>7.0359999999999996</v>
      </c>
      <c r="BU195" s="93">
        <f>2.5+(0.018*2)</f>
        <v>2.536</v>
      </c>
      <c r="BV195" s="93">
        <f>11.75+(0.018*4)</f>
        <v>11.821999999999999</v>
      </c>
      <c r="BW195" s="91">
        <f t="shared" si="35"/>
        <v>0.12207375307407406</v>
      </c>
      <c r="BX195" s="93">
        <f>0.7+0.1</f>
        <v>0.79999999999999993</v>
      </c>
      <c r="BY195" s="220">
        <f>12+(0.125*2)</f>
        <v>12.25</v>
      </c>
      <c r="BZ195" s="220">
        <f>7.25+(0.125*2)</f>
        <v>7.5</v>
      </c>
      <c r="CA195" s="220">
        <f>8+(0.125*4)</f>
        <v>8.5</v>
      </c>
      <c r="CB195" s="91">
        <f>(CA195*BZ195*BY195)/1728</f>
        <v>0.4519314236111111</v>
      </c>
      <c r="CC195" s="93">
        <f>(BX195*3)+0.25</f>
        <v>2.65</v>
      </c>
      <c r="CD195" s="301"/>
      <c r="CE195" s="301"/>
      <c r="CF195" s="212" t="s">
        <v>163</v>
      </c>
      <c r="CG195" s="212">
        <v>3</v>
      </c>
      <c r="CH195" s="212">
        <v>20</v>
      </c>
      <c r="CI195" s="212">
        <v>5</v>
      </c>
      <c r="CJ195" s="27">
        <f>CG195*CH195*CI195</f>
        <v>300</v>
      </c>
      <c r="CK195" s="27">
        <f>(CC195*CH195*CI195)+50</f>
        <v>315</v>
      </c>
      <c r="CL195" s="212" t="s">
        <v>321</v>
      </c>
      <c r="CM195" s="27" t="s">
        <v>136</v>
      </c>
      <c r="CN195" s="209"/>
      <c r="CO195" s="209"/>
      <c r="CP195" s="1"/>
      <c r="CQ195" s="1"/>
      <c r="CR195" s="1"/>
      <c r="CS195" s="1"/>
      <c r="CT195" s="1"/>
      <c r="CU195" s="1"/>
    </row>
    <row r="196" spans="1:99" s="210" customFormat="1" ht="45" x14ac:dyDescent="0.25">
      <c r="A196" s="145">
        <v>42130</v>
      </c>
      <c r="B196" s="145"/>
      <c r="C196" s="211" t="s">
        <v>590</v>
      </c>
      <c r="D196" s="213" t="s">
        <v>54</v>
      </c>
      <c r="E196" s="213" t="s">
        <v>591</v>
      </c>
      <c r="F196" s="221" t="s">
        <v>592</v>
      </c>
      <c r="G196" s="221"/>
      <c r="H196" s="221"/>
      <c r="I196" s="221"/>
      <c r="J196" s="212"/>
      <c r="K196" s="211"/>
      <c r="L196" s="212"/>
      <c r="M196" s="212"/>
      <c r="N196" s="25"/>
      <c r="O196" s="26"/>
      <c r="P196" s="26"/>
      <c r="Q196" s="26"/>
      <c r="R196" s="215"/>
      <c r="S196" s="215"/>
      <c r="T196" s="215"/>
      <c r="U196" s="215"/>
      <c r="V196" s="215"/>
      <c r="W196" s="215"/>
      <c r="X196" s="215"/>
      <c r="Y196" s="215"/>
      <c r="Z196" s="215"/>
      <c r="AA196" s="215"/>
      <c r="AB196" s="215"/>
      <c r="AC196" s="215"/>
      <c r="AD196" s="215"/>
      <c r="AE196" s="215"/>
      <c r="AF196" s="215"/>
      <c r="AG196" s="215"/>
      <c r="AH196" s="215"/>
      <c r="AI196" s="215"/>
      <c r="AJ196" s="215"/>
      <c r="AK196" s="215"/>
      <c r="AL196" s="215"/>
      <c r="AM196" s="215"/>
      <c r="AN196" s="25"/>
      <c r="AO196" s="33"/>
      <c r="AP196" s="25"/>
      <c r="AQ196" s="33"/>
      <c r="AR196" s="211"/>
      <c r="AS196" s="33"/>
      <c r="AT196" s="25"/>
      <c r="AU196" s="41"/>
      <c r="AV196" s="212"/>
      <c r="AW196" s="41"/>
      <c r="AX196" s="212"/>
      <c r="AY196" s="212"/>
      <c r="AZ196" s="212"/>
      <c r="BA196" s="212"/>
      <c r="BB196" s="212"/>
      <c r="BC196" s="212"/>
      <c r="BD196" s="212"/>
      <c r="BE196" s="211"/>
      <c r="BF196" s="212"/>
      <c r="BG196" s="212"/>
      <c r="BH196" s="212"/>
      <c r="BI196" s="212"/>
      <c r="BJ196" s="25"/>
      <c r="BK196" s="216">
        <v>109.42</v>
      </c>
      <c r="BL196" s="217" t="s">
        <v>593</v>
      </c>
      <c r="BM196" s="218">
        <v>10038568742909</v>
      </c>
      <c r="BN196" s="38"/>
      <c r="BO196" s="38"/>
      <c r="BP196" s="38"/>
      <c r="BQ196" s="38"/>
      <c r="BR196" s="38"/>
      <c r="BS196" s="38"/>
      <c r="BT196" s="597" t="s">
        <v>355</v>
      </c>
      <c r="BU196" s="597"/>
      <c r="BV196" s="597"/>
      <c r="BW196" s="597"/>
      <c r="BX196" s="597"/>
      <c r="BY196" s="220">
        <f>12.75+(0.125*2)</f>
        <v>13</v>
      </c>
      <c r="BZ196" s="220">
        <f>8.62+(0.125*2)</f>
        <v>8.8699999999999992</v>
      </c>
      <c r="CA196" s="220">
        <f>11.5+(0.125*4)</f>
        <v>12</v>
      </c>
      <c r="CB196" s="91">
        <f t="shared" ref="CB196" si="39">(CA196*BZ196*BY196)/1728</f>
        <v>0.80076388888888894</v>
      </c>
      <c r="CC196" s="93">
        <f>11.78+0.25</f>
        <v>12.03</v>
      </c>
      <c r="CD196" s="301"/>
      <c r="CE196" s="301"/>
      <c r="CF196" s="212" t="s">
        <v>163</v>
      </c>
      <c r="CG196" s="212">
        <v>1</v>
      </c>
      <c r="CH196" s="212">
        <v>15</v>
      </c>
      <c r="CI196" s="212">
        <v>3</v>
      </c>
      <c r="CJ196" s="27">
        <f t="shared" ref="CJ196" si="40">CG196*CH196*CI196</f>
        <v>45</v>
      </c>
      <c r="CK196" s="27">
        <f t="shared" ref="CK196" si="41">(CC196*CH196*CI196)+50</f>
        <v>591.34999999999991</v>
      </c>
      <c r="CL196" s="214" t="s">
        <v>594</v>
      </c>
      <c r="CM196" s="27" t="s">
        <v>136</v>
      </c>
      <c r="CN196" s="209"/>
      <c r="CO196" s="209"/>
      <c r="CP196" s="1"/>
      <c r="CQ196" s="1"/>
      <c r="CR196" s="1"/>
      <c r="CS196" s="1"/>
      <c r="CT196" s="1"/>
      <c r="CU196" s="1"/>
    </row>
    <row r="197" spans="1:99" s="210" customFormat="1" ht="15" customHeight="1" x14ac:dyDescent="0.25">
      <c r="A197" s="145">
        <v>42109</v>
      </c>
      <c r="B197" s="145"/>
      <c r="C197" s="222" t="s">
        <v>595</v>
      </c>
      <c r="D197" s="213" t="s">
        <v>88</v>
      </c>
      <c r="E197" s="213" t="s">
        <v>581</v>
      </c>
      <c r="F197" s="221" t="s">
        <v>596</v>
      </c>
      <c r="G197" s="221"/>
      <c r="H197" s="221"/>
      <c r="I197" s="221"/>
      <c r="J197" s="212" t="s">
        <v>90</v>
      </c>
      <c r="K197" s="211" t="s">
        <v>597</v>
      </c>
      <c r="L197" s="212" t="s">
        <v>47</v>
      </c>
      <c r="M197" s="212" t="s">
        <v>598</v>
      </c>
      <c r="N197" s="25"/>
      <c r="O197" s="26"/>
      <c r="P197" s="26"/>
      <c r="Q197" s="26"/>
      <c r="R197" s="215"/>
      <c r="S197" s="215"/>
      <c r="T197" s="215"/>
      <c r="U197" s="215"/>
      <c r="V197" s="215"/>
      <c r="W197" s="215"/>
      <c r="X197" s="215"/>
      <c r="Y197" s="215"/>
      <c r="Z197" s="215"/>
      <c r="AA197" s="215"/>
      <c r="AB197" s="215"/>
      <c r="AC197" s="215"/>
      <c r="AD197" s="215"/>
      <c r="AE197" s="215"/>
      <c r="AF197" s="215"/>
      <c r="AG197" s="215"/>
      <c r="AH197" s="215"/>
      <c r="AI197" s="215"/>
      <c r="AJ197" s="215"/>
      <c r="AK197" s="215"/>
      <c r="AL197" s="215"/>
      <c r="AM197" s="215"/>
      <c r="AN197" s="25"/>
      <c r="AO197" s="33"/>
      <c r="AP197" s="25"/>
      <c r="AQ197" s="33"/>
      <c r="AR197" s="211"/>
      <c r="AS197" s="33"/>
      <c r="AT197" s="25"/>
      <c r="AU197" s="41" t="s">
        <v>599</v>
      </c>
      <c r="AV197" s="212"/>
      <c r="AW197" s="41" t="s">
        <v>600</v>
      </c>
      <c r="AX197" s="212"/>
      <c r="AY197" s="212"/>
      <c r="AZ197" s="212"/>
      <c r="BA197" s="212"/>
      <c r="BB197" s="212"/>
      <c r="BC197" s="212" t="s">
        <v>598</v>
      </c>
      <c r="BD197" s="212"/>
      <c r="BE197" s="211" t="s">
        <v>601</v>
      </c>
      <c r="BF197" s="212"/>
      <c r="BG197" s="212"/>
      <c r="BH197" s="212"/>
      <c r="BI197" s="212" t="s">
        <v>602</v>
      </c>
      <c r="BJ197" s="25"/>
      <c r="BK197" s="216">
        <v>16.350000000000001</v>
      </c>
      <c r="BL197" s="217" t="s">
        <v>603</v>
      </c>
      <c r="BM197" s="218">
        <v>10038568316032</v>
      </c>
      <c r="BN197" s="92">
        <v>9.65</v>
      </c>
      <c r="BO197" s="92">
        <v>7.8</v>
      </c>
      <c r="BP197" s="92">
        <v>2.2400000000000002</v>
      </c>
      <c r="BQ197" s="38"/>
      <c r="BR197" s="38"/>
      <c r="BS197" s="38"/>
      <c r="BT197" s="93">
        <f>9.75+(0.018*2)</f>
        <v>9.7859999999999996</v>
      </c>
      <c r="BU197" s="93">
        <f>2.31+(0.018*2)</f>
        <v>2.3460000000000001</v>
      </c>
      <c r="BV197" s="93">
        <f>9.75+(0.018*4)</f>
        <v>9.8219999999999992</v>
      </c>
      <c r="BW197" s="91">
        <f t="shared" ref="BW197" si="42">(BV197*BU197*BT197)/1728</f>
        <v>0.13049365962499998</v>
      </c>
      <c r="BX197" s="93">
        <f>0.54+0.1</f>
        <v>0.64</v>
      </c>
      <c r="BY197" s="220">
        <f>14.25+(0.125*2)</f>
        <v>14.5</v>
      </c>
      <c r="BZ197" s="220">
        <f>9.87+(0.125*2)</f>
        <v>10.119999999999999</v>
      </c>
      <c r="CA197" s="220">
        <f>9.87+(0.125*4)</f>
        <v>10.37</v>
      </c>
      <c r="CB197" s="91">
        <f>(CA197*BZ197*BY197)/1728</f>
        <v>0.88060983796296288</v>
      </c>
      <c r="CC197" s="93">
        <f>(BX197*6)+0.25</f>
        <v>4.09</v>
      </c>
      <c r="CD197" s="301"/>
      <c r="CE197" s="301"/>
      <c r="CF197" s="212" t="s">
        <v>163</v>
      </c>
      <c r="CG197" s="212">
        <v>6</v>
      </c>
      <c r="CH197" s="212">
        <v>11</v>
      </c>
      <c r="CI197" s="212">
        <v>3</v>
      </c>
      <c r="CJ197" s="27">
        <f>CG197*CH197*CI197</f>
        <v>198</v>
      </c>
      <c r="CK197" s="27">
        <f>(CC197*CH197*CI197)+50</f>
        <v>184.96999999999997</v>
      </c>
      <c r="CL197" s="212" t="s">
        <v>135</v>
      </c>
      <c r="CM197" s="27" t="s">
        <v>136</v>
      </c>
      <c r="CN197" s="209"/>
      <c r="CO197" s="209"/>
      <c r="CP197" s="1"/>
      <c r="CQ197" s="1"/>
      <c r="CR197" s="1"/>
      <c r="CS197" s="1"/>
      <c r="CT197" s="1"/>
      <c r="CU197" s="1"/>
    </row>
    <row r="198" spans="1:99" s="210" customFormat="1" x14ac:dyDescent="0.25">
      <c r="A198" s="145">
        <v>42109</v>
      </c>
      <c r="B198" s="145"/>
      <c r="C198" s="222" t="s">
        <v>604</v>
      </c>
      <c r="D198" s="213" t="s">
        <v>54</v>
      </c>
      <c r="E198" s="213" t="s">
        <v>605</v>
      </c>
      <c r="F198" s="221" t="s">
        <v>606</v>
      </c>
      <c r="G198" s="221"/>
      <c r="H198" s="221"/>
      <c r="I198" s="221"/>
      <c r="J198" s="212" t="s">
        <v>350</v>
      </c>
      <c r="K198" s="212" t="s">
        <v>607</v>
      </c>
      <c r="L198" s="212" t="s">
        <v>350</v>
      </c>
      <c r="M198" s="212" t="s">
        <v>608</v>
      </c>
      <c r="N198" s="25"/>
      <c r="O198" s="26"/>
      <c r="P198" s="26"/>
      <c r="Q198" s="26"/>
      <c r="R198" s="215"/>
      <c r="S198" s="215"/>
      <c r="T198" s="215"/>
      <c r="U198" s="215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15"/>
      <c r="AF198" s="215"/>
      <c r="AG198" s="215"/>
      <c r="AH198" s="215"/>
      <c r="AI198" s="215"/>
      <c r="AJ198" s="215"/>
      <c r="AK198" s="215"/>
      <c r="AL198" s="215"/>
      <c r="AM198" s="215"/>
      <c r="AN198" s="25" t="s">
        <v>609</v>
      </c>
      <c r="AO198" s="33"/>
      <c r="AP198" s="25"/>
      <c r="AQ198" s="33"/>
      <c r="AR198" s="211"/>
      <c r="AS198" s="33" t="s">
        <v>610</v>
      </c>
      <c r="AT198" s="25" t="s">
        <v>611</v>
      </c>
      <c r="AU198" s="25" t="s">
        <v>612</v>
      </c>
      <c r="AV198" s="119"/>
      <c r="AW198" s="31"/>
      <c r="AX198" s="31"/>
      <c r="AY198" s="31"/>
      <c r="AZ198" s="31"/>
      <c r="BA198" s="31"/>
      <c r="BB198" s="31"/>
      <c r="BC198" s="31"/>
      <c r="BD198" s="223"/>
      <c r="BE198" s="211"/>
      <c r="BF198" s="31"/>
      <c r="BG198" s="31"/>
      <c r="BH198" s="31"/>
      <c r="BI198" s="31"/>
      <c r="BJ198" s="25">
        <v>33753</v>
      </c>
      <c r="BK198" s="170">
        <v>32.479999999999997</v>
      </c>
      <c r="BL198" s="217" t="s">
        <v>613</v>
      </c>
      <c r="BM198" s="218">
        <v>10038568738261</v>
      </c>
      <c r="BN198" s="38"/>
      <c r="BO198" s="38"/>
      <c r="BP198" s="38"/>
      <c r="BQ198" s="224">
        <v>6.48</v>
      </c>
      <c r="BR198" s="224">
        <v>4.26</v>
      </c>
      <c r="BS198" s="224">
        <v>3.63</v>
      </c>
      <c r="BT198" s="597" t="s">
        <v>355</v>
      </c>
      <c r="BU198" s="597"/>
      <c r="BV198" s="597"/>
      <c r="BW198" s="597"/>
      <c r="BX198" s="597"/>
      <c r="BY198" s="220">
        <f>13.25+(0.125*2)</f>
        <v>13.5</v>
      </c>
      <c r="BZ198" s="220">
        <f>9+(0.125*2)</f>
        <v>9.25</v>
      </c>
      <c r="CA198" s="220">
        <f>6.75+(0.125*4)</f>
        <v>7.25</v>
      </c>
      <c r="CB198" s="91">
        <f t="shared" ref="CB198" si="43">(CA198*BZ198*BY198)/1728</f>
        <v>0.52392578125</v>
      </c>
      <c r="CC198" s="93">
        <f>(1.5*6)+0.25</f>
        <v>9.25</v>
      </c>
      <c r="CD198" s="301"/>
      <c r="CE198" s="301"/>
      <c r="CF198" s="212" t="s">
        <v>163</v>
      </c>
      <c r="CG198" s="212">
        <v>6</v>
      </c>
      <c r="CH198" s="212">
        <v>13</v>
      </c>
      <c r="CI198" s="212">
        <v>6</v>
      </c>
      <c r="CJ198" s="27">
        <f t="shared" ref="CJ198" si="44">CG198*CH198*CI198</f>
        <v>468</v>
      </c>
      <c r="CK198" s="27">
        <f t="shared" ref="CK198" si="45">(CC198*CH198*CI198)+50</f>
        <v>771.5</v>
      </c>
      <c r="CL198" s="212" t="s">
        <v>256</v>
      </c>
      <c r="CM198" s="27" t="s">
        <v>136</v>
      </c>
      <c r="CN198" s="209"/>
      <c r="CO198" s="209"/>
      <c r="CP198" s="1"/>
      <c r="CQ198" s="1"/>
      <c r="CR198" s="1"/>
      <c r="CS198" s="1"/>
      <c r="CT198" s="1"/>
      <c r="CU198" s="1"/>
    </row>
    <row r="199" spans="1:99" s="210" customFormat="1" x14ac:dyDescent="0.25">
      <c r="A199" s="145">
        <v>42083</v>
      </c>
      <c r="B199" s="145"/>
      <c r="C199" s="185" t="s">
        <v>614</v>
      </c>
      <c r="D199" s="213" t="s">
        <v>88</v>
      </c>
      <c r="E199" s="213" t="s">
        <v>581</v>
      </c>
      <c r="F199" s="214" t="s">
        <v>615</v>
      </c>
      <c r="G199" s="214"/>
      <c r="H199" s="214"/>
      <c r="I199" s="214"/>
      <c r="J199" s="212" t="s">
        <v>107</v>
      </c>
      <c r="K199" s="212">
        <v>25898499</v>
      </c>
      <c r="L199" s="225"/>
      <c r="M199" s="31"/>
      <c r="N199" s="25"/>
      <c r="O199" s="26"/>
      <c r="P199" s="26"/>
      <c r="Q199" s="26"/>
      <c r="R199" s="215"/>
      <c r="S199" s="215"/>
      <c r="T199" s="215"/>
      <c r="U199" s="215"/>
      <c r="V199" s="215"/>
      <c r="W199" s="215"/>
      <c r="X199" s="215"/>
      <c r="Y199" s="215"/>
      <c r="Z199" s="215"/>
      <c r="AA199" s="215"/>
      <c r="AB199" s="215"/>
      <c r="AC199" s="215"/>
      <c r="AD199" s="215"/>
      <c r="AE199" s="215"/>
      <c r="AF199" s="215"/>
      <c r="AG199" s="215"/>
      <c r="AH199" s="215"/>
      <c r="AI199" s="215"/>
      <c r="AJ199" s="215"/>
      <c r="AK199" s="215"/>
      <c r="AL199" s="215"/>
      <c r="AM199" s="215"/>
      <c r="AN199" s="25"/>
      <c r="AO199" s="33"/>
      <c r="AP199" s="25"/>
      <c r="AQ199" s="33"/>
      <c r="AR199" s="211"/>
      <c r="AS199" s="33"/>
      <c r="AT199" s="25"/>
      <c r="AU199" s="25" t="s">
        <v>616</v>
      </c>
      <c r="AV199" s="31"/>
      <c r="AW199" s="31"/>
      <c r="AX199" s="31"/>
      <c r="AY199" s="31"/>
      <c r="AZ199" s="31"/>
      <c r="BA199" s="31"/>
      <c r="BB199" s="31"/>
      <c r="BC199" s="31"/>
      <c r="BD199" s="223"/>
      <c r="BE199" s="31"/>
      <c r="BF199" s="31"/>
      <c r="BG199" s="31"/>
      <c r="BH199" s="31"/>
      <c r="BI199" s="31"/>
      <c r="BJ199" s="25"/>
      <c r="BK199" s="170">
        <v>69.739999999999995</v>
      </c>
      <c r="BL199" s="217" t="s">
        <v>617</v>
      </c>
      <c r="BM199" s="218">
        <v>10038568742398</v>
      </c>
      <c r="BN199" s="92">
        <v>11.32</v>
      </c>
      <c r="BO199" s="92">
        <v>9.31</v>
      </c>
      <c r="BP199" s="92">
        <v>1.97</v>
      </c>
      <c r="BQ199" s="38"/>
      <c r="BR199" s="36"/>
      <c r="BS199" s="36"/>
      <c r="BT199" s="93">
        <v>10.036</v>
      </c>
      <c r="BU199" s="93">
        <v>2.536</v>
      </c>
      <c r="BV199" s="93">
        <v>12.571999999999999</v>
      </c>
      <c r="BW199" s="91">
        <v>0.18516996140740738</v>
      </c>
      <c r="BX199" s="93">
        <v>0.753</v>
      </c>
      <c r="BY199" s="220">
        <v>13.25</v>
      </c>
      <c r="BZ199" s="220">
        <v>8.25</v>
      </c>
      <c r="CA199" s="220">
        <v>11.5</v>
      </c>
      <c r="CB199" s="91">
        <v>0.72748480902777779</v>
      </c>
      <c r="CC199" s="93">
        <v>2.5089999999999999</v>
      </c>
      <c r="CD199" s="301"/>
      <c r="CE199" s="301"/>
      <c r="CF199" s="212" t="s">
        <v>163</v>
      </c>
      <c r="CG199" s="212">
        <v>3</v>
      </c>
      <c r="CH199" s="212">
        <v>16</v>
      </c>
      <c r="CI199" s="212">
        <v>3</v>
      </c>
      <c r="CJ199" s="27">
        <v>144</v>
      </c>
      <c r="CK199" s="27">
        <v>170.43199999999999</v>
      </c>
      <c r="CL199" s="212" t="s">
        <v>321</v>
      </c>
      <c r="CM199" s="27" t="s">
        <v>136</v>
      </c>
      <c r="CN199" s="209"/>
      <c r="CO199" s="209"/>
      <c r="CP199" s="1"/>
      <c r="CQ199" s="1"/>
      <c r="CR199" s="1"/>
      <c r="CS199" s="1"/>
      <c r="CT199" s="1"/>
      <c r="CU199" s="1"/>
    </row>
    <row r="200" spans="1:99" s="210" customFormat="1" x14ac:dyDescent="0.25">
      <c r="A200" s="145">
        <v>42083</v>
      </c>
      <c r="B200" s="145"/>
      <c r="C200" s="185" t="s">
        <v>618</v>
      </c>
      <c r="D200" s="213" t="s">
        <v>88</v>
      </c>
      <c r="E200" s="213" t="s">
        <v>581</v>
      </c>
      <c r="F200" s="214" t="s">
        <v>619</v>
      </c>
      <c r="G200" s="214"/>
      <c r="H200" s="214"/>
      <c r="I200" s="214"/>
      <c r="J200" s="212" t="s">
        <v>124</v>
      </c>
      <c r="K200" s="212">
        <v>13717798342</v>
      </c>
      <c r="L200" s="225"/>
      <c r="M200" s="31"/>
      <c r="N200" s="25"/>
      <c r="O200" s="26"/>
      <c r="P200" s="26"/>
      <c r="Q200" s="26"/>
      <c r="R200" s="215"/>
      <c r="S200" s="215"/>
      <c r="T200" s="215"/>
      <c r="U200" s="215"/>
      <c r="V200" s="215"/>
      <c r="W200" s="215"/>
      <c r="X200" s="215"/>
      <c r="Y200" s="215"/>
      <c r="Z200" s="215"/>
      <c r="AA200" s="215"/>
      <c r="AB200" s="215"/>
      <c r="AC200" s="215"/>
      <c r="AD200" s="215"/>
      <c r="AE200" s="215"/>
      <c r="AF200" s="215"/>
      <c r="AG200" s="215"/>
      <c r="AH200" s="215"/>
      <c r="AI200" s="215"/>
      <c r="AJ200" s="215"/>
      <c r="AK200" s="215"/>
      <c r="AL200" s="215"/>
      <c r="AM200" s="215"/>
      <c r="AN200" s="25"/>
      <c r="AO200" s="33"/>
      <c r="AP200" s="25"/>
      <c r="AQ200" s="33"/>
      <c r="AR200" s="211"/>
      <c r="AS200" s="33"/>
      <c r="AT200" s="25"/>
      <c r="AU200" s="25" t="s">
        <v>620</v>
      </c>
      <c r="AV200" s="41" t="s">
        <v>621</v>
      </c>
      <c r="AW200" s="31"/>
      <c r="AX200" s="31"/>
      <c r="AY200" s="31"/>
      <c r="AZ200" s="31"/>
      <c r="BA200" s="31"/>
      <c r="BB200" s="31"/>
      <c r="BC200" s="31"/>
      <c r="BD200" s="223"/>
      <c r="BE200" s="31" t="s">
        <v>622</v>
      </c>
      <c r="BF200" s="31"/>
      <c r="BG200" s="31"/>
      <c r="BH200" s="31"/>
      <c r="BI200" s="31"/>
      <c r="BJ200" s="119" t="s">
        <v>623</v>
      </c>
      <c r="BK200" s="170">
        <v>46.6</v>
      </c>
      <c r="BL200" s="217" t="s">
        <v>624</v>
      </c>
      <c r="BM200" s="218">
        <v>10038568742411</v>
      </c>
      <c r="BN200" s="92">
        <v>12.68</v>
      </c>
      <c r="BO200" s="92">
        <v>10.02</v>
      </c>
      <c r="BP200" s="92">
        <v>2.17</v>
      </c>
      <c r="BQ200" s="38"/>
      <c r="BR200" s="38"/>
      <c r="BS200" s="38"/>
      <c r="BT200" s="93">
        <v>10.536</v>
      </c>
      <c r="BU200" s="93">
        <v>2.786</v>
      </c>
      <c r="BV200" s="93">
        <v>15.071999999999999</v>
      </c>
      <c r="BW200" s="91">
        <v>0.25602597066666666</v>
      </c>
      <c r="BX200" s="93">
        <v>1.171</v>
      </c>
      <c r="BY200" s="220">
        <v>15.68</v>
      </c>
      <c r="BZ200" s="220">
        <v>11.81</v>
      </c>
      <c r="CA200" s="220">
        <v>9.6199999999999992</v>
      </c>
      <c r="CB200" s="91">
        <v>1.0309255185185184</v>
      </c>
      <c r="CC200" s="93">
        <v>3.7629999999999999</v>
      </c>
      <c r="CD200" s="301"/>
      <c r="CE200" s="301"/>
      <c r="CF200" s="212" t="s">
        <v>163</v>
      </c>
      <c r="CG200" s="212">
        <v>3</v>
      </c>
      <c r="CH200" s="212">
        <v>10</v>
      </c>
      <c r="CI200" s="212">
        <v>4</v>
      </c>
      <c r="CJ200" s="27">
        <v>120</v>
      </c>
      <c r="CK200" s="27">
        <v>200.51999999999998</v>
      </c>
      <c r="CL200" s="212" t="s">
        <v>321</v>
      </c>
      <c r="CM200" s="27" t="s">
        <v>136</v>
      </c>
      <c r="CN200" s="209"/>
      <c r="CO200" s="209"/>
      <c r="CP200" s="1"/>
      <c r="CQ200" s="1"/>
      <c r="CR200" s="1"/>
      <c r="CS200" s="1"/>
      <c r="CT200" s="1"/>
      <c r="CU200" s="1"/>
    </row>
    <row r="201" spans="1:99" s="210" customFormat="1" x14ac:dyDescent="0.25">
      <c r="A201" s="145">
        <v>42083</v>
      </c>
      <c r="B201" s="145"/>
      <c r="C201" s="185" t="s">
        <v>625</v>
      </c>
      <c r="D201" s="213" t="s">
        <v>88</v>
      </c>
      <c r="E201" s="213" t="s">
        <v>581</v>
      </c>
      <c r="F201" s="214" t="s">
        <v>626</v>
      </c>
      <c r="G201" s="214"/>
      <c r="H201" s="214"/>
      <c r="I201" s="214"/>
      <c r="J201" s="212" t="s">
        <v>627</v>
      </c>
      <c r="K201" s="212" t="s">
        <v>628</v>
      </c>
      <c r="L201" s="225"/>
      <c r="M201" s="31"/>
      <c r="N201" s="25"/>
      <c r="O201" s="26"/>
      <c r="P201" s="26"/>
      <c r="Q201" s="26"/>
      <c r="R201" s="215"/>
      <c r="S201" s="215"/>
      <c r="T201" s="215"/>
      <c r="U201" s="215"/>
      <c r="V201" s="215"/>
      <c r="W201" s="215"/>
      <c r="X201" s="215"/>
      <c r="Y201" s="215"/>
      <c r="Z201" s="215"/>
      <c r="AA201" s="215"/>
      <c r="AB201" s="215"/>
      <c r="AC201" s="215"/>
      <c r="AD201" s="215"/>
      <c r="AE201" s="215"/>
      <c r="AF201" s="215"/>
      <c r="AG201" s="215"/>
      <c r="AH201" s="215"/>
      <c r="AI201" s="215"/>
      <c r="AJ201" s="215"/>
      <c r="AK201" s="215"/>
      <c r="AL201" s="215"/>
      <c r="AM201" s="215"/>
      <c r="AN201" s="25"/>
      <c r="AO201" s="33"/>
      <c r="AP201" s="25"/>
      <c r="AQ201" s="33"/>
      <c r="AR201" s="211"/>
      <c r="AS201" s="33"/>
      <c r="AT201" s="25"/>
      <c r="AU201" s="25" t="s">
        <v>629</v>
      </c>
      <c r="AV201" s="119"/>
      <c r="AW201" s="31"/>
      <c r="AX201" s="31"/>
      <c r="AY201" s="31"/>
      <c r="AZ201" s="31"/>
      <c r="BA201" s="31"/>
      <c r="BB201" s="31"/>
      <c r="BC201" s="31"/>
      <c r="BD201" s="223"/>
      <c r="BE201" s="31" t="s">
        <v>630</v>
      </c>
      <c r="BF201" s="31"/>
      <c r="BG201" s="31"/>
      <c r="BH201" s="31"/>
      <c r="BI201" s="31"/>
      <c r="BJ201" s="119" t="s">
        <v>631</v>
      </c>
      <c r="BK201" s="170">
        <v>21.67</v>
      </c>
      <c r="BL201" s="217" t="s">
        <v>632</v>
      </c>
      <c r="BM201" s="218">
        <v>10038568316056</v>
      </c>
      <c r="BN201" s="92">
        <v>11.22</v>
      </c>
      <c r="BO201" s="92">
        <v>6.46</v>
      </c>
      <c r="BP201" s="92">
        <v>2.11</v>
      </c>
      <c r="BQ201" s="38"/>
      <c r="BR201" s="38"/>
      <c r="BS201" s="38"/>
      <c r="BT201" s="93">
        <v>7.0359999999999996</v>
      </c>
      <c r="BU201" s="93">
        <v>2.536</v>
      </c>
      <c r="BV201" s="93">
        <v>11.821999999999999</v>
      </c>
      <c r="BW201" s="91">
        <v>0.12207375307407406</v>
      </c>
      <c r="BX201" s="93">
        <v>0.80099999999999993</v>
      </c>
      <c r="BY201" s="220">
        <v>12.25</v>
      </c>
      <c r="BZ201" s="220">
        <v>7.5</v>
      </c>
      <c r="CA201" s="220">
        <v>8.5</v>
      </c>
      <c r="CB201" s="91">
        <v>0.4519314236111111</v>
      </c>
      <c r="CC201" s="93">
        <v>2.6529999999999996</v>
      </c>
      <c r="CD201" s="301"/>
      <c r="CE201" s="301"/>
      <c r="CF201" s="212" t="s">
        <v>163</v>
      </c>
      <c r="CG201" s="212">
        <v>3</v>
      </c>
      <c r="CH201" s="212">
        <v>20</v>
      </c>
      <c r="CI201" s="212">
        <v>5</v>
      </c>
      <c r="CJ201" s="27">
        <v>300</v>
      </c>
      <c r="CK201" s="27">
        <v>315.29999999999995</v>
      </c>
      <c r="CL201" s="212" t="s">
        <v>321</v>
      </c>
      <c r="CM201" s="27" t="s">
        <v>136</v>
      </c>
      <c r="CN201" s="209"/>
      <c r="CO201" s="209"/>
      <c r="CP201" s="1"/>
      <c r="CQ201" s="1"/>
      <c r="CR201" s="1"/>
      <c r="CS201" s="1"/>
      <c r="CT201" s="1"/>
      <c r="CU201" s="1"/>
    </row>
    <row r="202" spans="1:99" s="210" customFormat="1" ht="15" customHeight="1" x14ac:dyDescent="0.25">
      <c r="A202" s="145">
        <v>42083</v>
      </c>
      <c r="B202" s="145"/>
      <c r="C202" s="185" t="s">
        <v>633</v>
      </c>
      <c r="D202" s="213" t="s">
        <v>88</v>
      </c>
      <c r="E202" s="213" t="s">
        <v>581</v>
      </c>
      <c r="F202" s="214" t="s">
        <v>634</v>
      </c>
      <c r="G202" s="214"/>
      <c r="H202" s="214"/>
      <c r="I202" s="214"/>
      <c r="J202" s="212" t="s">
        <v>129</v>
      </c>
      <c r="K202" s="212">
        <v>2710940304</v>
      </c>
      <c r="L202" s="225"/>
      <c r="M202" s="31"/>
      <c r="N202" s="25"/>
      <c r="O202" s="26"/>
      <c r="P202" s="26"/>
      <c r="Q202" s="26"/>
      <c r="R202" s="215"/>
      <c r="S202" s="215"/>
      <c r="T202" s="215"/>
      <c r="U202" s="215"/>
      <c r="V202" s="215"/>
      <c r="W202" s="215"/>
      <c r="X202" s="215"/>
      <c r="Y202" s="215"/>
      <c r="Z202" s="215"/>
      <c r="AA202" s="215"/>
      <c r="AB202" s="215"/>
      <c r="AC202" s="215"/>
      <c r="AD202" s="215"/>
      <c r="AE202" s="215"/>
      <c r="AF202" s="215"/>
      <c r="AG202" s="215"/>
      <c r="AH202" s="215"/>
      <c r="AI202" s="215"/>
      <c r="AJ202" s="215"/>
      <c r="AK202" s="215"/>
      <c r="AL202" s="215"/>
      <c r="AM202" s="215"/>
      <c r="AN202" s="25"/>
      <c r="AO202" s="33"/>
      <c r="AP202" s="25"/>
      <c r="AQ202" s="33"/>
      <c r="AR202" s="211"/>
      <c r="AS202" s="33"/>
      <c r="AT202" s="25"/>
      <c r="AU202" s="25" t="s">
        <v>635</v>
      </c>
      <c r="AV202" s="119"/>
      <c r="AW202" s="31"/>
      <c r="AX202" s="31"/>
      <c r="AY202" s="31"/>
      <c r="AZ202" s="31"/>
      <c r="BA202" s="31"/>
      <c r="BB202" s="31"/>
      <c r="BC202" s="31"/>
      <c r="BD202" s="223"/>
      <c r="BE202" s="211"/>
      <c r="BF202" s="31"/>
      <c r="BG202" s="31"/>
      <c r="BH202" s="31"/>
      <c r="BI202" s="31"/>
      <c r="BJ202" s="25"/>
      <c r="BK202" s="170">
        <v>25.89</v>
      </c>
      <c r="BL202" s="217" t="s">
        <v>636</v>
      </c>
      <c r="BM202" s="218">
        <v>10038568742480</v>
      </c>
      <c r="BN202" s="92">
        <v>12.36</v>
      </c>
      <c r="BO202" s="92">
        <v>5.75</v>
      </c>
      <c r="BP202" s="92">
        <v>2.0099999999999998</v>
      </c>
      <c r="BQ202" s="38"/>
      <c r="BR202" s="38"/>
      <c r="BS202" s="38"/>
      <c r="BT202" s="93">
        <v>9.2859999999999996</v>
      </c>
      <c r="BU202" s="93">
        <v>2.9060000000000001</v>
      </c>
      <c r="BV202" s="93">
        <v>13.191999999999998</v>
      </c>
      <c r="BW202" s="91">
        <v>0.20601137168518519</v>
      </c>
      <c r="BX202" s="93">
        <v>0.5</v>
      </c>
      <c r="BY202" s="220">
        <v>13.87</v>
      </c>
      <c r="BZ202" s="220">
        <v>9.75</v>
      </c>
      <c r="CA202" s="220">
        <v>10</v>
      </c>
      <c r="CB202" s="91">
        <v>0.78259548611111096</v>
      </c>
      <c r="CC202" s="93">
        <v>1.75</v>
      </c>
      <c r="CD202" s="301"/>
      <c r="CE202" s="301"/>
      <c r="CF202" s="212" t="s">
        <v>163</v>
      </c>
      <c r="CG202" s="212">
        <v>3</v>
      </c>
      <c r="CH202" s="212">
        <v>13</v>
      </c>
      <c r="CI202" s="212">
        <v>4</v>
      </c>
      <c r="CJ202" s="27">
        <v>156</v>
      </c>
      <c r="CK202" s="27">
        <v>141</v>
      </c>
      <c r="CL202" s="212" t="s">
        <v>139</v>
      </c>
      <c r="CM202" s="27" t="s">
        <v>136</v>
      </c>
      <c r="CN202" s="209"/>
      <c r="CO202" s="209"/>
      <c r="CP202" s="1"/>
      <c r="CQ202" s="1"/>
      <c r="CR202" s="1"/>
      <c r="CS202" s="1"/>
      <c r="CT202" s="1"/>
      <c r="CU202" s="1"/>
    </row>
    <row r="203" spans="1:99" s="210" customFormat="1" x14ac:dyDescent="0.25">
      <c r="A203" s="145">
        <v>42083</v>
      </c>
      <c r="B203" s="145"/>
      <c r="C203" s="226" t="s">
        <v>637</v>
      </c>
      <c r="D203" s="213" t="s">
        <v>88</v>
      </c>
      <c r="E203" s="213" t="s">
        <v>581</v>
      </c>
      <c r="F203" s="221" t="s">
        <v>638</v>
      </c>
      <c r="G203" s="221"/>
      <c r="H203" s="221"/>
      <c r="I203" s="221"/>
      <c r="J203" s="225" t="s">
        <v>124</v>
      </c>
      <c r="K203" s="31">
        <v>13717599285</v>
      </c>
      <c r="L203" s="225"/>
      <c r="M203" s="31"/>
      <c r="N203" s="25"/>
      <c r="O203" s="26"/>
      <c r="P203" s="26"/>
      <c r="Q203" s="26"/>
      <c r="R203" s="215"/>
      <c r="S203" s="215"/>
      <c r="T203" s="215"/>
      <c r="U203" s="215"/>
      <c r="V203" s="215"/>
      <c r="W203" s="215"/>
      <c r="X203" s="215"/>
      <c r="Y203" s="215"/>
      <c r="Z203" s="215"/>
      <c r="AA203" s="215"/>
      <c r="AB203" s="215"/>
      <c r="AC203" s="215"/>
      <c r="AD203" s="215"/>
      <c r="AE203" s="215"/>
      <c r="AF203" s="215"/>
      <c r="AG203" s="215"/>
      <c r="AH203" s="215"/>
      <c r="AI203" s="215"/>
      <c r="AJ203" s="215"/>
      <c r="AK203" s="215"/>
      <c r="AL203" s="215"/>
      <c r="AM203" s="215"/>
      <c r="AN203" s="25"/>
      <c r="AO203" s="33"/>
      <c r="AP203" s="25"/>
      <c r="AQ203" s="33"/>
      <c r="AR203" s="211"/>
      <c r="AS203" s="33"/>
      <c r="AT203" s="25"/>
      <c r="AU203" s="25"/>
      <c r="AV203" s="119"/>
      <c r="AW203" s="31"/>
      <c r="AX203" s="31"/>
      <c r="AY203" s="31"/>
      <c r="AZ203" s="31"/>
      <c r="BA203" s="31"/>
      <c r="BB203" s="31"/>
      <c r="BC203" s="31"/>
      <c r="BD203" s="223"/>
      <c r="BE203" s="211"/>
      <c r="BF203" s="31"/>
      <c r="BG203" s="31"/>
      <c r="BH203" s="31"/>
      <c r="BI203" s="31"/>
      <c r="BJ203" s="25"/>
      <c r="BK203" s="170">
        <v>30.61</v>
      </c>
      <c r="BL203" s="217" t="s">
        <v>639</v>
      </c>
      <c r="BM203" s="218">
        <v>10038568742510</v>
      </c>
      <c r="BN203" s="92">
        <v>11.2</v>
      </c>
      <c r="BO203" s="92">
        <v>10.43</v>
      </c>
      <c r="BP203" s="92">
        <v>1.28</v>
      </c>
      <c r="BQ203" s="38"/>
      <c r="BR203" s="38"/>
      <c r="BS203" s="38"/>
      <c r="BT203" s="93">
        <v>12.155999999999999</v>
      </c>
      <c r="BU203" s="93">
        <v>2.5960000000000001</v>
      </c>
      <c r="BV203" s="93">
        <v>12.191999999999998</v>
      </c>
      <c r="BW203" s="91">
        <v>0.22265199733333332</v>
      </c>
      <c r="BX203" s="93">
        <v>0.60699999999999998</v>
      </c>
      <c r="BY203" s="220">
        <v>12.62</v>
      </c>
      <c r="BZ203" s="220">
        <v>8.3699999999999992</v>
      </c>
      <c r="CA203" s="220">
        <v>12.87</v>
      </c>
      <c r="CB203" s="91">
        <v>0.78671896874999969</v>
      </c>
      <c r="CC203" s="93">
        <v>2.0709999999999997</v>
      </c>
      <c r="CD203" s="301"/>
      <c r="CE203" s="301"/>
      <c r="CF203" s="212" t="s">
        <v>163</v>
      </c>
      <c r="CG203" s="212">
        <v>3</v>
      </c>
      <c r="CH203" s="212">
        <v>16</v>
      </c>
      <c r="CI203" s="212">
        <v>5</v>
      </c>
      <c r="CJ203" s="27">
        <v>240</v>
      </c>
      <c r="CK203" s="27">
        <v>215.67999999999998</v>
      </c>
      <c r="CL203" s="212" t="s">
        <v>135</v>
      </c>
      <c r="CM203" s="27" t="s">
        <v>136</v>
      </c>
      <c r="CN203" s="209"/>
      <c r="CO203" s="209"/>
      <c r="CP203" s="1"/>
      <c r="CQ203" s="1"/>
      <c r="CR203" s="1"/>
      <c r="CS203" s="1"/>
      <c r="CT203" s="1"/>
      <c r="CU203" s="1"/>
    </row>
    <row r="204" spans="1:99" s="210" customFormat="1" x14ac:dyDescent="0.25">
      <c r="A204" s="145">
        <v>42083</v>
      </c>
      <c r="B204" s="145"/>
      <c r="C204" s="222" t="s">
        <v>640</v>
      </c>
      <c r="D204" s="213" t="s">
        <v>54</v>
      </c>
      <c r="E204" s="213" t="s">
        <v>641</v>
      </c>
      <c r="F204" s="221" t="s">
        <v>642</v>
      </c>
      <c r="G204" s="221"/>
      <c r="H204" s="221"/>
      <c r="I204" s="221"/>
      <c r="J204" s="212" t="s">
        <v>643</v>
      </c>
      <c r="K204" s="212" t="s">
        <v>644</v>
      </c>
      <c r="L204" s="225"/>
      <c r="M204" s="31"/>
      <c r="N204" s="25"/>
      <c r="O204" s="26"/>
      <c r="P204" s="26"/>
      <c r="Q204" s="26"/>
      <c r="R204" s="215"/>
      <c r="S204" s="215"/>
      <c r="T204" s="215"/>
      <c r="U204" s="215"/>
      <c r="V204" s="215"/>
      <c r="W204" s="215"/>
      <c r="X204" s="215"/>
      <c r="Y204" s="215"/>
      <c r="Z204" s="215"/>
      <c r="AA204" s="215"/>
      <c r="AB204" s="215"/>
      <c r="AC204" s="215"/>
      <c r="AD204" s="215"/>
      <c r="AE204" s="215"/>
      <c r="AF204" s="215"/>
      <c r="AG204" s="215"/>
      <c r="AH204" s="215"/>
      <c r="AI204" s="215"/>
      <c r="AJ204" s="215"/>
      <c r="AK204" s="215"/>
      <c r="AL204" s="215"/>
      <c r="AM204" s="215"/>
      <c r="AN204" s="25"/>
      <c r="AO204" s="33"/>
      <c r="AP204" s="25"/>
      <c r="AQ204" s="33"/>
      <c r="AR204" s="211" t="s">
        <v>645</v>
      </c>
      <c r="AS204" s="33"/>
      <c r="AT204" s="25"/>
      <c r="AU204" s="25"/>
      <c r="AV204" s="119"/>
      <c r="AW204" s="31"/>
      <c r="AX204" s="31"/>
      <c r="AY204" s="31"/>
      <c r="AZ204" s="31"/>
      <c r="BA204" s="31"/>
      <c r="BB204" s="31"/>
      <c r="BC204" s="31"/>
      <c r="BD204" s="223"/>
      <c r="BE204" s="211"/>
      <c r="BF204" s="31"/>
      <c r="BG204" s="31"/>
      <c r="BH204" s="31"/>
      <c r="BI204" s="31"/>
      <c r="BJ204" s="25" t="s">
        <v>646</v>
      </c>
      <c r="BK204" s="170">
        <v>74.69</v>
      </c>
      <c r="BL204" s="227" t="s">
        <v>647</v>
      </c>
      <c r="BM204" s="228" t="s">
        <v>648</v>
      </c>
      <c r="BN204" s="92"/>
      <c r="BO204" s="92"/>
      <c r="BP204" s="92"/>
      <c r="BQ204" s="92">
        <v>1.63</v>
      </c>
      <c r="BR204" s="92">
        <v>3.54</v>
      </c>
      <c r="BS204" s="38"/>
      <c r="BT204" s="598" t="s">
        <v>355</v>
      </c>
      <c r="BU204" s="598"/>
      <c r="BV204" s="598"/>
      <c r="BW204" s="598"/>
      <c r="BX204" s="598"/>
      <c r="BY204" s="93">
        <v>3.375</v>
      </c>
      <c r="BZ204" s="93">
        <v>3.375</v>
      </c>
      <c r="CA204" s="93">
        <v>5</v>
      </c>
      <c r="CB204" s="91">
        <v>3.2958984375E-2</v>
      </c>
      <c r="CC204" s="93">
        <v>1.85</v>
      </c>
      <c r="CD204" s="301"/>
      <c r="CE204" s="301"/>
      <c r="CF204" s="43" t="s">
        <v>134</v>
      </c>
      <c r="CG204" s="27">
        <v>1</v>
      </c>
      <c r="CH204" s="27">
        <v>357</v>
      </c>
      <c r="CI204" s="27">
        <v>9</v>
      </c>
      <c r="CJ204" s="27">
        <v>3213</v>
      </c>
      <c r="CK204" s="27">
        <v>5994.05</v>
      </c>
      <c r="CL204" s="212" t="s">
        <v>649</v>
      </c>
      <c r="CM204" s="27" t="s">
        <v>136</v>
      </c>
      <c r="CN204" s="209"/>
      <c r="CO204" s="209"/>
      <c r="CP204" s="1"/>
      <c r="CQ204" s="1"/>
      <c r="CR204" s="1"/>
      <c r="CS204" s="1"/>
      <c r="CT204" s="1"/>
      <c r="CU204" s="1"/>
    </row>
    <row r="205" spans="1:99" s="210" customFormat="1" x14ac:dyDescent="0.25">
      <c r="A205" s="145">
        <v>42083</v>
      </c>
      <c r="B205" s="145"/>
      <c r="C205" s="222" t="s">
        <v>650</v>
      </c>
      <c r="D205" s="213" t="s">
        <v>54</v>
      </c>
      <c r="E205" s="213" t="s">
        <v>641</v>
      </c>
      <c r="F205" s="221" t="s">
        <v>216</v>
      </c>
      <c r="G205" s="221"/>
      <c r="H205" s="221"/>
      <c r="I205" s="221"/>
      <c r="J205" s="221" t="s">
        <v>216</v>
      </c>
      <c r="K205" s="212" t="s">
        <v>651</v>
      </c>
      <c r="L205" s="225"/>
      <c r="M205" s="31"/>
      <c r="N205" s="25"/>
      <c r="O205" s="26"/>
      <c r="P205" s="26"/>
      <c r="Q205" s="26"/>
      <c r="R205" s="215"/>
      <c r="S205" s="215"/>
      <c r="T205" s="215"/>
      <c r="U205" s="215"/>
      <c r="V205" s="215"/>
      <c r="W205" s="215"/>
      <c r="X205" s="215"/>
      <c r="Y205" s="215"/>
      <c r="Z205" s="215"/>
      <c r="AA205" s="215"/>
      <c r="AB205" s="215"/>
      <c r="AC205" s="215"/>
      <c r="AD205" s="215"/>
      <c r="AE205" s="215"/>
      <c r="AF205" s="215"/>
      <c r="AG205" s="215"/>
      <c r="AH205" s="215"/>
      <c r="AI205" s="215"/>
      <c r="AJ205" s="215"/>
      <c r="AK205" s="215"/>
      <c r="AL205" s="215"/>
      <c r="AM205" s="215"/>
      <c r="AN205" s="25" t="s">
        <v>652</v>
      </c>
      <c r="AO205" s="33"/>
      <c r="AP205" s="25"/>
      <c r="AQ205" s="33"/>
      <c r="AR205" s="211"/>
      <c r="AS205" s="33"/>
      <c r="AT205" s="25"/>
      <c r="AU205" s="25"/>
      <c r="AV205" s="119"/>
      <c r="AW205" s="31"/>
      <c r="AX205" s="31"/>
      <c r="AY205" s="31"/>
      <c r="AZ205" s="31"/>
      <c r="BA205" s="31"/>
      <c r="BB205" s="31"/>
      <c r="BC205" s="31"/>
      <c r="BD205" s="223"/>
      <c r="BE205" s="211"/>
      <c r="BF205" s="31"/>
      <c r="BG205" s="31"/>
      <c r="BH205" s="31"/>
      <c r="BI205" s="31"/>
      <c r="BJ205" s="25" t="s">
        <v>653</v>
      </c>
      <c r="BK205" s="170">
        <v>33</v>
      </c>
      <c r="BL205" s="227" t="s">
        <v>654</v>
      </c>
      <c r="BM205" s="228" t="s">
        <v>655</v>
      </c>
      <c r="BN205" s="92"/>
      <c r="BO205" s="92"/>
      <c r="BP205" s="92"/>
      <c r="BQ205" s="92">
        <v>2.04</v>
      </c>
      <c r="BR205" s="92">
        <v>2.95</v>
      </c>
      <c r="BS205" s="38"/>
      <c r="BT205" s="598" t="s">
        <v>355</v>
      </c>
      <c r="BU205" s="598"/>
      <c r="BV205" s="598"/>
      <c r="BW205" s="598"/>
      <c r="BX205" s="598"/>
      <c r="BY205" s="93">
        <v>2.5</v>
      </c>
      <c r="BZ205" s="93">
        <v>2.5</v>
      </c>
      <c r="CA205" s="93">
        <v>5</v>
      </c>
      <c r="CB205" s="91">
        <v>1.8084490740740741E-2</v>
      </c>
      <c r="CC205" s="93">
        <v>0.55000000000000004</v>
      </c>
      <c r="CD205" s="301"/>
      <c r="CE205" s="301"/>
      <c r="CF205" s="43" t="s">
        <v>134</v>
      </c>
      <c r="CG205" s="27">
        <v>1</v>
      </c>
      <c r="CH205" s="27">
        <v>357</v>
      </c>
      <c r="CI205" s="27">
        <v>9</v>
      </c>
      <c r="CJ205" s="27">
        <v>3213</v>
      </c>
      <c r="CK205" s="27">
        <v>1817.15</v>
      </c>
      <c r="CL205" s="212" t="s">
        <v>649</v>
      </c>
      <c r="CM205" s="27" t="s">
        <v>136</v>
      </c>
      <c r="CN205" s="209"/>
      <c r="CO205" s="209"/>
      <c r="CP205" s="1"/>
      <c r="CQ205" s="1"/>
      <c r="CR205" s="1"/>
      <c r="CS205" s="1"/>
      <c r="CT205" s="1"/>
      <c r="CU205" s="1"/>
    </row>
    <row r="206" spans="1:99" s="210" customFormat="1" x14ac:dyDescent="0.25">
      <c r="A206" s="145">
        <v>42083</v>
      </c>
      <c r="B206" s="145"/>
      <c r="C206" s="222" t="s">
        <v>656</v>
      </c>
      <c r="D206" s="213" t="s">
        <v>54</v>
      </c>
      <c r="E206" s="213" t="s">
        <v>641</v>
      </c>
      <c r="F206" s="221" t="s">
        <v>657</v>
      </c>
      <c r="G206" s="221"/>
      <c r="H206" s="221"/>
      <c r="I206" s="221"/>
      <c r="J206" s="221" t="s">
        <v>216</v>
      </c>
      <c r="K206" s="212" t="s">
        <v>658</v>
      </c>
      <c r="L206" s="225" t="s">
        <v>659</v>
      </c>
      <c r="M206" s="31">
        <v>32910801</v>
      </c>
      <c r="N206" s="25"/>
      <c r="O206" s="26"/>
      <c r="P206" s="26"/>
      <c r="Q206" s="26"/>
      <c r="R206" s="215"/>
      <c r="S206" s="215"/>
      <c r="T206" s="215"/>
      <c r="U206" s="215"/>
      <c r="V206" s="215"/>
      <c r="W206" s="215"/>
      <c r="X206" s="215"/>
      <c r="Y206" s="215"/>
      <c r="Z206" s="215"/>
      <c r="AA206" s="215"/>
      <c r="AB206" s="215"/>
      <c r="AC206" s="215"/>
      <c r="AD206" s="215"/>
      <c r="AE206" s="215"/>
      <c r="AF206" s="215"/>
      <c r="AG206" s="215"/>
      <c r="AH206" s="215"/>
      <c r="AI206" s="215"/>
      <c r="AJ206" s="215"/>
      <c r="AK206" s="215"/>
      <c r="AL206" s="215"/>
      <c r="AM206" s="215"/>
      <c r="AN206" s="25" t="s">
        <v>660</v>
      </c>
      <c r="AO206" s="33"/>
      <c r="AP206" s="25"/>
      <c r="AQ206" s="33"/>
      <c r="AR206" s="211" t="s">
        <v>661</v>
      </c>
      <c r="AS206" s="33"/>
      <c r="AT206" s="25" t="s">
        <v>662</v>
      </c>
      <c r="AU206" s="25"/>
      <c r="AV206" s="119"/>
      <c r="AW206" s="31"/>
      <c r="AX206" s="31"/>
      <c r="AY206" s="31"/>
      <c r="AZ206" s="31"/>
      <c r="BA206" s="31"/>
      <c r="BB206" s="31"/>
      <c r="BC206" s="31"/>
      <c r="BD206" s="223"/>
      <c r="BE206" s="211"/>
      <c r="BF206" s="31"/>
      <c r="BG206" s="31"/>
      <c r="BH206" s="31"/>
      <c r="BI206" s="31"/>
      <c r="BJ206" s="25" t="s">
        <v>663</v>
      </c>
      <c r="BK206" s="170">
        <v>75.709999999999994</v>
      </c>
      <c r="BL206" s="227" t="s">
        <v>664</v>
      </c>
      <c r="BM206" s="228" t="s">
        <v>665</v>
      </c>
      <c r="BN206" s="92"/>
      <c r="BO206" s="92"/>
      <c r="BP206" s="92"/>
      <c r="BQ206" s="92">
        <v>2.76</v>
      </c>
      <c r="BR206" s="92">
        <v>5.24</v>
      </c>
      <c r="BS206" s="38"/>
      <c r="BT206" s="598" t="s">
        <v>355</v>
      </c>
      <c r="BU206" s="598"/>
      <c r="BV206" s="598"/>
      <c r="BW206" s="598"/>
      <c r="BX206" s="598"/>
      <c r="BY206" s="93">
        <v>3.75</v>
      </c>
      <c r="BZ206" s="93">
        <v>3.75</v>
      </c>
      <c r="CA206" s="93">
        <v>10.5</v>
      </c>
      <c r="CB206" s="91">
        <v>8.544921875E-2</v>
      </c>
      <c r="CC206" s="93">
        <v>0.55000000000000004</v>
      </c>
      <c r="CD206" s="301"/>
      <c r="CE206" s="301"/>
      <c r="CF206" s="43" t="s">
        <v>134</v>
      </c>
      <c r="CG206" s="27">
        <v>1</v>
      </c>
      <c r="CH206" s="27">
        <v>120</v>
      </c>
      <c r="CI206" s="27">
        <v>4</v>
      </c>
      <c r="CJ206" s="27">
        <v>480</v>
      </c>
      <c r="CK206" s="27">
        <v>314</v>
      </c>
      <c r="CL206" s="212" t="s">
        <v>649</v>
      </c>
      <c r="CM206" s="27" t="s">
        <v>136</v>
      </c>
      <c r="CN206" s="209"/>
      <c r="CO206" s="209"/>
      <c r="CP206" s="1"/>
      <c r="CQ206" s="1"/>
      <c r="CR206" s="1"/>
      <c r="CS206" s="1"/>
      <c r="CT206" s="1"/>
      <c r="CU206" s="1"/>
    </row>
    <row r="207" spans="1:99" s="210" customFormat="1" x14ac:dyDescent="0.25">
      <c r="A207" s="145">
        <v>42083</v>
      </c>
      <c r="B207" s="145"/>
      <c r="C207" s="222" t="s">
        <v>666</v>
      </c>
      <c r="D207" s="213" t="s">
        <v>54</v>
      </c>
      <c r="E207" s="213" t="s">
        <v>641</v>
      </c>
      <c r="F207" s="221" t="s">
        <v>667</v>
      </c>
      <c r="G207" s="221"/>
      <c r="H207" s="221"/>
      <c r="I207" s="221"/>
      <c r="J207" s="221" t="s">
        <v>667</v>
      </c>
      <c r="K207" s="212" t="s">
        <v>668</v>
      </c>
      <c r="L207" s="225"/>
      <c r="M207" s="31"/>
      <c r="N207" s="25"/>
      <c r="O207" s="26"/>
      <c r="P207" s="26"/>
      <c r="Q207" s="26"/>
      <c r="R207" s="215"/>
      <c r="S207" s="215"/>
      <c r="T207" s="215"/>
      <c r="U207" s="215"/>
      <c r="V207" s="215"/>
      <c r="W207" s="223"/>
      <c r="X207" s="223"/>
      <c r="Y207" s="223"/>
      <c r="Z207" s="223"/>
      <c r="AA207" s="223"/>
      <c r="AB207" s="223"/>
      <c r="AC207" s="223"/>
      <c r="AD207" s="223"/>
      <c r="AE207" s="223"/>
      <c r="AF207" s="223"/>
      <c r="AG207" s="223"/>
      <c r="AH207" s="223"/>
      <c r="AI207" s="223"/>
      <c r="AJ207" s="223"/>
      <c r="AK207" s="223"/>
      <c r="AL207" s="223"/>
      <c r="AM207" s="223"/>
      <c r="AN207" s="25"/>
      <c r="AO207" s="33"/>
      <c r="AP207" s="25"/>
      <c r="AQ207" s="33"/>
      <c r="AR207" s="211"/>
      <c r="AS207" s="33"/>
      <c r="AT207" s="25"/>
      <c r="AU207" s="25"/>
      <c r="AV207" s="119"/>
      <c r="AW207" s="31"/>
      <c r="AX207" s="31"/>
      <c r="AY207" s="31"/>
      <c r="AZ207" s="31"/>
      <c r="BA207" s="31"/>
      <c r="BB207" s="31"/>
      <c r="BC207" s="31"/>
      <c r="BD207" s="223"/>
      <c r="BE207" s="211"/>
      <c r="BF207" s="31"/>
      <c r="BG207" s="31"/>
      <c r="BH207" s="31"/>
      <c r="BI207" s="25"/>
      <c r="BJ207" s="25" t="s">
        <v>669</v>
      </c>
      <c r="BK207" s="25">
        <v>180.13</v>
      </c>
      <c r="BL207" s="227" t="s">
        <v>647</v>
      </c>
      <c r="BM207" s="228" t="s">
        <v>648</v>
      </c>
      <c r="BN207" s="92"/>
      <c r="BO207" s="92"/>
      <c r="BP207" s="92"/>
      <c r="BQ207" s="92">
        <v>1.63</v>
      </c>
      <c r="BR207" s="92">
        <v>3.54</v>
      </c>
      <c r="BS207" s="38"/>
      <c r="BT207" s="598" t="s">
        <v>355</v>
      </c>
      <c r="BU207" s="598"/>
      <c r="BV207" s="598"/>
      <c r="BW207" s="598"/>
      <c r="BX207" s="598"/>
      <c r="BY207" s="93">
        <v>3.375</v>
      </c>
      <c r="BZ207" s="93">
        <v>3.375</v>
      </c>
      <c r="CA207" s="93">
        <v>5</v>
      </c>
      <c r="CB207" s="91">
        <v>3.2958984375E-2</v>
      </c>
      <c r="CC207" s="93">
        <v>1.85</v>
      </c>
      <c r="CD207" s="301"/>
      <c r="CE207" s="301"/>
      <c r="CF207" s="104" t="s">
        <v>134</v>
      </c>
      <c r="CG207" s="27">
        <v>1</v>
      </c>
      <c r="CH207" s="27">
        <v>357</v>
      </c>
      <c r="CI207" s="27">
        <v>9</v>
      </c>
      <c r="CJ207" s="27">
        <v>3213</v>
      </c>
      <c r="CK207" s="27">
        <v>5994.05</v>
      </c>
      <c r="CL207" s="212" t="s">
        <v>649</v>
      </c>
      <c r="CM207" s="27" t="s">
        <v>136</v>
      </c>
      <c r="CN207" s="209"/>
      <c r="CO207" s="209"/>
      <c r="CP207" s="1"/>
      <c r="CQ207" s="1"/>
      <c r="CR207" s="1"/>
      <c r="CS207" s="1"/>
      <c r="CT207" s="1"/>
      <c r="CU207" s="1"/>
    </row>
    <row r="208" spans="1:99" s="210" customFormat="1" ht="30" x14ac:dyDescent="0.25">
      <c r="A208" s="145">
        <v>42083</v>
      </c>
      <c r="B208" s="145"/>
      <c r="C208" s="226" t="s">
        <v>670</v>
      </c>
      <c r="D208" s="213" t="s">
        <v>54</v>
      </c>
      <c r="E208" s="213" t="s">
        <v>671</v>
      </c>
      <c r="F208" s="221" t="s">
        <v>672</v>
      </c>
      <c r="G208" s="221"/>
      <c r="H208" s="221"/>
      <c r="I208" s="221"/>
      <c r="J208" s="225" t="s">
        <v>673</v>
      </c>
      <c r="K208" s="31" t="s">
        <v>674</v>
      </c>
      <c r="L208" s="225"/>
      <c r="M208" s="31"/>
      <c r="N208" s="25"/>
      <c r="O208" s="26"/>
      <c r="P208" s="26"/>
      <c r="Q208" s="26"/>
      <c r="R208" s="215"/>
      <c r="S208" s="215"/>
      <c r="T208" s="215"/>
      <c r="U208" s="215"/>
      <c r="V208" s="215"/>
      <c r="W208" s="215"/>
      <c r="X208" s="215"/>
      <c r="Y208" s="215"/>
      <c r="Z208" s="215"/>
      <c r="AA208" s="215"/>
      <c r="AB208" s="215"/>
      <c r="AC208" s="215"/>
      <c r="AD208" s="215"/>
      <c r="AE208" s="215"/>
      <c r="AF208" s="215"/>
      <c r="AG208" s="215"/>
      <c r="AH208" s="215"/>
      <c r="AI208" s="215"/>
      <c r="AJ208" s="215"/>
      <c r="AK208" s="215"/>
      <c r="AL208" s="215"/>
      <c r="AM208" s="215"/>
      <c r="AN208" s="25"/>
      <c r="AO208" s="33"/>
      <c r="AP208" s="25"/>
      <c r="AQ208" s="33"/>
      <c r="AR208" s="211"/>
      <c r="AS208" s="33"/>
      <c r="AT208" s="25"/>
      <c r="AU208" s="25"/>
      <c r="AV208" s="119"/>
      <c r="AW208" s="31"/>
      <c r="AX208" s="31"/>
      <c r="AY208" s="31"/>
      <c r="AZ208" s="31"/>
      <c r="BA208" s="31"/>
      <c r="BB208" s="31"/>
      <c r="BC208" s="31"/>
      <c r="BD208" s="223"/>
      <c r="BE208" s="211"/>
      <c r="BF208" s="31"/>
      <c r="BG208" s="31"/>
      <c r="BH208" s="31"/>
      <c r="BI208" s="31"/>
      <c r="BJ208" s="25"/>
      <c r="BK208" s="170">
        <v>35.011929460580916</v>
      </c>
      <c r="BL208" s="217" t="s">
        <v>675</v>
      </c>
      <c r="BM208" s="218">
        <v>10038568741551</v>
      </c>
      <c r="BN208" s="38"/>
      <c r="BO208" s="38"/>
      <c r="BP208" s="38"/>
      <c r="BQ208" s="91">
        <v>2.76</v>
      </c>
      <c r="BR208" s="91">
        <v>5.22</v>
      </c>
      <c r="BS208" s="91">
        <v>0.83</v>
      </c>
      <c r="BT208" s="597" t="s">
        <v>355</v>
      </c>
      <c r="BU208" s="597"/>
      <c r="BV208" s="597"/>
      <c r="BW208" s="597"/>
      <c r="BX208" s="597"/>
      <c r="BY208" s="220">
        <v>9.3800000000000008</v>
      </c>
      <c r="BZ208" s="220">
        <v>6.5</v>
      </c>
      <c r="CA208" s="220">
        <v>7.38</v>
      </c>
      <c r="CB208" s="91">
        <v>0.26039270833333333</v>
      </c>
      <c r="CC208" s="93">
        <v>1.4500000000000002</v>
      </c>
      <c r="CD208" s="301"/>
      <c r="CE208" s="301"/>
      <c r="CF208" s="212" t="s">
        <v>163</v>
      </c>
      <c r="CG208" s="212">
        <v>6</v>
      </c>
      <c r="CH208" s="212">
        <v>30</v>
      </c>
      <c r="CI208" s="212">
        <v>6</v>
      </c>
      <c r="CJ208" s="27">
        <v>1080</v>
      </c>
      <c r="CK208" s="27">
        <v>311.00000000000006</v>
      </c>
      <c r="CL208" s="212" t="s">
        <v>139</v>
      </c>
      <c r="CM208" s="27" t="s">
        <v>136</v>
      </c>
      <c r="CN208" s="209"/>
      <c r="CO208" s="209"/>
      <c r="CP208" s="1"/>
      <c r="CQ208" s="1"/>
      <c r="CR208" s="1"/>
      <c r="CS208" s="1"/>
      <c r="CT208" s="1"/>
      <c r="CU208" s="1"/>
    </row>
    <row r="209" spans="1:99" s="105" customFormat="1" ht="30" x14ac:dyDescent="0.25">
      <c r="A209" s="145">
        <v>42083</v>
      </c>
      <c r="B209" s="145"/>
      <c r="C209" s="229" t="s">
        <v>676</v>
      </c>
      <c r="D209" s="213" t="s">
        <v>54</v>
      </c>
      <c r="E209" s="213" t="s">
        <v>671</v>
      </c>
      <c r="F209" s="179" t="s">
        <v>677</v>
      </c>
      <c r="G209" s="179"/>
      <c r="H209" s="179"/>
      <c r="I209" s="179"/>
      <c r="J209" s="225" t="s">
        <v>333</v>
      </c>
      <c r="K209" s="31" t="s">
        <v>678</v>
      </c>
      <c r="L209" s="225" t="s">
        <v>90</v>
      </c>
      <c r="M209" s="31" t="s">
        <v>679</v>
      </c>
      <c r="N209" s="25"/>
      <c r="O209" s="26"/>
      <c r="P209" s="26"/>
      <c r="Q209" s="26"/>
      <c r="R209" s="215"/>
      <c r="S209" s="215"/>
      <c r="T209" s="215"/>
      <c r="U209" s="215"/>
      <c r="V209" s="215"/>
      <c r="W209" s="215"/>
      <c r="X209" s="215"/>
      <c r="Y209" s="215"/>
      <c r="Z209" s="215"/>
      <c r="AA209" s="215"/>
      <c r="AB209" s="215"/>
      <c r="AC209" s="215"/>
      <c r="AD209" s="215"/>
      <c r="AE209" s="215"/>
      <c r="AF209" s="215"/>
      <c r="AG209" s="215"/>
      <c r="AH209" s="215"/>
      <c r="AI209" s="215"/>
      <c r="AJ209" s="215"/>
      <c r="AK209" s="215"/>
      <c r="AL209" s="215"/>
      <c r="AM209" s="215"/>
      <c r="AN209" s="25" t="s">
        <v>680</v>
      </c>
      <c r="AO209" s="33"/>
      <c r="AP209" s="25"/>
      <c r="AQ209" s="33"/>
      <c r="AR209" s="25" t="s">
        <v>681</v>
      </c>
      <c r="AS209" s="33"/>
      <c r="AT209" s="25" t="s">
        <v>682</v>
      </c>
      <c r="AU209" s="25" t="s">
        <v>683</v>
      </c>
      <c r="AV209" s="119"/>
      <c r="AW209" s="31"/>
      <c r="AX209" s="31"/>
      <c r="AY209" s="31"/>
      <c r="AZ209" s="31"/>
      <c r="BA209" s="31"/>
      <c r="BB209" s="31"/>
      <c r="BC209" s="31"/>
      <c r="BD209" s="223"/>
      <c r="BE209" s="211"/>
      <c r="BF209" s="31"/>
      <c r="BG209" s="31"/>
      <c r="BH209" s="31"/>
      <c r="BI209" s="31"/>
      <c r="BJ209" s="25">
        <v>57899</v>
      </c>
      <c r="BK209" s="216">
        <v>8.25</v>
      </c>
      <c r="BL209" s="217" t="s">
        <v>684</v>
      </c>
      <c r="BM209" s="218">
        <v>10038568742176</v>
      </c>
      <c r="BN209" s="38"/>
      <c r="BO209" s="38"/>
      <c r="BP209" s="38"/>
      <c r="BQ209" s="91">
        <v>3.65</v>
      </c>
      <c r="BR209" s="91">
        <v>3.6360000000000001</v>
      </c>
      <c r="BS209" s="91">
        <v>2.4209999999999998</v>
      </c>
      <c r="BT209" s="93">
        <v>3.8460000000000001</v>
      </c>
      <c r="BU209" s="93">
        <v>3.8460000000000001</v>
      </c>
      <c r="BV209" s="93">
        <v>4.0720000000000001</v>
      </c>
      <c r="BW209" s="91">
        <v>3.4856404833333333E-2</v>
      </c>
      <c r="BX209" s="93">
        <v>0.99</v>
      </c>
      <c r="BY209" s="220">
        <v>15.81</v>
      </c>
      <c r="BZ209" s="220">
        <v>11.93</v>
      </c>
      <c r="CA209" s="220">
        <v>4.62</v>
      </c>
      <c r="CB209" s="91">
        <v>0.50427861458333334</v>
      </c>
      <c r="CC209" s="93">
        <v>12.129999999999999</v>
      </c>
      <c r="CD209" s="301"/>
      <c r="CE209" s="301"/>
      <c r="CF209" s="212" t="s">
        <v>163</v>
      </c>
      <c r="CG209" s="212">
        <v>12</v>
      </c>
      <c r="CH209" s="212">
        <v>10</v>
      </c>
      <c r="CI209" s="212">
        <v>9</v>
      </c>
      <c r="CJ209" s="27">
        <v>1080</v>
      </c>
      <c r="CK209" s="27">
        <v>1141.6999999999998</v>
      </c>
      <c r="CL209" s="212" t="s">
        <v>256</v>
      </c>
      <c r="CM209" s="27" t="s">
        <v>136</v>
      </c>
      <c r="CN209" s="14"/>
      <c r="CO209" s="14"/>
      <c r="CP209" s="14"/>
      <c r="CQ209" s="14"/>
      <c r="CR209" s="14"/>
      <c r="CS209" s="14"/>
      <c r="CT209" s="14"/>
      <c r="CU209" s="14"/>
    </row>
    <row r="210" spans="1:99" s="210" customFormat="1" ht="15" customHeight="1" x14ac:dyDescent="0.25">
      <c r="A210" s="145">
        <v>42083</v>
      </c>
      <c r="B210" s="145"/>
      <c r="C210" s="229" t="s">
        <v>685</v>
      </c>
      <c r="D210" s="213" t="s">
        <v>54</v>
      </c>
      <c r="E210" s="213" t="s">
        <v>671</v>
      </c>
      <c r="F210" s="179" t="s">
        <v>686</v>
      </c>
      <c r="G210" s="179"/>
      <c r="H210" s="179"/>
      <c r="I210" s="179"/>
      <c r="J210" s="225" t="s">
        <v>90</v>
      </c>
      <c r="K210" s="31" t="s">
        <v>687</v>
      </c>
      <c r="L210" s="225" t="s">
        <v>47</v>
      </c>
      <c r="M210" s="31" t="s">
        <v>688</v>
      </c>
      <c r="N210" s="25"/>
      <c r="O210" s="26"/>
      <c r="P210" s="26"/>
      <c r="Q210" s="26"/>
      <c r="R210" s="215"/>
      <c r="S210" s="215"/>
      <c r="T210" s="215"/>
      <c r="U210" s="215"/>
      <c r="V210" s="215"/>
      <c r="W210" s="215"/>
      <c r="X210" s="215"/>
      <c r="Y210" s="215"/>
      <c r="Z210" s="215"/>
      <c r="AA210" s="215"/>
      <c r="AB210" s="215"/>
      <c r="AC210" s="215"/>
      <c r="AD210" s="215"/>
      <c r="AE210" s="215"/>
      <c r="AF210" s="215"/>
      <c r="AG210" s="215"/>
      <c r="AH210" s="215"/>
      <c r="AI210" s="215"/>
      <c r="AJ210" s="215"/>
      <c r="AK210" s="215"/>
      <c r="AL210" s="215"/>
      <c r="AM210" s="215"/>
      <c r="AN210" s="25" t="s">
        <v>689</v>
      </c>
      <c r="AO210" s="33"/>
      <c r="AP210" s="25"/>
      <c r="AQ210" s="33"/>
      <c r="AR210" s="211" t="s">
        <v>690</v>
      </c>
      <c r="AS210" s="33"/>
      <c r="AT210" s="25" t="s">
        <v>691</v>
      </c>
      <c r="AU210" s="25" t="s">
        <v>692</v>
      </c>
      <c r="AV210" s="119"/>
      <c r="AW210" s="31"/>
      <c r="AX210" s="31"/>
      <c r="AY210" s="31"/>
      <c r="AZ210" s="31"/>
      <c r="BA210" s="31"/>
      <c r="BB210" s="31"/>
      <c r="BC210" s="31"/>
      <c r="BD210" s="223"/>
      <c r="BE210" s="211"/>
      <c r="BF210" s="31"/>
      <c r="BG210" s="31"/>
      <c r="BH210" s="31"/>
      <c r="BI210" s="31"/>
      <c r="BJ210" s="25">
        <v>57301</v>
      </c>
      <c r="BK210" s="216">
        <v>8.9499999999999993</v>
      </c>
      <c r="BL210" s="217" t="s">
        <v>693</v>
      </c>
      <c r="BM210" s="218">
        <v>10038568742237</v>
      </c>
      <c r="BN210" s="38"/>
      <c r="BO210" s="38"/>
      <c r="BP210" s="38"/>
      <c r="BQ210" s="91">
        <v>2.96</v>
      </c>
      <c r="BR210" s="91">
        <v>4.8159999999999998</v>
      </c>
      <c r="BS210" s="91">
        <v>2.39</v>
      </c>
      <c r="BT210" s="93">
        <v>3.1859999999999999</v>
      </c>
      <c r="BU210" s="93">
        <v>3.1920000000000002</v>
      </c>
      <c r="BV210" s="93">
        <v>4.9470000000000001</v>
      </c>
      <c r="BW210" s="91">
        <v>2.911433175E-2</v>
      </c>
      <c r="BX210" s="93">
        <v>0.77</v>
      </c>
      <c r="BY210" s="220">
        <v>13.25</v>
      </c>
      <c r="BZ210" s="220">
        <v>10</v>
      </c>
      <c r="CA210" s="220">
        <v>5.5</v>
      </c>
      <c r="CB210" s="91">
        <v>0.42173032407407407</v>
      </c>
      <c r="CC210" s="93">
        <v>9.49</v>
      </c>
      <c r="CD210" s="301"/>
      <c r="CE210" s="301"/>
      <c r="CF210" s="212" t="s">
        <v>163</v>
      </c>
      <c r="CG210" s="212">
        <v>12</v>
      </c>
      <c r="CH210" s="212">
        <v>14</v>
      </c>
      <c r="CI210" s="212">
        <v>8</v>
      </c>
      <c r="CJ210" s="27">
        <v>1344</v>
      </c>
      <c r="CK210" s="27">
        <v>1112.8800000000001</v>
      </c>
      <c r="CL210" s="212" t="s">
        <v>256</v>
      </c>
      <c r="CM210" s="27" t="s">
        <v>136</v>
      </c>
      <c r="CN210" s="209"/>
      <c r="CO210" s="209"/>
      <c r="CP210" s="1"/>
      <c r="CQ210" s="1"/>
      <c r="CR210" s="1"/>
      <c r="CS210" s="1"/>
      <c r="CT210" s="1"/>
      <c r="CU210" s="1"/>
    </row>
    <row r="211" spans="1:99" s="210" customFormat="1" x14ac:dyDescent="0.25">
      <c r="A211" s="222"/>
      <c r="B211" s="222"/>
      <c r="C211" s="230" t="s">
        <v>694</v>
      </c>
      <c r="D211" s="231"/>
      <c r="E211" s="231"/>
      <c r="F211" s="231"/>
      <c r="G211" s="231"/>
      <c r="H211" s="231"/>
      <c r="I211" s="231"/>
      <c r="J211" s="231"/>
      <c r="K211" s="232"/>
      <c r="L211" s="222"/>
      <c r="M211" s="222"/>
      <c r="N211" s="222"/>
      <c r="O211" s="222"/>
      <c r="P211" s="222"/>
      <c r="Q211" s="222"/>
      <c r="R211" s="222"/>
      <c r="S211" s="222"/>
      <c r="T211" s="222"/>
      <c r="U211" s="222"/>
      <c r="V211" s="222"/>
      <c r="W211" s="222"/>
      <c r="X211" s="222"/>
      <c r="Y211" s="222"/>
      <c r="Z211" s="222"/>
      <c r="AA211" s="222"/>
      <c r="AB211" s="222"/>
      <c r="AC211" s="222"/>
      <c r="AD211" s="222"/>
      <c r="AE211" s="222"/>
      <c r="AF211" s="222"/>
      <c r="AG211" s="222"/>
      <c r="AH211" s="222"/>
      <c r="AI211" s="222"/>
      <c r="AJ211" s="222"/>
      <c r="AK211" s="222"/>
      <c r="AL211" s="222"/>
      <c r="AM211" s="222"/>
      <c r="AN211" s="222"/>
      <c r="AO211" s="222"/>
      <c r="AP211" s="222"/>
      <c r="AQ211" s="222"/>
      <c r="AR211" s="222"/>
      <c r="AS211" s="222"/>
      <c r="AT211" s="222"/>
      <c r="AU211" s="222"/>
      <c r="AV211" s="222"/>
      <c r="AW211" s="222"/>
      <c r="AX211" s="222"/>
      <c r="AY211" s="222"/>
      <c r="AZ211" s="222"/>
      <c r="BA211" s="222"/>
      <c r="BB211" s="222"/>
      <c r="BC211" s="222"/>
      <c r="BD211" s="222"/>
      <c r="BE211" s="222"/>
      <c r="BF211" s="222"/>
      <c r="BG211" s="222"/>
      <c r="BH211" s="222"/>
      <c r="BI211" s="222"/>
      <c r="BJ211" s="222"/>
      <c r="BK211" s="233"/>
      <c r="BL211" s="222"/>
      <c r="BM211" s="222"/>
      <c r="BN211" s="222"/>
      <c r="BO211" s="222"/>
      <c r="BP211" s="222"/>
      <c r="BQ211" s="222"/>
      <c r="BR211" s="222"/>
      <c r="BS211" s="222"/>
      <c r="BT211" s="211"/>
      <c r="BU211" s="211"/>
      <c r="BV211" s="211"/>
      <c r="BW211" s="222"/>
      <c r="BX211" s="211"/>
      <c r="BY211" s="211"/>
      <c r="BZ211" s="211"/>
      <c r="CA211" s="211"/>
      <c r="CB211" s="222"/>
      <c r="CC211" s="211"/>
      <c r="CD211" s="211"/>
      <c r="CE211" s="211"/>
      <c r="CF211" s="222"/>
      <c r="CG211" s="222"/>
      <c r="CH211" s="222"/>
      <c r="CI211" s="222"/>
      <c r="CJ211" s="222"/>
      <c r="CK211" s="222"/>
      <c r="CL211" s="222"/>
      <c r="CM211" s="232"/>
      <c r="CN211" s="209"/>
      <c r="CO211" s="209"/>
      <c r="CP211" s="1"/>
      <c r="CQ211" s="1"/>
      <c r="CR211" s="1"/>
      <c r="CS211" s="1"/>
      <c r="CT211" s="1"/>
      <c r="CU211" s="1"/>
    </row>
    <row r="212" spans="1:99" s="210" customFormat="1" x14ac:dyDescent="0.25">
      <c r="A212" s="145">
        <v>42051</v>
      </c>
      <c r="B212" s="145"/>
      <c r="C212" s="211" t="s">
        <v>695</v>
      </c>
      <c r="D212" s="213" t="s">
        <v>54</v>
      </c>
      <c r="E212" s="213" t="s">
        <v>581</v>
      </c>
      <c r="F212" s="221" t="s">
        <v>696</v>
      </c>
      <c r="G212" s="221"/>
      <c r="H212" s="221"/>
      <c r="I212" s="221"/>
      <c r="J212" s="225" t="s">
        <v>697</v>
      </c>
      <c r="K212" s="31" t="s">
        <v>698</v>
      </c>
      <c r="L212" s="225"/>
      <c r="M212" s="31"/>
      <c r="N212" s="25"/>
      <c r="O212" s="26"/>
      <c r="P212" s="26"/>
      <c r="Q212" s="26"/>
      <c r="R212" s="215"/>
      <c r="S212" s="215"/>
      <c r="T212" s="215"/>
      <c r="U212" s="215"/>
      <c r="V212" s="215"/>
      <c r="W212" s="215"/>
      <c r="X212" s="215"/>
      <c r="Y212" s="215"/>
      <c r="Z212" s="215"/>
      <c r="AA212" s="215"/>
      <c r="AB212" s="215"/>
      <c r="AC212" s="215"/>
      <c r="AD212" s="215"/>
      <c r="AE212" s="215"/>
      <c r="AF212" s="215"/>
      <c r="AG212" s="215"/>
      <c r="AH212" s="215"/>
      <c r="AI212" s="215"/>
      <c r="AJ212" s="215"/>
      <c r="AK212" s="215"/>
      <c r="AL212" s="215"/>
      <c r="AM212" s="215"/>
      <c r="AN212" s="25"/>
      <c r="AO212" s="33"/>
      <c r="AP212" s="25"/>
      <c r="AQ212" s="33"/>
      <c r="AR212" s="211"/>
      <c r="AS212" s="33"/>
      <c r="AT212" s="25" t="s">
        <v>699</v>
      </c>
      <c r="AU212" s="25"/>
      <c r="AV212" s="31"/>
      <c r="AW212" s="31"/>
      <c r="AX212" s="31"/>
      <c r="AY212" s="31"/>
      <c r="AZ212" s="31"/>
      <c r="BA212" s="31"/>
      <c r="BB212" s="31"/>
      <c r="BC212" s="31"/>
      <c r="BD212" s="223"/>
      <c r="BE212" s="31"/>
      <c r="BF212" s="31"/>
      <c r="BG212" s="31"/>
      <c r="BH212" s="31"/>
      <c r="BI212" s="31"/>
      <c r="BJ212" s="25">
        <v>49227</v>
      </c>
      <c r="BK212" s="234">
        <v>16.940000000000001</v>
      </c>
      <c r="BL212" s="217" t="s">
        <v>700</v>
      </c>
      <c r="BM212" s="218">
        <v>10038568740400</v>
      </c>
      <c r="BN212" s="92">
        <v>6.67</v>
      </c>
      <c r="BO212" s="92">
        <v>6.67</v>
      </c>
      <c r="BP212" s="92">
        <v>3.19</v>
      </c>
      <c r="BQ212" s="38"/>
      <c r="BR212" s="38"/>
      <c r="BS212" s="38"/>
      <c r="BT212" s="597" t="s">
        <v>355</v>
      </c>
      <c r="BU212" s="597"/>
      <c r="BV212" s="597"/>
      <c r="BW212" s="597"/>
      <c r="BX212" s="597"/>
      <c r="BY212" s="220">
        <f>8.75+(0.125*2)</f>
        <v>9</v>
      </c>
      <c r="BZ212" s="220">
        <f>8.75+(0.125*2)</f>
        <v>9</v>
      </c>
      <c r="CA212" s="220">
        <f>4+(0.125*4)</f>
        <v>4.5</v>
      </c>
      <c r="CB212" s="91">
        <f t="shared" ref="CB212:CB238" si="46">(CA212*BZ212*BY212)/1728</f>
        <v>0.2109375</v>
      </c>
      <c r="CC212" s="93">
        <f>1.5+0.25</f>
        <v>1.75</v>
      </c>
      <c r="CD212" s="301"/>
      <c r="CE212" s="301"/>
      <c r="CF212" s="212" t="s">
        <v>163</v>
      </c>
      <c r="CG212" s="212">
        <v>1</v>
      </c>
      <c r="CH212" s="212">
        <v>20</v>
      </c>
      <c r="CI212" s="212">
        <v>9</v>
      </c>
      <c r="CJ212" s="27">
        <f t="shared" ref="CJ212:CJ238" si="47">CG212*CH212*CI212</f>
        <v>180</v>
      </c>
      <c r="CK212" s="27">
        <f t="shared" ref="CK212:CK231" si="48">(CC212*CH212*CI212)+50</f>
        <v>365</v>
      </c>
      <c r="CL212" s="212" t="s">
        <v>701</v>
      </c>
      <c r="CM212" s="27" t="s">
        <v>136</v>
      </c>
      <c r="CN212" s="209"/>
      <c r="CO212" s="209"/>
      <c r="CP212" s="1"/>
      <c r="CQ212" s="1"/>
      <c r="CR212" s="1"/>
      <c r="CS212" s="1"/>
      <c r="CT212" s="1"/>
      <c r="CU212" s="1"/>
    </row>
    <row r="213" spans="1:99" s="210" customFormat="1" x14ac:dyDescent="0.25">
      <c r="A213" s="145">
        <v>42051</v>
      </c>
      <c r="B213" s="145"/>
      <c r="C213" s="211" t="s">
        <v>702</v>
      </c>
      <c r="D213" s="213" t="s">
        <v>54</v>
      </c>
      <c r="E213" s="213" t="s">
        <v>703</v>
      </c>
      <c r="F213" s="221" t="s">
        <v>704</v>
      </c>
      <c r="G213" s="221"/>
      <c r="H213" s="221"/>
      <c r="I213" s="221"/>
      <c r="J213" s="225" t="s">
        <v>705</v>
      </c>
      <c r="K213" s="31" t="s">
        <v>706</v>
      </c>
      <c r="L213" s="225"/>
      <c r="M213" s="31"/>
      <c r="N213" s="25"/>
      <c r="O213" s="26"/>
      <c r="P213" s="26"/>
      <c r="Q213" s="26"/>
      <c r="R213" s="215"/>
      <c r="S213" s="215"/>
      <c r="T213" s="215"/>
      <c r="U213" s="215"/>
      <c r="V213" s="215"/>
      <c r="W213" s="215"/>
      <c r="X213" s="215"/>
      <c r="Y213" s="215"/>
      <c r="Z213" s="215"/>
      <c r="AA213" s="215"/>
      <c r="AB213" s="215"/>
      <c r="AC213" s="215"/>
      <c r="AD213" s="215"/>
      <c r="AE213" s="215"/>
      <c r="AF213" s="215"/>
      <c r="AG213" s="215"/>
      <c r="AH213" s="215"/>
      <c r="AI213" s="215"/>
      <c r="AJ213" s="215"/>
      <c r="AK213" s="215"/>
      <c r="AL213" s="215"/>
      <c r="AM213" s="215"/>
      <c r="AN213" s="25" t="s">
        <v>707</v>
      </c>
      <c r="AO213" s="33"/>
      <c r="AP213" s="25"/>
      <c r="AQ213" s="33"/>
      <c r="AR213" s="211"/>
      <c r="AS213" s="33"/>
      <c r="AT213" s="25"/>
      <c r="AU213" s="25"/>
      <c r="AV213" s="31"/>
      <c r="AW213" s="31"/>
      <c r="AX213" s="31"/>
      <c r="AY213" s="31"/>
      <c r="AZ213" s="31"/>
      <c r="BA213" s="31"/>
      <c r="BB213" s="31"/>
      <c r="BC213" s="31"/>
      <c r="BD213" s="223"/>
      <c r="BE213" s="31"/>
      <c r="BF213" s="31"/>
      <c r="BG213" s="31"/>
      <c r="BH213" s="31"/>
      <c r="BI213" s="31"/>
      <c r="BJ213" s="25"/>
      <c r="BK213" s="234">
        <v>45.09</v>
      </c>
      <c r="BL213" s="217" t="s">
        <v>708</v>
      </c>
      <c r="BM213" s="218">
        <v>10038568741544</v>
      </c>
      <c r="BN213" s="92">
        <v>13.54</v>
      </c>
      <c r="BO213" s="92">
        <v>9.09</v>
      </c>
      <c r="BP213" s="92">
        <v>0.71</v>
      </c>
      <c r="BQ213" s="38"/>
      <c r="BR213" s="38"/>
      <c r="BS213" s="38"/>
      <c r="BT213" s="93">
        <v>14.5</v>
      </c>
      <c r="BU213" s="93">
        <v>11</v>
      </c>
      <c r="BV213" s="93">
        <v>3.62</v>
      </c>
      <c r="BW213" s="91">
        <f t="shared" ref="BW213:BW224" si="49">(BV213*BU213*BT213)/1728</f>
        <v>0.33413773148148146</v>
      </c>
      <c r="BX213" s="93">
        <f>0.4</f>
        <v>0.4</v>
      </c>
      <c r="BY213" s="220">
        <f>14.5+(0.125*2)</f>
        <v>14.75</v>
      </c>
      <c r="BZ213" s="220">
        <f>11+(0.125*2)</f>
        <v>11.25</v>
      </c>
      <c r="CA213" s="220">
        <f>3.62+(0.125*4)</f>
        <v>4.12</v>
      </c>
      <c r="CB213" s="91">
        <f t="shared" si="46"/>
        <v>0.39563802083333333</v>
      </c>
      <c r="CC213" s="93">
        <f>(BX213*3)+0.25</f>
        <v>1.4500000000000002</v>
      </c>
      <c r="CD213" s="301"/>
      <c r="CE213" s="301"/>
      <c r="CF213" s="212" t="s">
        <v>163</v>
      </c>
      <c r="CG213" s="212">
        <v>3</v>
      </c>
      <c r="CH213" s="212">
        <v>10</v>
      </c>
      <c r="CI213" s="212">
        <v>10</v>
      </c>
      <c r="CJ213" s="27">
        <f t="shared" si="47"/>
        <v>300</v>
      </c>
      <c r="CK213" s="27">
        <f t="shared" si="48"/>
        <v>195.00000000000003</v>
      </c>
      <c r="CL213" s="212" t="s">
        <v>139</v>
      </c>
      <c r="CM213" s="27" t="s">
        <v>136</v>
      </c>
      <c r="CN213" s="209"/>
      <c r="CO213" s="209"/>
      <c r="CP213" s="1"/>
      <c r="CQ213" s="1"/>
      <c r="CR213" s="1"/>
      <c r="CS213" s="1"/>
      <c r="CT213" s="1"/>
      <c r="CU213" s="1"/>
    </row>
    <row r="214" spans="1:99" s="210" customFormat="1" x14ac:dyDescent="0.25">
      <c r="A214" s="145">
        <v>42051</v>
      </c>
      <c r="B214" s="145"/>
      <c r="C214" s="211" t="s">
        <v>709</v>
      </c>
      <c r="D214" s="213" t="s">
        <v>580</v>
      </c>
      <c r="E214" s="213" t="s">
        <v>581</v>
      </c>
      <c r="F214" s="221" t="s">
        <v>710</v>
      </c>
      <c r="G214" s="221"/>
      <c r="H214" s="221"/>
      <c r="I214" s="221"/>
      <c r="J214" s="225" t="s">
        <v>107</v>
      </c>
      <c r="K214" s="31">
        <v>96950990</v>
      </c>
      <c r="L214" s="225"/>
      <c r="M214" s="31"/>
      <c r="N214" s="25"/>
      <c r="O214" s="26"/>
      <c r="P214" s="26"/>
      <c r="Q214" s="26"/>
      <c r="R214" s="215"/>
      <c r="S214" s="215"/>
      <c r="T214" s="215"/>
      <c r="U214" s="215"/>
      <c r="V214" s="215"/>
      <c r="W214" s="215"/>
      <c r="X214" s="215"/>
      <c r="Y214" s="215"/>
      <c r="Z214" s="215"/>
      <c r="AA214" s="215"/>
      <c r="AB214" s="215"/>
      <c r="AC214" s="215"/>
      <c r="AD214" s="215"/>
      <c r="AE214" s="215"/>
      <c r="AF214" s="215"/>
      <c r="AG214" s="215"/>
      <c r="AH214" s="215"/>
      <c r="AI214" s="215"/>
      <c r="AJ214" s="215"/>
      <c r="AK214" s="215"/>
      <c r="AL214" s="215"/>
      <c r="AM214" s="215"/>
      <c r="AN214" s="25"/>
      <c r="AO214" s="33"/>
      <c r="AP214" s="25"/>
      <c r="AQ214" s="33"/>
      <c r="AR214" s="211"/>
      <c r="AS214" s="33"/>
      <c r="AT214" s="25"/>
      <c r="AU214" s="25" t="s">
        <v>711</v>
      </c>
      <c r="AV214" s="119"/>
      <c r="AW214" s="31"/>
      <c r="AX214" s="31" t="s">
        <v>712</v>
      </c>
      <c r="AY214" s="31"/>
      <c r="AZ214" s="31"/>
      <c r="BA214" s="31"/>
      <c r="BB214" s="31" t="s">
        <v>709</v>
      </c>
      <c r="BC214" s="31"/>
      <c r="BD214" s="223"/>
      <c r="BE214" s="211" t="s">
        <v>713</v>
      </c>
      <c r="BF214" s="31" t="s">
        <v>714</v>
      </c>
      <c r="BG214" s="31" t="s">
        <v>715</v>
      </c>
      <c r="BH214" s="31"/>
      <c r="BI214" s="31" t="s">
        <v>716</v>
      </c>
      <c r="BJ214" s="25">
        <v>49590</v>
      </c>
      <c r="BK214" s="216">
        <v>29.58</v>
      </c>
      <c r="BL214" s="217" t="s">
        <v>717</v>
      </c>
      <c r="BM214" s="218">
        <v>10038568742343</v>
      </c>
      <c r="BN214" s="92">
        <v>9.49</v>
      </c>
      <c r="BO214" s="92">
        <v>6.73</v>
      </c>
      <c r="BP214" s="92">
        <v>1.99</v>
      </c>
      <c r="BQ214" s="38"/>
      <c r="BR214" s="38"/>
      <c r="BS214" s="38"/>
      <c r="BT214" s="93">
        <f>7.44+(0.018*2)</f>
        <v>7.476</v>
      </c>
      <c r="BU214" s="93">
        <f>2.75+(0.018*2)</f>
        <v>2.786</v>
      </c>
      <c r="BV214" s="93">
        <f>9.5+(0.018*4)</f>
        <v>9.5719999999999992</v>
      </c>
      <c r="BW214" s="91">
        <f t="shared" si="49"/>
        <v>0.11537437372222221</v>
      </c>
      <c r="BX214" s="93">
        <f>0.403+0.1</f>
        <v>0.503</v>
      </c>
      <c r="BY214" s="220">
        <f>10+(0.125*2)</f>
        <v>10.25</v>
      </c>
      <c r="BZ214" s="220">
        <f>7.5+(0.125*2)</f>
        <v>7.75</v>
      </c>
      <c r="CA214" s="220">
        <f>10+(0.125*4)</f>
        <v>10.5</v>
      </c>
      <c r="CB214" s="91">
        <f t="shared" si="46"/>
        <v>0.4826931423611111</v>
      </c>
      <c r="CC214" s="93">
        <f>(BX214*3)+0.25</f>
        <v>1.7589999999999999</v>
      </c>
      <c r="CD214" s="301"/>
      <c r="CE214" s="301"/>
      <c r="CF214" s="212" t="s">
        <v>163</v>
      </c>
      <c r="CG214" s="212">
        <v>3</v>
      </c>
      <c r="CH214" s="212">
        <v>22</v>
      </c>
      <c r="CI214" s="212">
        <v>4</v>
      </c>
      <c r="CJ214" s="27">
        <f t="shared" si="47"/>
        <v>264</v>
      </c>
      <c r="CK214" s="27">
        <f t="shared" si="48"/>
        <v>204.792</v>
      </c>
      <c r="CL214" s="212" t="s">
        <v>135</v>
      </c>
      <c r="CM214" s="27" t="s">
        <v>136</v>
      </c>
      <c r="CN214" s="209"/>
      <c r="CO214" s="209"/>
      <c r="CP214" s="1"/>
      <c r="CQ214" s="1"/>
      <c r="CR214" s="1"/>
      <c r="CS214" s="1"/>
      <c r="CT214" s="1"/>
      <c r="CU214" s="1"/>
    </row>
    <row r="215" spans="1:99" s="210" customFormat="1" ht="30" x14ac:dyDescent="0.25">
      <c r="A215" s="145">
        <v>42030</v>
      </c>
      <c r="B215" s="145"/>
      <c r="C215" s="211" t="s">
        <v>718</v>
      </c>
      <c r="D215" s="213" t="s">
        <v>54</v>
      </c>
      <c r="E215" s="213" t="s">
        <v>719</v>
      </c>
      <c r="F215" s="221" t="s">
        <v>720</v>
      </c>
      <c r="G215" s="221"/>
      <c r="H215" s="221"/>
      <c r="I215" s="221"/>
      <c r="J215" s="225" t="s">
        <v>721</v>
      </c>
      <c r="K215" s="31" t="s">
        <v>722</v>
      </c>
      <c r="L215" s="225" t="s">
        <v>721</v>
      </c>
      <c r="M215" s="31">
        <v>1521527</v>
      </c>
      <c r="N215" s="25"/>
      <c r="O215" s="26"/>
      <c r="P215" s="26"/>
      <c r="Q215" s="26"/>
      <c r="R215" s="215"/>
      <c r="S215" s="215"/>
      <c r="T215" s="215"/>
      <c r="U215" s="215"/>
      <c r="V215" s="215"/>
      <c r="W215" s="215"/>
      <c r="X215" s="215"/>
      <c r="Y215" s="215"/>
      <c r="Z215" s="215"/>
      <c r="AA215" s="215"/>
      <c r="AB215" s="215"/>
      <c r="AC215" s="215"/>
      <c r="AD215" s="215"/>
      <c r="AE215" s="215"/>
      <c r="AF215" s="215"/>
      <c r="AG215" s="215"/>
      <c r="AH215" s="215"/>
      <c r="AI215" s="215"/>
      <c r="AJ215" s="215"/>
      <c r="AK215" s="215"/>
      <c r="AL215" s="215"/>
      <c r="AM215" s="215"/>
      <c r="AN215" s="25" t="s">
        <v>723</v>
      </c>
      <c r="AO215" s="33"/>
      <c r="AP215" s="25"/>
      <c r="AQ215" s="33"/>
      <c r="AR215" s="211" t="s">
        <v>724</v>
      </c>
      <c r="AS215" s="33"/>
      <c r="AT215" s="25" t="s">
        <v>725</v>
      </c>
      <c r="AU215" s="25"/>
      <c r="AV215" s="31"/>
      <c r="AW215" s="31" t="s">
        <v>726</v>
      </c>
      <c r="AX215" s="31"/>
      <c r="AY215" s="31"/>
      <c r="AZ215" s="31"/>
      <c r="BA215" s="31"/>
      <c r="BB215" s="31"/>
      <c r="BC215" s="31"/>
      <c r="BD215" s="223"/>
      <c r="BE215" s="31"/>
      <c r="BF215" s="31"/>
      <c r="BG215" s="31"/>
      <c r="BH215" s="31"/>
      <c r="BI215" s="31"/>
      <c r="BJ215" s="25"/>
      <c r="BK215" s="234">
        <v>17.7</v>
      </c>
      <c r="BL215" s="217" t="s">
        <v>727</v>
      </c>
      <c r="BM215" s="218">
        <v>10038568737998</v>
      </c>
      <c r="BN215" s="38"/>
      <c r="BO215" s="36"/>
      <c r="BP215" s="36"/>
      <c r="BQ215" s="91">
        <v>2.52</v>
      </c>
      <c r="BR215" s="91">
        <v>5.75</v>
      </c>
      <c r="BS215" s="91">
        <v>1.06</v>
      </c>
      <c r="BT215" s="93">
        <f>3.0625+(0.018*2)</f>
        <v>3.0985</v>
      </c>
      <c r="BU215" s="93">
        <f>3.0625+(0.018*2)</f>
        <v>3.0985</v>
      </c>
      <c r="BV215" s="93">
        <f>6.75+(0.018*4)</f>
        <v>6.8220000000000001</v>
      </c>
      <c r="BW215" s="91">
        <f t="shared" si="49"/>
        <v>3.7902772424479161E-2</v>
      </c>
      <c r="BX215" s="93">
        <f>0.16+0.1</f>
        <v>0.26</v>
      </c>
      <c r="BY215" s="220">
        <f>12.8125+(0.125*2)</f>
        <v>13.0625</v>
      </c>
      <c r="BZ215" s="220">
        <f>9.625+(0.125*2)</f>
        <v>9.875</v>
      </c>
      <c r="CA215" s="220">
        <f>6.875+(0.125*4)</f>
        <v>7.375</v>
      </c>
      <c r="CB215" s="91">
        <f t="shared" si="46"/>
        <v>0.55053089283130785</v>
      </c>
      <c r="CC215" s="93">
        <f>(BX215*12)+0.25</f>
        <v>3.37</v>
      </c>
      <c r="CD215" s="301"/>
      <c r="CE215" s="301"/>
      <c r="CF215" s="212" t="s">
        <v>163</v>
      </c>
      <c r="CG215" s="212">
        <v>12</v>
      </c>
      <c r="CH215" s="212">
        <v>14</v>
      </c>
      <c r="CI215" s="212">
        <v>6</v>
      </c>
      <c r="CJ215" s="27">
        <f t="shared" si="47"/>
        <v>1008</v>
      </c>
      <c r="CK215" s="27">
        <f t="shared" si="48"/>
        <v>333.08</v>
      </c>
      <c r="CL215" s="212" t="s">
        <v>256</v>
      </c>
      <c r="CM215" s="27" t="s">
        <v>136</v>
      </c>
      <c r="CN215" s="209"/>
      <c r="CO215" s="209"/>
      <c r="CP215" s="1"/>
      <c r="CQ215" s="1"/>
      <c r="CR215" s="1"/>
      <c r="CS215" s="1"/>
      <c r="CT215" s="1"/>
      <c r="CU215" s="1"/>
    </row>
    <row r="216" spans="1:99" s="210" customFormat="1" x14ac:dyDescent="0.25">
      <c r="A216" s="145">
        <v>42030</v>
      </c>
      <c r="B216" s="145"/>
      <c r="C216" s="211" t="s">
        <v>728</v>
      </c>
      <c r="D216" s="213" t="s">
        <v>54</v>
      </c>
      <c r="E216" s="213" t="s">
        <v>581</v>
      </c>
      <c r="F216" s="221" t="s">
        <v>729</v>
      </c>
      <c r="G216" s="221"/>
      <c r="H216" s="221"/>
      <c r="I216" s="221"/>
      <c r="J216" s="225" t="s">
        <v>730</v>
      </c>
      <c r="K216" s="31" t="s">
        <v>731</v>
      </c>
      <c r="L216" s="225"/>
      <c r="M216" s="31"/>
      <c r="N216" s="25"/>
      <c r="O216" s="26"/>
      <c r="P216" s="26"/>
      <c r="Q216" s="26"/>
      <c r="R216" s="215"/>
      <c r="S216" s="215"/>
      <c r="T216" s="215"/>
      <c r="U216" s="215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5"/>
      <c r="AK216" s="215"/>
      <c r="AL216" s="215"/>
      <c r="AM216" s="215"/>
      <c r="AN216" s="25" t="s">
        <v>732</v>
      </c>
      <c r="AO216" s="33"/>
      <c r="AP216" s="25"/>
      <c r="AQ216" s="33"/>
      <c r="AR216" s="211"/>
      <c r="AS216" s="33"/>
      <c r="AT216" s="25" t="s">
        <v>733</v>
      </c>
      <c r="AU216" s="25" t="s">
        <v>734</v>
      </c>
      <c r="AV216" s="31"/>
      <c r="AW216" s="31"/>
      <c r="AX216" s="31"/>
      <c r="AY216" s="31"/>
      <c r="AZ216" s="31"/>
      <c r="BA216" s="31"/>
      <c r="BB216" s="31"/>
      <c r="BC216" s="31"/>
      <c r="BD216" s="223"/>
      <c r="BE216" s="31"/>
      <c r="BF216" s="31"/>
      <c r="BG216" s="31"/>
      <c r="BH216" s="31"/>
      <c r="BI216" s="31"/>
      <c r="BJ216" s="25" t="s">
        <v>735</v>
      </c>
      <c r="BK216" s="234">
        <v>21.98</v>
      </c>
      <c r="BL216" s="217" t="s">
        <v>736</v>
      </c>
      <c r="BM216" s="218">
        <v>10038568740417</v>
      </c>
      <c r="BN216" s="92">
        <v>10.26</v>
      </c>
      <c r="BO216" s="92">
        <v>5.57</v>
      </c>
      <c r="BP216" s="92">
        <v>0.77</v>
      </c>
      <c r="BQ216" s="38"/>
      <c r="BR216" s="38"/>
      <c r="BS216" s="38"/>
      <c r="BT216" s="93">
        <v>10.26</v>
      </c>
      <c r="BU216" s="93">
        <v>5.57</v>
      </c>
      <c r="BV216" s="93">
        <v>0.77</v>
      </c>
      <c r="BW216" s="91">
        <f t="shared" si="49"/>
        <v>2.5465343750000001E-2</v>
      </c>
      <c r="BX216" s="93">
        <f>0.2+0.1</f>
        <v>0.30000000000000004</v>
      </c>
      <c r="BY216" s="220">
        <f>10.5+(0.125*2)</f>
        <v>10.75</v>
      </c>
      <c r="BZ216" s="220">
        <f>7+(0.125*2)</f>
        <v>7.25</v>
      </c>
      <c r="CA216" s="220">
        <f>4.12+(0.125*4)</f>
        <v>4.62</v>
      </c>
      <c r="CB216" s="91">
        <f t="shared" si="46"/>
        <v>0.2083745659722222</v>
      </c>
      <c r="CC216" s="93">
        <f>(BX216*3)+0.25</f>
        <v>1.1500000000000001</v>
      </c>
      <c r="CD216" s="301"/>
      <c r="CE216" s="301"/>
      <c r="CF216" s="212" t="s">
        <v>163</v>
      </c>
      <c r="CG216" s="212">
        <v>3</v>
      </c>
      <c r="CH216" s="212">
        <v>20</v>
      </c>
      <c r="CI216" s="212">
        <v>11</v>
      </c>
      <c r="CJ216" s="27">
        <f t="shared" si="47"/>
        <v>660</v>
      </c>
      <c r="CK216" s="27">
        <f t="shared" si="48"/>
        <v>303</v>
      </c>
      <c r="CL216" s="212" t="s">
        <v>139</v>
      </c>
      <c r="CM216" s="27" t="s">
        <v>136</v>
      </c>
      <c r="CN216" s="209"/>
      <c r="CO216" s="209"/>
      <c r="CP216" s="1"/>
      <c r="CQ216" s="1"/>
      <c r="CR216" s="1"/>
      <c r="CS216" s="1"/>
      <c r="CT216" s="1"/>
      <c r="CU216" s="1"/>
    </row>
    <row r="217" spans="1:99" s="210" customFormat="1" ht="30" x14ac:dyDescent="0.25">
      <c r="A217" s="145">
        <v>42030</v>
      </c>
      <c r="B217" s="145"/>
      <c r="C217" s="211" t="s">
        <v>737</v>
      </c>
      <c r="D217" s="213" t="s">
        <v>54</v>
      </c>
      <c r="E217" s="213"/>
      <c r="F217" s="221" t="s">
        <v>738</v>
      </c>
      <c r="G217" s="221"/>
      <c r="H217" s="221"/>
      <c r="I217" s="221"/>
      <c r="J217" s="225" t="s">
        <v>739</v>
      </c>
      <c r="K217" s="31"/>
      <c r="L217" s="225"/>
      <c r="M217" s="31"/>
      <c r="N217" s="25"/>
      <c r="O217" s="26"/>
      <c r="P217" s="26"/>
      <c r="Q217" s="26"/>
      <c r="R217" s="215"/>
      <c r="S217" s="215"/>
      <c r="T217" s="215"/>
      <c r="U217" s="215"/>
      <c r="V217" s="215"/>
      <c r="W217" s="215"/>
      <c r="X217" s="215"/>
      <c r="Y217" s="215"/>
      <c r="Z217" s="215"/>
      <c r="AA217" s="215"/>
      <c r="AB217" s="215"/>
      <c r="AC217" s="215"/>
      <c r="AD217" s="215"/>
      <c r="AE217" s="215"/>
      <c r="AF217" s="215"/>
      <c r="AG217" s="215"/>
      <c r="AH217" s="215"/>
      <c r="AI217" s="215"/>
      <c r="AJ217" s="215"/>
      <c r="AK217" s="215"/>
      <c r="AL217" s="215"/>
      <c r="AM217" s="215"/>
      <c r="AN217" s="25"/>
      <c r="AO217" s="33"/>
      <c r="AP217" s="25"/>
      <c r="AQ217" s="33"/>
      <c r="AR217" s="211"/>
      <c r="AS217" s="33"/>
      <c r="AT217" s="25"/>
      <c r="AU217" s="25"/>
      <c r="AV217" s="31"/>
      <c r="AW217" s="31"/>
      <c r="AX217" s="31"/>
      <c r="AY217" s="31"/>
      <c r="AZ217" s="31"/>
      <c r="BA217" s="31"/>
      <c r="BB217" s="31"/>
      <c r="BC217" s="31"/>
      <c r="BD217" s="223"/>
      <c r="BE217" s="31"/>
      <c r="BF217" s="31"/>
      <c r="BG217" s="31"/>
      <c r="BH217" s="31"/>
      <c r="BI217" s="31"/>
      <c r="BJ217" s="25"/>
      <c r="BK217" s="234">
        <v>283.43</v>
      </c>
      <c r="BL217" s="217" t="s">
        <v>740</v>
      </c>
      <c r="BM217" s="218">
        <v>10038568739961</v>
      </c>
      <c r="BN217" s="38"/>
      <c r="BO217" s="36"/>
      <c r="BP217" s="36"/>
      <c r="BQ217" s="38"/>
      <c r="BR217" s="38"/>
      <c r="BS217" s="38"/>
      <c r="BT217" s="597" t="s">
        <v>355</v>
      </c>
      <c r="BU217" s="597"/>
      <c r="BV217" s="597"/>
      <c r="BW217" s="597"/>
      <c r="BX217" s="597"/>
      <c r="BY217" s="220">
        <f>11.13+(0.125*2)</f>
        <v>11.38</v>
      </c>
      <c r="BZ217" s="220">
        <f>10.25+(0.125*2)</f>
        <v>10.5</v>
      </c>
      <c r="CA217" s="220">
        <f>5.63+(0.125*4)</f>
        <v>6.13</v>
      </c>
      <c r="CB217" s="91">
        <f t="shared" si="46"/>
        <v>0.42388524305555558</v>
      </c>
      <c r="CC217" s="93">
        <f>(0.86+0.75+0.44)+0.25</f>
        <v>2.2999999999999998</v>
      </c>
      <c r="CD217" s="301"/>
      <c r="CE217" s="301"/>
      <c r="CF217" s="212" t="s">
        <v>163</v>
      </c>
      <c r="CG217" s="212">
        <v>1</v>
      </c>
      <c r="CH217" s="212">
        <v>12</v>
      </c>
      <c r="CI217" s="212">
        <v>7</v>
      </c>
      <c r="CJ217" s="27">
        <f t="shared" si="47"/>
        <v>84</v>
      </c>
      <c r="CK217" s="27">
        <f t="shared" si="48"/>
        <v>243.2</v>
      </c>
      <c r="CL217" s="214" t="s">
        <v>741</v>
      </c>
      <c r="CM217" s="27" t="s">
        <v>136</v>
      </c>
      <c r="CN217" s="209"/>
      <c r="CO217" s="209"/>
      <c r="CP217" s="1"/>
      <c r="CQ217" s="1"/>
      <c r="CR217" s="1"/>
      <c r="CS217" s="1"/>
      <c r="CT217" s="1"/>
      <c r="CU217" s="1"/>
    </row>
    <row r="218" spans="1:99" s="210" customFormat="1" x14ac:dyDescent="0.25">
      <c r="A218" s="145">
        <v>42030</v>
      </c>
      <c r="B218" s="145"/>
      <c r="C218" s="211" t="s">
        <v>742</v>
      </c>
      <c r="D218" s="213" t="s">
        <v>580</v>
      </c>
      <c r="E218" s="213" t="s">
        <v>581</v>
      </c>
      <c r="F218" s="221" t="s">
        <v>743</v>
      </c>
      <c r="G218" s="221"/>
      <c r="H218" s="221"/>
      <c r="I218" s="221"/>
      <c r="J218" s="225" t="s">
        <v>333</v>
      </c>
      <c r="K218" s="31" t="s">
        <v>556</v>
      </c>
      <c r="L218" s="225"/>
      <c r="M218" s="31"/>
      <c r="N218" s="25"/>
      <c r="O218" s="26"/>
      <c r="P218" s="26"/>
      <c r="Q218" s="26"/>
      <c r="R218" s="215"/>
      <c r="S218" s="215"/>
      <c r="T218" s="215"/>
      <c r="U218" s="215"/>
      <c r="V218" s="215"/>
      <c r="W218" s="215"/>
      <c r="X218" s="215"/>
      <c r="Y218" s="215"/>
      <c r="Z218" s="215"/>
      <c r="AA218" s="215"/>
      <c r="AB218" s="215"/>
      <c r="AC218" s="215"/>
      <c r="AD218" s="215"/>
      <c r="AE218" s="215"/>
      <c r="AF218" s="215"/>
      <c r="AG218" s="215"/>
      <c r="AH218" s="215"/>
      <c r="AI218" s="215"/>
      <c r="AJ218" s="215"/>
      <c r="AK218" s="215"/>
      <c r="AL218" s="215"/>
      <c r="AM218" s="215"/>
      <c r="AN218" s="25" t="s">
        <v>744</v>
      </c>
      <c r="AO218" s="33"/>
      <c r="AP218" s="25"/>
      <c r="AQ218" s="33"/>
      <c r="AR218" s="211"/>
      <c r="AS218" s="33"/>
      <c r="AT218" s="25"/>
      <c r="AU218" s="25" t="s">
        <v>745</v>
      </c>
      <c r="AV218" s="119" t="s">
        <v>746</v>
      </c>
      <c r="AW218" s="31"/>
      <c r="AX218" s="31"/>
      <c r="AY218" s="31"/>
      <c r="AZ218" s="31"/>
      <c r="BA218" s="31"/>
      <c r="BB218" s="31"/>
      <c r="BC218" s="31"/>
      <c r="BD218" s="223"/>
      <c r="BE218" s="211" t="s">
        <v>747</v>
      </c>
      <c r="BF218" s="31"/>
      <c r="BG218" s="31"/>
      <c r="BH218" s="31"/>
      <c r="BI218" s="31"/>
      <c r="BJ218" s="25" t="s">
        <v>748</v>
      </c>
      <c r="BK218" s="216">
        <v>18.37</v>
      </c>
      <c r="BL218" s="217" t="s">
        <v>749</v>
      </c>
      <c r="BM218" s="218">
        <v>10038568742350</v>
      </c>
      <c r="BN218" s="92">
        <v>7.6</v>
      </c>
      <c r="BO218" s="92">
        <v>7.44</v>
      </c>
      <c r="BP218" s="92">
        <v>2.2799999999999998</v>
      </c>
      <c r="BQ218" s="38"/>
      <c r="BR218" s="38"/>
      <c r="BS218" s="38"/>
      <c r="BT218" s="93">
        <f>7.44+(0.018*2)</f>
        <v>7.476</v>
      </c>
      <c r="BU218" s="93">
        <f>2.75+(0.018*2)</f>
        <v>2.786</v>
      </c>
      <c r="BV218" s="93">
        <f>9.5+(0.018*4)</f>
        <v>9.5719999999999992</v>
      </c>
      <c r="BW218" s="91">
        <f t="shared" si="49"/>
        <v>0.11537437372222221</v>
      </c>
      <c r="BX218" s="93">
        <f>0.419+0.1</f>
        <v>0.51900000000000002</v>
      </c>
      <c r="BY218" s="220">
        <f>10+(0.125*2)</f>
        <v>10.25</v>
      </c>
      <c r="BZ218" s="220">
        <f>7.5+(0.125*2)</f>
        <v>7.75</v>
      </c>
      <c r="CA218" s="220">
        <f>10+(0.125*4)</f>
        <v>10.5</v>
      </c>
      <c r="CB218" s="91">
        <f t="shared" si="46"/>
        <v>0.4826931423611111</v>
      </c>
      <c r="CC218" s="93">
        <f>(BX218*3)+0.25</f>
        <v>1.8069999999999999</v>
      </c>
      <c r="CD218" s="301"/>
      <c r="CE218" s="301"/>
      <c r="CF218" s="212" t="s">
        <v>163</v>
      </c>
      <c r="CG218" s="212">
        <v>3</v>
      </c>
      <c r="CH218" s="212">
        <v>22</v>
      </c>
      <c r="CI218" s="212">
        <v>4</v>
      </c>
      <c r="CJ218" s="27">
        <f t="shared" si="47"/>
        <v>264</v>
      </c>
      <c r="CK218" s="27">
        <f t="shared" si="48"/>
        <v>209.01599999999999</v>
      </c>
      <c r="CL218" s="212" t="s">
        <v>135</v>
      </c>
      <c r="CM218" s="27" t="s">
        <v>136</v>
      </c>
      <c r="CN218" s="209"/>
      <c r="CO218" s="209"/>
      <c r="CP218" s="1"/>
      <c r="CQ218" s="1"/>
      <c r="CR218" s="1"/>
      <c r="CS218" s="1"/>
      <c r="CT218" s="1"/>
      <c r="CU218" s="1"/>
    </row>
    <row r="219" spans="1:99" s="210" customFormat="1" x14ac:dyDescent="0.25">
      <c r="A219" s="145">
        <v>42030</v>
      </c>
      <c r="B219" s="145"/>
      <c r="C219" s="212" t="s">
        <v>750</v>
      </c>
      <c r="D219" s="213" t="s">
        <v>580</v>
      </c>
      <c r="E219" s="213" t="s">
        <v>581</v>
      </c>
      <c r="F219" s="221" t="s">
        <v>751</v>
      </c>
      <c r="G219" s="221"/>
      <c r="H219" s="221"/>
      <c r="I219" s="221"/>
      <c r="J219" s="225" t="s">
        <v>90</v>
      </c>
      <c r="K219" s="31" t="s">
        <v>752</v>
      </c>
      <c r="L219" s="225" t="s">
        <v>47</v>
      </c>
      <c r="M219" s="31" t="s">
        <v>753</v>
      </c>
      <c r="N219" s="25"/>
      <c r="O219" s="26"/>
      <c r="P219" s="26"/>
      <c r="Q219" s="26"/>
      <c r="R219" s="215"/>
      <c r="S219" s="215"/>
      <c r="T219" s="215"/>
      <c r="U219" s="215"/>
      <c r="V219" s="215"/>
      <c r="W219" s="215"/>
      <c r="X219" s="215"/>
      <c r="Y219" s="215"/>
      <c r="Z219" s="215"/>
      <c r="AA219" s="215"/>
      <c r="AB219" s="215"/>
      <c r="AC219" s="215"/>
      <c r="AD219" s="215"/>
      <c r="AE219" s="215"/>
      <c r="AF219" s="215"/>
      <c r="AG219" s="215"/>
      <c r="AH219" s="215"/>
      <c r="AI219" s="215"/>
      <c r="AJ219" s="215"/>
      <c r="AK219" s="215"/>
      <c r="AL219" s="215"/>
      <c r="AM219" s="215"/>
      <c r="AN219" s="25" t="s">
        <v>754</v>
      </c>
      <c r="AO219" s="33"/>
      <c r="AP219" s="25"/>
      <c r="AQ219" s="33"/>
      <c r="AR219" s="211"/>
      <c r="AS219" s="33"/>
      <c r="AT219" s="25"/>
      <c r="AU219" s="25" t="s">
        <v>755</v>
      </c>
      <c r="AV219" s="119" t="s">
        <v>756</v>
      </c>
      <c r="AW219" s="31"/>
      <c r="AX219" s="31"/>
      <c r="AY219" s="31"/>
      <c r="AZ219" s="31"/>
      <c r="BA219" s="31"/>
      <c r="BB219" s="31"/>
      <c r="BC219" s="31"/>
      <c r="BD219" s="223"/>
      <c r="BE219" s="211" t="s">
        <v>757</v>
      </c>
      <c r="BF219" s="31"/>
      <c r="BG219" s="31"/>
      <c r="BH219" s="31"/>
      <c r="BI219" s="31"/>
      <c r="BJ219" s="25"/>
      <c r="BK219" s="216">
        <v>14.67</v>
      </c>
      <c r="BL219" s="217" t="s">
        <v>758</v>
      </c>
      <c r="BM219" s="218">
        <v>10038568742367</v>
      </c>
      <c r="BN219" s="92">
        <v>8.0299999999999994</v>
      </c>
      <c r="BO219" s="92">
        <v>6.02</v>
      </c>
      <c r="BP219" s="92">
        <v>2.2200000000000002</v>
      </c>
      <c r="BQ219" s="38"/>
      <c r="BR219" s="38"/>
      <c r="BS219" s="38"/>
      <c r="BT219" s="93">
        <f>9.75+(0.018*2)</f>
        <v>9.7859999999999996</v>
      </c>
      <c r="BU219" s="93">
        <f>2.31+(0.018*2)</f>
        <v>2.3460000000000001</v>
      </c>
      <c r="BV219" s="93">
        <f>9.75+(0.018*4)</f>
        <v>9.8219999999999992</v>
      </c>
      <c r="BW219" s="91">
        <f t="shared" si="49"/>
        <v>0.13049365962499998</v>
      </c>
      <c r="BX219" s="93">
        <f>0.375+0.1</f>
        <v>0.47499999999999998</v>
      </c>
      <c r="BY219" s="220">
        <f>10+(0.125*2)</f>
        <v>10.25</v>
      </c>
      <c r="BZ219" s="220">
        <f>7.5+(0.125*2)</f>
        <v>7.75</v>
      </c>
      <c r="CA219" s="220">
        <f>10+(0.125*4)</f>
        <v>10.5</v>
      </c>
      <c r="CB219" s="91">
        <f t="shared" si="46"/>
        <v>0.4826931423611111</v>
      </c>
      <c r="CC219" s="93">
        <f t="shared" ref="CC219" si="50">(BX219*3)+0.25</f>
        <v>1.6749999999999998</v>
      </c>
      <c r="CD219" s="301"/>
      <c r="CE219" s="301"/>
      <c r="CF219" s="212" t="s">
        <v>163</v>
      </c>
      <c r="CG219" s="212">
        <v>3</v>
      </c>
      <c r="CH219" s="212">
        <v>22</v>
      </c>
      <c r="CI219" s="212">
        <v>4</v>
      </c>
      <c r="CJ219" s="27">
        <f t="shared" si="47"/>
        <v>264</v>
      </c>
      <c r="CK219" s="27">
        <f t="shared" si="48"/>
        <v>197.39999999999998</v>
      </c>
      <c r="CL219" s="212" t="s">
        <v>135</v>
      </c>
      <c r="CM219" s="27" t="s">
        <v>136</v>
      </c>
      <c r="CN219" s="209"/>
      <c r="CO219" s="209"/>
      <c r="CP219" s="1"/>
      <c r="CQ219" s="1"/>
      <c r="CR219" s="1"/>
      <c r="CS219" s="1"/>
      <c r="CT219" s="1"/>
      <c r="CU219" s="1"/>
    </row>
    <row r="220" spans="1:99" s="210" customFormat="1" ht="30" x14ac:dyDescent="0.25">
      <c r="A220" s="145">
        <v>42030</v>
      </c>
      <c r="B220" s="145"/>
      <c r="C220" s="211" t="s">
        <v>718</v>
      </c>
      <c r="D220" s="213" t="s">
        <v>54</v>
      </c>
      <c r="E220" s="213" t="s">
        <v>719</v>
      </c>
      <c r="F220" s="221" t="s">
        <v>720</v>
      </c>
      <c r="G220" s="221"/>
      <c r="H220" s="221"/>
      <c r="I220" s="221"/>
      <c r="J220" s="225" t="s">
        <v>721</v>
      </c>
      <c r="K220" s="31" t="s">
        <v>722</v>
      </c>
      <c r="L220" s="225" t="s">
        <v>721</v>
      </c>
      <c r="M220" s="31">
        <v>1521527</v>
      </c>
      <c r="N220" s="25"/>
      <c r="O220" s="26"/>
      <c r="P220" s="26"/>
      <c r="Q220" s="26"/>
      <c r="R220" s="215"/>
      <c r="S220" s="215"/>
      <c r="T220" s="215"/>
      <c r="U220" s="215"/>
      <c r="V220" s="215"/>
      <c r="W220" s="215"/>
      <c r="X220" s="215"/>
      <c r="Y220" s="215"/>
      <c r="Z220" s="215"/>
      <c r="AA220" s="215"/>
      <c r="AB220" s="215"/>
      <c r="AC220" s="215"/>
      <c r="AD220" s="215"/>
      <c r="AE220" s="215"/>
      <c r="AF220" s="215"/>
      <c r="AG220" s="215"/>
      <c r="AH220" s="215"/>
      <c r="AI220" s="215"/>
      <c r="AJ220" s="215"/>
      <c r="AK220" s="215"/>
      <c r="AL220" s="215"/>
      <c r="AM220" s="215"/>
      <c r="AN220" s="25" t="s">
        <v>723</v>
      </c>
      <c r="AO220" s="33"/>
      <c r="AP220" s="25"/>
      <c r="AQ220" s="33"/>
      <c r="AR220" s="211" t="s">
        <v>724</v>
      </c>
      <c r="AS220" s="33"/>
      <c r="AT220" s="25" t="s">
        <v>725</v>
      </c>
      <c r="AU220" s="25"/>
      <c r="AV220" s="31"/>
      <c r="AW220" s="31" t="s">
        <v>726</v>
      </c>
      <c r="AX220" s="31"/>
      <c r="AY220" s="31"/>
      <c r="AZ220" s="31"/>
      <c r="BA220" s="31"/>
      <c r="BB220" s="31"/>
      <c r="BC220" s="31"/>
      <c r="BD220" s="223"/>
      <c r="BE220" s="31"/>
      <c r="BF220" s="31"/>
      <c r="BG220" s="31"/>
      <c r="BH220" s="31"/>
      <c r="BI220" s="31"/>
      <c r="BJ220" s="25"/>
      <c r="BK220" s="234">
        <v>17.7</v>
      </c>
      <c r="BL220" s="217" t="s">
        <v>727</v>
      </c>
      <c r="BM220" s="218">
        <v>10038568737998</v>
      </c>
      <c r="BN220" s="38"/>
      <c r="BO220" s="36"/>
      <c r="BP220" s="36"/>
      <c r="BQ220" s="91">
        <v>2.52</v>
      </c>
      <c r="BR220" s="91">
        <v>5.75</v>
      </c>
      <c r="BS220" s="91">
        <v>1.06</v>
      </c>
      <c r="BT220" s="93">
        <f>3.0625+(0.018*2)</f>
        <v>3.0985</v>
      </c>
      <c r="BU220" s="93">
        <f>3.0625+(0.018*2)</f>
        <v>3.0985</v>
      </c>
      <c r="BV220" s="93">
        <f>6.75+(0.018*4)</f>
        <v>6.8220000000000001</v>
      </c>
      <c r="BW220" s="91">
        <f t="shared" si="49"/>
        <v>3.7902772424479161E-2</v>
      </c>
      <c r="BX220" s="93">
        <f>0.16+0.1</f>
        <v>0.26</v>
      </c>
      <c r="BY220" s="220">
        <f>12.8125+(0.125*2)</f>
        <v>13.0625</v>
      </c>
      <c r="BZ220" s="220">
        <f>9.625+(0.125*2)</f>
        <v>9.875</v>
      </c>
      <c r="CA220" s="220">
        <f>6.875+(0.125*4)</f>
        <v>7.375</v>
      </c>
      <c r="CB220" s="91">
        <f t="shared" si="46"/>
        <v>0.55053089283130785</v>
      </c>
      <c r="CC220" s="93">
        <f>(BX220*12)+0.25</f>
        <v>3.37</v>
      </c>
      <c r="CD220" s="301"/>
      <c r="CE220" s="301"/>
      <c r="CF220" s="212" t="s">
        <v>163</v>
      </c>
      <c r="CG220" s="212">
        <v>12</v>
      </c>
      <c r="CH220" s="212">
        <v>14</v>
      </c>
      <c r="CI220" s="212">
        <v>6</v>
      </c>
      <c r="CJ220" s="27">
        <f t="shared" si="47"/>
        <v>1008</v>
      </c>
      <c r="CK220" s="27">
        <f t="shared" si="48"/>
        <v>333.08</v>
      </c>
      <c r="CL220" s="212" t="s">
        <v>256</v>
      </c>
      <c r="CM220" s="27" t="s">
        <v>136</v>
      </c>
      <c r="CN220" s="209"/>
      <c r="CO220" s="209"/>
      <c r="CP220" s="1"/>
      <c r="CQ220" s="1"/>
      <c r="CR220" s="1"/>
      <c r="CS220" s="1"/>
      <c r="CT220" s="1"/>
      <c r="CU220" s="1"/>
    </row>
    <row r="221" spans="1:99" s="210" customFormat="1" x14ac:dyDescent="0.25">
      <c r="A221" s="145">
        <v>42030</v>
      </c>
      <c r="B221" s="145"/>
      <c r="C221" s="211" t="s">
        <v>728</v>
      </c>
      <c r="D221" s="213" t="s">
        <v>54</v>
      </c>
      <c r="E221" s="213" t="s">
        <v>581</v>
      </c>
      <c r="F221" s="221" t="s">
        <v>729</v>
      </c>
      <c r="G221" s="221"/>
      <c r="H221" s="221"/>
      <c r="I221" s="221"/>
      <c r="J221" s="225" t="s">
        <v>730</v>
      </c>
      <c r="K221" s="31" t="s">
        <v>731</v>
      </c>
      <c r="L221" s="225"/>
      <c r="M221" s="31"/>
      <c r="N221" s="25"/>
      <c r="O221" s="26"/>
      <c r="P221" s="26"/>
      <c r="Q221" s="26"/>
      <c r="R221" s="215"/>
      <c r="S221" s="215"/>
      <c r="T221" s="215"/>
      <c r="U221" s="215"/>
      <c r="V221" s="215"/>
      <c r="W221" s="215"/>
      <c r="X221" s="215"/>
      <c r="Y221" s="215"/>
      <c r="Z221" s="215"/>
      <c r="AA221" s="215"/>
      <c r="AB221" s="215"/>
      <c r="AC221" s="215"/>
      <c r="AD221" s="215"/>
      <c r="AE221" s="215"/>
      <c r="AF221" s="215"/>
      <c r="AG221" s="215"/>
      <c r="AH221" s="215"/>
      <c r="AI221" s="215"/>
      <c r="AJ221" s="215"/>
      <c r="AK221" s="215"/>
      <c r="AL221" s="215"/>
      <c r="AM221" s="215"/>
      <c r="AN221" s="25" t="s">
        <v>732</v>
      </c>
      <c r="AO221" s="33"/>
      <c r="AP221" s="25"/>
      <c r="AQ221" s="33"/>
      <c r="AR221" s="211"/>
      <c r="AS221" s="33"/>
      <c r="AT221" s="25" t="s">
        <v>733</v>
      </c>
      <c r="AU221" s="25" t="s">
        <v>734</v>
      </c>
      <c r="AV221" s="31"/>
      <c r="AW221" s="31"/>
      <c r="AX221" s="31"/>
      <c r="AY221" s="31"/>
      <c r="AZ221" s="31"/>
      <c r="BA221" s="31"/>
      <c r="BB221" s="31"/>
      <c r="BC221" s="31"/>
      <c r="BD221" s="223"/>
      <c r="BE221" s="31"/>
      <c r="BF221" s="31"/>
      <c r="BG221" s="31"/>
      <c r="BH221" s="31"/>
      <c r="BI221" s="31"/>
      <c r="BJ221" s="25" t="s">
        <v>735</v>
      </c>
      <c r="BK221" s="234">
        <v>21.98</v>
      </c>
      <c r="BL221" s="217" t="s">
        <v>736</v>
      </c>
      <c r="BM221" s="218">
        <v>10038568740417</v>
      </c>
      <c r="BN221" s="92">
        <v>10.26</v>
      </c>
      <c r="BO221" s="92">
        <v>5.57</v>
      </c>
      <c r="BP221" s="92">
        <v>0.77</v>
      </c>
      <c r="BQ221" s="38"/>
      <c r="BR221" s="38"/>
      <c r="BS221" s="38"/>
      <c r="BT221" s="93">
        <v>10.26</v>
      </c>
      <c r="BU221" s="93">
        <v>5.57</v>
      </c>
      <c r="BV221" s="93">
        <v>0.77</v>
      </c>
      <c r="BW221" s="91">
        <f t="shared" si="49"/>
        <v>2.5465343750000001E-2</v>
      </c>
      <c r="BX221" s="93">
        <f>0.2+0.1</f>
        <v>0.30000000000000004</v>
      </c>
      <c r="BY221" s="220">
        <f>10.5+(0.125*2)</f>
        <v>10.75</v>
      </c>
      <c r="BZ221" s="220">
        <f>7+(0.125*2)</f>
        <v>7.25</v>
      </c>
      <c r="CA221" s="220">
        <f>4.12+(0.125*4)</f>
        <v>4.62</v>
      </c>
      <c r="CB221" s="91">
        <f t="shared" si="46"/>
        <v>0.2083745659722222</v>
      </c>
      <c r="CC221" s="93">
        <f>(BX221*3)+0.25</f>
        <v>1.1500000000000001</v>
      </c>
      <c r="CD221" s="301"/>
      <c r="CE221" s="301"/>
      <c r="CF221" s="212" t="s">
        <v>163</v>
      </c>
      <c r="CG221" s="212">
        <v>3</v>
      </c>
      <c r="CH221" s="212">
        <v>20</v>
      </c>
      <c r="CI221" s="212">
        <v>11</v>
      </c>
      <c r="CJ221" s="27">
        <f t="shared" si="47"/>
        <v>660</v>
      </c>
      <c r="CK221" s="27">
        <f t="shared" si="48"/>
        <v>303</v>
      </c>
      <c r="CL221" s="212" t="s">
        <v>139</v>
      </c>
      <c r="CM221" s="27" t="s">
        <v>136</v>
      </c>
      <c r="CN221" s="209"/>
      <c r="CO221" s="209"/>
      <c r="CP221" s="1"/>
      <c r="CQ221" s="1"/>
      <c r="CR221" s="1"/>
      <c r="CS221" s="1"/>
      <c r="CT221" s="1"/>
      <c r="CU221" s="1"/>
    </row>
    <row r="222" spans="1:99" s="210" customFormat="1" ht="30" x14ac:dyDescent="0.25">
      <c r="A222" s="145">
        <v>42030</v>
      </c>
      <c r="B222" s="145"/>
      <c r="C222" s="211" t="s">
        <v>737</v>
      </c>
      <c r="D222" s="213" t="s">
        <v>54</v>
      </c>
      <c r="E222" s="213"/>
      <c r="F222" s="221" t="s">
        <v>738</v>
      </c>
      <c r="G222" s="221"/>
      <c r="H222" s="221"/>
      <c r="I222" s="221"/>
      <c r="J222" s="225" t="s">
        <v>739</v>
      </c>
      <c r="K222" s="31"/>
      <c r="L222" s="225"/>
      <c r="M222" s="31"/>
      <c r="N222" s="25"/>
      <c r="O222" s="26"/>
      <c r="P222" s="26"/>
      <c r="Q222" s="26"/>
      <c r="R222" s="215"/>
      <c r="S222" s="215"/>
      <c r="T222" s="215"/>
      <c r="U222" s="215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5"/>
      <c r="AJ222" s="215"/>
      <c r="AK222" s="215"/>
      <c r="AL222" s="215"/>
      <c r="AM222" s="215"/>
      <c r="AN222" s="25"/>
      <c r="AO222" s="33"/>
      <c r="AP222" s="25"/>
      <c r="AQ222" s="33"/>
      <c r="AR222" s="211"/>
      <c r="AS222" s="33"/>
      <c r="AT222" s="25"/>
      <c r="AU222" s="25"/>
      <c r="AV222" s="31"/>
      <c r="AW222" s="31"/>
      <c r="AX222" s="31"/>
      <c r="AY222" s="31"/>
      <c r="AZ222" s="31"/>
      <c r="BA222" s="31"/>
      <c r="BB222" s="31"/>
      <c r="BC222" s="31"/>
      <c r="BD222" s="223"/>
      <c r="BE222" s="31"/>
      <c r="BF222" s="31"/>
      <c r="BG222" s="31"/>
      <c r="BH222" s="31"/>
      <c r="BI222" s="31"/>
      <c r="BJ222" s="25"/>
      <c r="BK222" s="234">
        <v>283.43</v>
      </c>
      <c r="BL222" s="217" t="s">
        <v>740</v>
      </c>
      <c r="BM222" s="218">
        <v>10038568739961</v>
      </c>
      <c r="BN222" s="38"/>
      <c r="BO222" s="36"/>
      <c r="BP222" s="36"/>
      <c r="BQ222" s="38"/>
      <c r="BR222" s="38"/>
      <c r="BS222" s="38"/>
      <c r="BT222" s="597" t="s">
        <v>355</v>
      </c>
      <c r="BU222" s="597"/>
      <c r="BV222" s="597"/>
      <c r="BW222" s="597"/>
      <c r="BX222" s="597"/>
      <c r="BY222" s="220">
        <f>11.13+(0.125*2)</f>
        <v>11.38</v>
      </c>
      <c r="BZ222" s="220">
        <f>10.25+(0.125*2)</f>
        <v>10.5</v>
      </c>
      <c r="CA222" s="220">
        <f>5.63+(0.125*4)</f>
        <v>6.13</v>
      </c>
      <c r="CB222" s="91">
        <f t="shared" si="46"/>
        <v>0.42388524305555558</v>
      </c>
      <c r="CC222" s="93">
        <f>(0.86+0.75+0.44)+0.25</f>
        <v>2.2999999999999998</v>
      </c>
      <c r="CD222" s="301"/>
      <c r="CE222" s="301"/>
      <c r="CF222" s="212" t="s">
        <v>163</v>
      </c>
      <c r="CG222" s="212">
        <v>1</v>
      </c>
      <c r="CH222" s="212">
        <v>12</v>
      </c>
      <c r="CI222" s="212">
        <v>7</v>
      </c>
      <c r="CJ222" s="27">
        <f t="shared" si="47"/>
        <v>84</v>
      </c>
      <c r="CK222" s="27">
        <f t="shared" si="48"/>
        <v>243.2</v>
      </c>
      <c r="CL222" s="214" t="s">
        <v>741</v>
      </c>
      <c r="CM222" s="27" t="s">
        <v>136</v>
      </c>
      <c r="CN222" s="209"/>
      <c r="CO222" s="209"/>
      <c r="CP222" s="1"/>
      <c r="CQ222" s="1"/>
      <c r="CR222" s="1"/>
      <c r="CS222" s="1"/>
      <c r="CT222" s="1"/>
      <c r="CU222" s="1"/>
    </row>
    <row r="223" spans="1:99" s="105" customFormat="1" x14ac:dyDescent="0.25">
      <c r="A223" s="145">
        <v>42030</v>
      </c>
      <c r="B223" s="145"/>
      <c r="C223" s="211" t="s">
        <v>742</v>
      </c>
      <c r="D223" s="213" t="s">
        <v>580</v>
      </c>
      <c r="E223" s="213" t="s">
        <v>581</v>
      </c>
      <c r="F223" s="221" t="s">
        <v>743</v>
      </c>
      <c r="G223" s="221"/>
      <c r="H223" s="221"/>
      <c r="I223" s="221"/>
      <c r="J223" s="225" t="s">
        <v>333</v>
      </c>
      <c r="K223" s="31" t="s">
        <v>556</v>
      </c>
      <c r="L223" s="225"/>
      <c r="M223" s="31"/>
      <c r="N223" s="25"/>
      <c r="O223" s="26"/>
      <c r="P223" s="26"/>
      <c r="Q223" s="26"/>
      <c r="R223" s="215"/>
      <c r="S223" s="215"/>
      <c r="T223" s="215"/>
      <c r="U223" s="215"/>
      <c r="V223" s="215"/>
      <c r="W223" s="215"/>
      <c r="X223" s="215"/>
      <c r="Y223" s="215"/>
      <c r="Z223" s="215"/>
      <c r="AA223" s="215"/>
      <c r="AB223" s="215"/>
      <c r="AC223" s="215"/>
      <c r="AD223" s="215"/>
      <c r="AE223" s="215"/>
      <c r="AF223" s="215"/>
      <c r="AG223" s="215"/>
      <c r="AH223" s="215"/>
      <c r="AI223" s="215"/>
      <c r="AJ223" s="215"/>
      <c r="AK223" s="215"/>
      <c r="AL223" s="215"/>
      <c r="AM223" s="215"/>
      <c r="AN223" s="25" t="s">
        <v>744</v>
      </c>
      <c r="AO223" s="33"/>
      <c r="AP223" s="25"/>
      <c r="AQ223" s="33"/>
      <c r="AR223" s="211"/>
      <c r="AS223" s="33"/>
      <c r="AT223" s="25"/>
      <c r="AU223" s="25" t="s">
        <v>745</v>
      </c>
      <c r="AV223" s="119" t="s">
        <v>746</v>
      </c>
      <c r="AW223" s="31"/>
      <c r="AX223" s="31"/>
      <c r="AY223" s="31"/>
      <c r="AZ223" s="31"/>
      <c r="BA223" s="31"/>
      <c r="BB223" s="31"/>
      <c r="BC223" s="31"/>
      <c r="BD223" s="223"/>
      <c r="BE223" s="211" t="s">
        <v>747</v>
      </c>
      <c r="BF223" s="31"/>
      <c r="BG223" s="31"/>
      <c r="BH223" s="31"/>
      <c r="BI223" s="31"/>
      <c r="BJ223" s="25" t="s">
        <v>748</v>
      </c>
      <c r="BK223" s="216">
        <v>18.37</v>
      </c>
      <c r="BL223" s="217" t="s">
        <v>749</v>
      </c>
      <c r="BM223" s="218">
        <v>10038568742350</v>
      </c>
      <c r="BN223" s="92">
        <v>7.6</v>
      </c>
      <c r="BO223" s="92">
        <v>7.44</v>
      </c>
      <c r="BP223" s="92">
        <v>2.2799999999999998</v>
      </c>
      <c r="BQ223" s="38"/>
      <c r="BR223" s="38"/>
      <c r="BS223" s="38"/>
      <c r="BT223" s="93">
        <f>7.44+(0.018*2)</f>
        <v>7.476</v>
      </c>
      <c r="BU223" s="93">
        <f>2.75+(0.018*2)</f>
        <v>2.786</v>
      </c>
      <c r="BV223" s="93">
        <f>9.5+(0.018*4)</f>
        <v>9.5719999999999992</v>
      </c>
      <c r="BW223" s="91">
        <f t="shared" si="49"/>
        <v>0.11537437372222221</v>
      </c>
      <c r="BX223" s="93">
        <f>0.419+0.1</f>
        <v>0.51900000000000002</v>
      </c>
      <c r="BY223" s="220">
        <f>10+(0.125*2)</f>
        <v>10.25</v>
      </c>
      <c r="BZ223" s="220">
        <f>7.5+(0.125*2)</f>
        <v>7.75</v>
      </c>
      <c r="CA223" s="220">
        <f>10+(0.125*4)</f>
        <v>10.5</v>
      </c>
      <c r="CB223" s="91">
        <f t="shared" si="46"/>
        <v>0.4826931423611111</v>
      </c>
      <c r="CC223" s="93">
        <f>(BX223*3)+0.25</f>
        <v>1.8069999999999999</v>
      </c>
      <c r="CD223" s="301"/>
      <c r="CE223" s="301"/>
      <c r="CF223" s="212" t="s">
        <v>163</v>
      </c>
      <c r="CG223" s="212">
        <v>3</v>
      </c>
      <c r="CH223" s="212">
        <v>22</v>
      </c>
      <c r="CI223" s="212">
        <v>4</v>
      </c>
      <c r="CJ223" s="27">
        <f t="shared" si="47"/>
        <v>264</v>
      </c>
      <c r="CK223" s="27">
        <f t="shared" si="48"/>
        <v>209.01599999999999</v>
      </c>
      <c r="CL223" s="212" t="s">
        <v>135</v>
      </c>
      <c r="CM223" s="27" t="s">
        <v>136</v>
      </c>
      <c r="CN223" s="237"/>
      <c r="CO223" s="237"/>
      <c r="CP223" s="14"/>
      <c r="CQ223" s="14"/>
      <c r="CR223" s="14"/>
      <c r="CS223" s="14"/>
      <c r="CT223" s="14"/>
      <c r="CU223" s="14"/>
    </row>
    <row r="224" spans="1:99" s="105" customFormat="1" x14ac:dyDescent="0.25">
      <c r="A224" s="145">
        <v>42030</v>
      </c>
      <c r="B224" s="145"/>
      <c r="C224" s="212" t="s">
        <v>750</v>
      </c>
      <c r="D224" s="213" t="s">
        <v>580</v>
      </c>
      <c r="E224" s="213" t="s">
        <v>581</v>
      </c>
      <c r="F224" s="221" t="s">
        <v>751</v>
      </c>
      <c r="G224" s="221"/>
      <c r="H224" s="221"/>
      <c r="I224" s="221"/>
      <c r="J224" s="225" t="s">
        <v>90</v>
      </c>
      <c r="K224" s="31" t="s">
        <v>752</v>
      </c>
      <c r="L224" s="225" t="s">
        <v>47</v>
      </c>
      <c r="M224" s="31" t="s">
        <v>753</v>
      </c>
      <c r="N224" s="25"/>
      <c r="O224" s="26"/>
      <c r="P224" s="26"/>
      <c r="Q224" s="26"/>
      <c r="R224" s="215"/>
      <c r="S224" s="215"/>
      <c r="T224" s="215"/>
      <c r="U224" s="215"/>
      <c r="V224" s="215"/>
      <c r="W224" s="215"/>
      <c r="X224" s="215"/>
      <c r="Y224" s="215"/>
      <c r="Z224" s="215"/>
      <c r="AA224" s="215"/>
      <c r="AB224" s="215"/>
      <c r="AC224" s="215"/>
      <c r="AD224" s="215"/>
      <c r="AE224" s="215"/>
      <c r="AF224" s="215"/>
      <c r="AG224" s="215"/>
      <c r="AH224" s="215"/>
      <c r="AI224" s="215"/>
      <c r="AJ224" s="215"/>
      <c r="AK224" s="215"/>
      <c r="AL224" s="215"/>
      <c r="AM224" s="215"/>
      <c r="AN224" s="25" t="s">
        <v>754</v>
      </c>
      <c r="AO224" s="33"/>
      <c r="AP224" s="25"/>
      <c r="AQ224" s="33"/>
      <c r="AR224" s="211"/>
      <c r="AS224" s="33"/>
      <c r="AT224" s="25"/>
      <c r="AU224" s="25" t="s">
        <v>755</v>
      </c>
      <c r="AV224" s="119" t="s">
        <v>756</v>
      </c>
      <c r="AW224" s="31"/>
      <c r="AX224" s="31"/>
      <c r="AY224" s="31"/>
      <c r="AZ224" s="31"/>
      <c r="BA224" s="31"/>
      <c r="BB224" s="31"/>
      <c r="BC224" s="31"/>
      <c r="BD224" s="223"/>
      <c r="BE224" s="211" t="s">
        <v>757</v>
      </c>
      <c r="BF224" s="31"/>
      <c r="BG224" s="31"/>
      <c r="BH224" s="31"/>
      <c r="BI224" s="31"/>
      <c r="BJ224" s="25"/>
      <c r="BK224" s="216">
        <v>14.67</v>
      </c>
      <c r="BL224" s="217" t="s">
        <v>758</v>
      </c>
      <c r="BM224" s="218">
        <v>10038568742367</v>
      </c>
      <c r="BN224" s="92">
        <v>8.0299999999999994</v>
      </c>
      <c r="BO224" s="92">
        <v>6.02</v>
      </c>
      <c r="BP224" s="92">
        <v>2.2200000000000002</v>
      </c>
      <c r="BQ224" s="38"/>
      <c r="BR224" s="38"/>
      <c r="BS224" s="38"/>
      <c r="BT224" s="93">
        <f>9.75+(0.018*2)</f>
        <v>9.7859999999999996</v>
      </c>
      <c r="BU224" s="93">
        <f>2.31+(0.018*2)</f>
        <v>2.3460000000000001</v>
      </c>
      <c r="BV224" s="93">
        <f>9.75+(0.018*4)</f>
        <v>9.8219999999999992</v>
      </c>
      <c r="BW224" s="91">
        <f t="shared" si="49"/>
        <v>0.13049365962499998</v>
      </c>
      <c r="BX224" s="93">
        <f>0.375+0.1</f>
        <v>0.47499999999999998</v>
      </c>
      <c r="BY224" s="220">
        <f>10+(0.125*2)</f>
        <v>10.25</v>
      </c>
      <c r="BZ224" s="220">
        <f>7.5+(0.125*2)</f>
        <v>7.75</v>
      </c>
      <c r="CA224" s="220">
        <f>10+(0.125*4)</f>
        <v>10.5</v>
      </c>
      <c r="CB224" s="91">
        <f t="shared" si="46"/>
        <v>0.4826931423611111</v>
      </c>
      <c r="CC224" s="93">
        <f t="shared" ref="CC224" si="51">(BX224*3)+0.25</f>
        <v>1.6749999999999998</v>
      </c>
      <c r="CD224" s="301"/>
      <c r="CE224" s="301"/>
      <c r="CF224" s="212" t="s">
        <v>163</v>
      </c>
      <c r="CG224" s="212">
        <v>3</v>
      </c>
      <c r="CH224" s="212">
        <v>22</v>
      </c>
      <c r="CI224" s="212">
        <v>4</v>
      </c>
      <c r="CJ224" s="27">
        <f t="shared" si="47"/>
        <v>264</v>
      </c>
      <c r="CK224" s="27">
        <f t="shared" si="48"/>
        <v>197.39999999999998</v>
      </c>
      <c r="CL224" s="212" t="s">
        <v>135</v>
      </c>
      <c r="CM224" s="27" t="s">
        <v>136</v>
      </c>
      <c r="CN224" s="237"/>
      <c r="CO224" s="237"/>
      <c r="CP224" s="14"/>
      <c r="CQ224" s="14"/>
      <c r="CR224" s="14"/>
      <c r="CS224" s="14"/>
      <c r="CT224" s="14"/>
      <c r="CU224" s="14"/>
    </row>
    <row r="225" spans="1:99" s="105" customFormat="1" ht="30" x14ac:dyDescent="0.25">
      <c r="A225" s="145">
        <v>42013</v>
      </c>
      <c r="B225" s="145"/>
      <c r="C225" s="213" t="s">
        <v>759</v>
      </c>
      <c r="D225" s="214" t="s">
        <v>54</v>
      </c>
      <c r="E225" s="213" t="s">
        <v>605</v>
      </c>
      <c r="F225" s="235" t="s">
        <v>760</v>
      </c>
      <c r="G225" s="235"/>
      <c r="H225" s="235"/>
      <c r="I225" s="235"/>
      <c r="J225" s="225" t="s">
        <v>350</v>
      </c>
      <c r="K225" s="31" t="s">
        <v>761</v>
      </c>
      <c r="L225" s="225" t="s">
        <v>350</v>
      </c>
      <c r="M225" s="31" t="s">
        <v>762</v>
      </c>
      <c r="N225" s="236"/>
      <c r="O225" s="236"/>
      <c r="P225" s="236"/>
      <c r="Q225" s="236"/>
      <c r="R225" s="236"/>
      <c r="S225" s="236"/>
      <c r="T225" s="236"/>
      <c r="U225" s="236"/>
      <c r="V225" s="236"/>
      <c r="W225" s="236"/>
      <c r="X225" s="236"/>
      <c r="Y225" s="236"/>
      <c r="Z225" s="236"/>
      <c r="AA225" s="236"/>
      <c r="AB225" s="236"/>
      <c r="AC225" s="236"/>
      <c r="AD225" s="236"/>
      <c r="AE225" s="236"/>
      <c r="AF225" s="236"/>
      <c r="AG225" s="236"/>
      <c r="AH225" s="236"/>
      <c r="AI225" s="236"/>
      <c r="AJ225" s="236"/>
      <c r="AK225" s="236"/>
      <c r="AL225" s="236"/>
      <c r="AM225" s="236"/>
      <c r="AN225" s="25" t="s">
        <v>763</v>
      </c>
      <c r="AO225" s="33"/>
      <c r="AP225" s="25"/>
      <c r="AQ225" s="33"/>
      <c r="AR225" s="211"/>
      <c r="AS225" s="33"/>
      <c r="AT225" s="25" t="s">
        <v>764</v>
      </c>
      <c r="AU225" s="25"/>
      <c r="AV225" s="31"/>
      <c r="AW225" s="31"/>
      <c r="AX225" s="31"/>
      <c r="AY225" s="31"/>
      <c r="AZ225" s="31"/>
      <c r="BA225" s="31"/>
      <c r="BB225" s="31"/>
      <c r="BC225" s="31"/>
      <c r="BD225" s="223"/>
      <c r="BE225" s="31"/>
      <c r="BF225" s="31"/>
      <c r="BG225" s="31"/>
      <c r="BH225" s="31"/>
      <c r="BI225" s="31"/>
      <c r="BJ225" s="25" t="s">
        <v>765</v>
      </c>
      <c r="BK225" s="234">
        <v>59.68</v>
      </c>
      <c r="BL225" s="217" t="s">
        <v>766</v>
      </c>
      <c r="BM225" s="218">
        <v>10038568740295</v>
      </c>
      <c r="BN225" s="36"/>
      <c r="BO225" s="36"/>
      <c r="BP225" s="36"/>
      <c r="BQ225" s="91">
        <v>6.3</v>
      </c>
      <c r="BR225" s="91">
        <v>7.36</v>
      </c>
      <c r="BS225" s="38"/>
      <c r="BT225" s="597" t="s">
        <v>355</v>
      </c>
      <c r="BU225" s="597"/>
      <c r="BV225" s="597"/>
      <c r="BW225" s="597"/>
      <c r="BX225" s="597"/>
      <c r="BY225" s="93">
        <f>14.75+(0.153*2)</f>
        <v>15.055999999999999</v>
      </c>
      <c r="BZ225" s="93">
        <f>9.75+(0.153*2)</f>
        <v>10.055999999999999</v>
      </c>
      <c r="CA225" s="93">
        <f>14.13+(0.153*4)</f>
        <v>14.742000000000001</v>
      </c>
      <c r="CB225" s="91">
        <f t="shared" si="46"/>
        <v>1.2916580039999999</v>
      </c>
      <c r="CC225" s="93">
        <f>(2.5*6)+0.25</f>
        <v>15.25</v>
      </c>
      <c r="CD225" s="301"/>
      <c r="CE225" s="301"/>
      <c r="CF225" s="104" t="s">
        <v>163</v>
      </c>
      <c r="CG225" s="27">
        <v>6</v>
      </c>
      <c r="CH225" s="27">
        <v>12</v>
      </c>
      <c r="CI225" s="27">
        <v>3</v>
      </c>
      <c r="CJ225" s="27">
        <f t="shared" si="47"/>
        <v>216</v>
      </c>
      <c r="CK225" s="27">
        <f t="shared" si="48"/>
        <v>599</v>
      </c>
      <c r="CL225" s="27" t="s">
        <v>256</v>
      </c>
      <c r="CM225" s="27" t="s">
        <v>136</v>
      </c>
      <c r="CN225" s="237"/>
      <c r="CO225" s="237"/>
      <c r="CP225" s="14"/>
      <c r="CQ225" s="14"/>
      <c r="CR225" s="14"/>
      <c r="CS225" s="14"/>
      <c r="CT225" s="14"/>
      <c r="CU225" s="14"/>
    </row>
    <row r="226" spans="1:99" s="105" customFormat="1" ht="30" x14ac:dyDescent="0.25">
      <c r="A226" s="145">
        <v>42013</v>
      </c>
      <c r="B226" s="145"/>
      <c r="C226" s="213" t="s">
        <v>767</v>
      </c>
      <c r="D226" s="214" t="s">
        <v>54</v>
      </c>
      <c r="E226" s="213" t="s">
        <v>581</v>
      </c>
      <c r="F226" s="221" t="s">
        <v>768</v>
      </c>
      <c r="G226" s="221"/>
      <c r="H226" s="221"/>
      <c r="I226" s="221"/>
      <c r="J226" s="31" t="s">
        <v>350</v>
      </c>
      <c r="K226" s="225" t="s">
        <v>769</v>
      </c>
      <c r="L226" s="31"/>
      <c r="M226" s="31"/>
      <c r="N226" s="236"/>
      <c r="O226" s="236"/>
      <c r="P226" s="236"/>
      <c r="Q226" s="236"/>
      <c r="R226" s="236"/>
      <c r="S226" s="236"/>
      <c r="T226" s="236"/>
      <c r="U226" s="236"/>
      <c r="V226" s="236"/>
      <c r="W226" s="236"/>
      <c r="X226" s="236"/>
      <c r="Y226" s="236"/>
      <c r="Z226" s="236"/>
      <c r="AA226" s="236"/>
      <c r="AB226" s="236"/>
      <c r="AC226" s="236"/>
      <c r="AD226" s="236"/>
      <c r="AE226" s="236"/>
      <c r="AF226" s="236"/>
      <c r="AG226" s="236"/>
      <c r="AH226" s="236"/>
      <c r="AI226" s="236"/>
      <c r="AJ226" s="236"/>
      <c r="AK226" s="236"/>
      <c r="AL226" s="236"/>
      <c r="AM226" s="236"/>
      <c r="AN226" s="25" t="s">
        <v>770</v>
      </c>
      <c r="AO226" s="33"/>
      <c r="AP226" s="25"/>
      <c r="AQ226" s="33"/>
      <c r="AR226" s="25" t="s">
        <v>771</v>
      </c>
      <c r="AS226" s="33"/>
      <c r="AT226" s="25" t="s">
        <v>772</v>
      </c>
      <c r="AU226" s="25" t="s">
        <v>773</v>
      </c>
      <c r="AV226" s="31"/>
      <c r="AW226" s="31"/>
      <c r="AX226" s="31"/>
      <c r="AY226" s="31"/>
      <c r="AZ226" s="31"/>
      <c r="BA226" s="31"/>
      <c r="BB226" s="31"/>
      <c r="BC226" s="31"/>
      <c r="BD226" s="223"/>
      <c r="BE226" s="31"/>
      <c r="BF226" s="31"/>
      <c r="BG226" s="31"/>
      <c r="BH226" s="31"/>
      <c r="BI226" s="31"/>
      <c r="BJ226" s="25" t="s">
        <v>774</v>
      </c>
      <c r="BK226" s="234">
        <v>106.8</v>
      </c>
      <c r="BL226" s="217" t="s">
        <v>775</v>
      </c>
      <c r="BM226" s="218">
        <v>10038568736526</v>
      </c>
      <c r="BN226" s="92">
        <v>12.2</v>
      </c>
      <c r="BO226" s="92">
        <v>4.87</v>
      </c>
      <c r="BP226" s="92">
        <v>7.2</v>
      </c>
      <c r="BQ226" s="38"/>
      <c r="BR226" s="38"/>
      <c r="BS226" s="38"/>
      <c r="BT226" s="597" t="s">
        <v>355</v>
      </c>
      <c r="BU226" s="597"/>
      <c r="BV226" s="597"/>
      <c r="BW226" s="597"/>
      <c r="BX226" s="597"/>
      <c r="BY226" s="93">
        <f>13.25+(0.153*2)</f>
        <v>13.555999999999999</v>
      </c>
      <c r="BZ226" s="93">
        <f>6+(0.153*2)</f>
        <v>6.306</v>
      </c>
      <c r="CA226" s="93">
        <f>7.5+(0.153*4)</f>
        <v>8.1120000000000001</v>
      </c>
      <c r="CB226" s="91">
        <f t="shared" si="46"/>
        <v>0.40130052733333332</v>
      </c>
      <c r="CC226" s="93">
        <f>2.5+0.25</f>
        <v>2.75</v>
      </c>
      <c r="CD226" s="301"/>
      <c r="CE226" s="301"/>
      <c r="CF226" s="212" t="s">
        <v>163</v>
      </c>
      <c r="CG226" s="212">
        <v>1</v>
      </c>
      <c r="CH226" s="212">
        <v>21</v>
      </c>
      <c r="CI226" s="212">
        <v>5</v>
      </c>
      <c r="CJ226" s="27">
        <f t="shared" si="47"/>
        <v>105</v>
      </c>
      <c r="CK226" s="27">
        <f t="shared" si="48"/>
        <v>338.75</v>
      </c>
      <c r="CL226" s="27" t="s">
        <v>256</v>
      </c>
      <c r="CM226" s="27" t="s">
        <v>136</v>
      </c>
      <c r="CN226" s="237"/>
      <c r="CO226" s="237"/>
      <c r="CP226" s="14"/>
      <c r="CQ226" s="14"/>
      <c r="CR226" s="14"/>
      <c r="CS226" s="14"/>
      <c r="CT226" s="14"/>
      <c r="CU226" s="14"/>
    </row>
    <row r="227" spans="1:99" s="105" customFormat="1" ht="30" x14ac:dyDescent="0.25">
      <c r="A227" s="145">
        <v>42013</v>
      </c>
      <c r="B227" s="145"/>
      <c r="C227" s="212" t="s">
        <v>776</v>
      </c>
      <c r="D227" s="214" t="s">
        <v>54</v>
      </c>
      <c r="E227" s="213" t="s">
        <v>581</v>
      </c>
      <c r="F227" s="221" t="s">
        <v>777</v>
      </c>
      <c r="G227" s="221"/>
      <c r="H227" s="221"/>
      <c r="I227" s="221"/>
      <c r="J227" s="31" t="s">
        <v>778</v>
      </c>
      <c r="K227" s="225"/>
      <c r="L227" s="31"/>
      <c r="M227" s="31"/>
      <c r="N227" s="236"/>
      <c r="O227" s="236"/>
      <c r="P227" s="236"/>
      <c r="Q227" s="236"/>
      <c r="R227" s="236"/>
      <c r="S227" s="236"/>
      <c r="T227" s="236"/>
      <c r="U227" s="236"/>
      <c r="V227" s="236"/>
      <c r="W227" s="236"/>
      <c r="X227" s="236"/>
      <c r="Y227" s="236"/>
      <c r="Z227" s="236"/>
      <c r="AA227" s="236"/>
      <c r="AB227" s="236"/>
      <c r="AC227" s="236"/>
      <c r="AD227" s="236"/>
      <c r="AE227" s="236"/>
      <c r="AF227" s="236"/>
      <c r="AG227" s="236"/>
      <c r="AH227" s="236"/>
      <c r="AI227" s="236"/>
      <c r="AJ227" s="236"/>
      <c r="AK227" s="236"/>
      <c r="AL227" s="236"/>
      <c r="AM227" s="236"/>
      <c r="AN227" s="25" t="s">
        <v>779</v>
      </c>
      <c r="AO227" s="33"/>
      <c r="AP227" s="25"/>
      <c r="AQ227" s="33"/>
      <c r="AR227" s="212" t="s">
        <v>780</v>
      </c>
      <c r="AS227" s="33"/>
      <c r="AT227" s="212"/>
      <c r="AU227" s="25"/>
      <c r="AV227" s="31"/>
      <c r="AW227" s="31"/>
      <c r="AX227" s="31"/>
      <c r="AY227" s="31"/>
      <c r="AZ227" s="31"/>
      <c r="BA227" s="31"/>
      <c r="BB227" s="31"/>
      <c r="BC227" s="31"/>
      <c r="BD227" s="223"/>
      <c r="BE227" s="31"/>
      <c r="BF227" s="31"/>
      <c r="BG227" s="31"/>
      <c r="BH227" s="31"/>
      <c r="BI227" s="31"/>
      <c r="BJ227" s="212"/>
      <c r="BK227" s="234">
        <v>114.8</v>
      </c>
      <c r="BL227" s="217" t="s">
        <v>781</v>
      </c>
      <c r="BM227" s="218">
        <v>10038568738445</v>
      </c>
      <c r="BN227" s="38"/>
      <c r="BO227" s="92">
        <v>12.85</v>
      </c>
      <c r="BP227" s="92">
        <v>8</v>
      </c>
      <c r="BQ227" s="38"/>
      <c r="BR227" s="38"/>
      <c r="BS227" s="38"/>
      <c r="BT227" s="597" t="s">
        <v>355</v>
      </c>
      <c r="BU227" s="597"/>
      <c r="BV227" s="597"/>
      <c r="BW227" s="597"/>
      <c r="BX227" s="597"/>
      <c r="BY227" s="220">
        <f>13.25+(0.153*2)</f>
        <v>13.555999999999999</v>
      </c>
      <c r="BZ227" s="220">
        <f>13.25+(0.153*2)</f>
        <v>13.555999999999999</v>
      </c>
      <c r="CA227" s="220">
        <f>8.75+(0.153*4)</f>
        <v>9.3620000000000001</v>
      </c>
      <c r="CB227" s="91">
        <f t="shared" si="46"/>
        <v>0.99560717779629615</v>
      </c>
      <c r="CC227" s="93">
        <f>2.8+0.25</f>
        <v>3.05</v>
      </c>
      <c r="CD227" s="301"/>
      <c r="CE227" s="301"/>
      <c r="CF227" s="212" t="s">
        <v>163</v>
      </c>
      <c r="CG227" s="212">
        <v>1</v>
      </c>
      <c r="CH227" s="212">
        <v>9</v>
      </c>
      <c r="CI227" s="212">
        <v>5</v>
      </c>
      <c r="CJ227" s="27">
        <f t="shared" si="47"/>
        <v>45</v>
      </c>
      <c r="CK227" s="27">
        <f t="shared" si="48"/>
        <v>187.25</v>
      </c>
      <c r="CL227" s="212" t="s">
        <v>256</v>
      </c>
      <c r="CM227" s="27" t="s">
        <v>136</v>
      </c>
      <c r="CN227" s="237"/>
      <c r="CO227" s="237"/>
      <c r="CP227" s="14"/>
      <c r="CQ227" s="14"/>
      <c r="CR227" s="14"/>
      <c r="CS227" s="14"/>
      <c r="CT227" s="14"/>
      <c r="CU227" s="14"/>
    </row>
    <row r="228" spans="1:99" s="105" customFormat="1" ht="30" x14ac:dyDescent="0.25">
      <c r="A228" s="145">
        <v>42013</v>
      </c>
      <c r="B228" s="145"/>
      <c r="C228" s="212" t="s">
        <v>782</v>
      </c>
      <c r="D228" s="214" t="s">
        <v>54</v>
      </c>
      <c r="E228" s="213" t="s">
        <v>581</v>
      </c>
      <c r="F228" s="221" t="s">
        <v>783</v>
      </c>
      <c r="G228" s="221"/>
      <c r="H228" s="221"/>
      <c r="I228" s="221"/>
      <c r="J228" s="31" t="s">
        <v>350</v>
      </c>
      <c r="K228" s="31" t="s">
        <v>784</v>
      </c>
      <c r="L228" s="31"/>
      <c r="M228" s="31"/>
      <c r="N228" s="236"/>
      <c r="O228" s="236"/>
      <c r="P228" s="236"/>
      <c r="Q228" s="236"/>
      <c r="R228" s="236"/>
      <c r="S228" s="236"/>
      <c r="T228" s="236"/>
      <c r="U228" s="236"/>
      <c r="V228" s="236"/>
      <c r="W228" s="236"/>
      <c r="X228" s="236"/>
      <c r="Y228" s="236"/>
      <c r="Z228" s="236"/>
      <c r="AA228" s="236"/>
      <c r="AB228" s="236"/>
      <c r="AC228" s="236"/>
      <c r="AD228" s="236"/>
      <c r="AE228" s="236"/>
      <c r="AF228" s="236"/>
      <c r="AG228" s="236"/>
      <c r="AH228" s="236"/>
      <c r="AI228" s="236"/>
      <c r="AJ228" s="236"/>
      <c r="AK228" s="236"/>
      <c r="AL228" s="236"/>
      <c r="AM228" s="236"/>
      <c r="AN228" s="25" t="s">
        <v>785</v>
      </c>
      <c r="AO228" s="33"/>
      <c r="AP228" s="25"/>
      <c r="AQ228" s="33"/>
      <c r="AR228" s="25" t="s">
        <v>786</v>
      </c>
      <c r="AS228" s="33"/>
      <c r="AT228" s="25" t="s">
        <v>787</v>
      </c>
      <c r="AU228" s="25"/>
      <c r="AV228" s="31"/>
      <c r="AW228" s="31"/>
      <c r="AX228" s="31"/>
      <c r="AY228" s="31"/>
      <c r="AZ228" s="31"/>
      <c r="BA228" s="31"/>
      <c r="BB228" s="31"/>
      <c r="BC228" s="31"/>
      <c r="BD228" s="223"/>
      <c r="BE228" s="31"/>
      <c r="BF228" s="31"/>
      <c r="BG228" s="31"/>
      <c r="BH228" s="31"/>
      <c r="BI228" s="31"/>
      <c r="BJ228" s="25" t="s">
        <v>788</v>
      </c>
      <c r="BK228" s="234">
        <v>118.22</v>
      </c>
      <c r="BL228" s="217" t="s">
        <v>789</v>
      </c>
      <c r="BM228" s="218">
        <v>10038568738414</v>
      </c>
      <c r="BN228" s="92">
        <v>12.87</v>
      </c>
      <c r="BO228" s="92">
        <v>4.87</v>
      </c>
      <c r="BP228" s="92">
        <v>11.14</v>
      </c>
      <c r="BQ228" s="38"/>
      <c r="BR228" s="38"/>
      <c r="BS228" s="38"/>
      <c r="BT228" s="597" t="s">
        <v>355</v>
      </c>
      <c r="BU228" s="597"/>
      <c r="BV228" s="597"/>
      <c r="BW228" s="597"/>
      <c r="BX228" s="597"/>
      <c r="BY228" s="220">
        <f>13.25+(0.153*2)</f>
        <v>13.555999999999999</v>
      </c>
      <c r="BZ228" s="220">
        <f>6+(0.153*2)</f>
        <v>6.306</v>
      </c>
      <c r="CA228" s="220">
        <f>11.25+(0.153*4)</f>
        <v>11.862</v>
      </c>
      <c r="CB228" s="91">
        <f t="shared" si="46"/>
        <v>0.58681297524999998</v>
      </c>
      <c r="CC228" s="93">
        <f>2.5+0.25</f>
        <v>2.75</v>
      </c>
      <c r="CD228" s="301"/>
      <c r="CE228" s="301"/>
      <c r="CF228" s="212" t="s">
        <v>163</v>
      </c>
      <c r="CG228" s="212">
        <v>1</v>
      </c>
      <c r="CH228" s="212">
        <v>18</v>
      </c>
      <c r="CI228" s="212">
        <v>3</v>
      </c>
      <c r="CJ228" s="27">
        <f t="shared" si="47"/>
        <v>54</v>
      </c>
      <c r="CK228" s="27">
        <f t="shared" si="48"/>
        <v>198.5</v>
      </c>
      <c r="CL228" s="212" t="s">
        <v>256</v>
      </c>
      <c r="CM228" s="27" t="s">
        <v>136</v>
      </c>
      <c r="CN228" s="237"/>
      <c r="CO228" s="237"/>
      <c r="CP228" s="14"/>
      <c r="CQ228" s="14"/>
      <c r="CR228" s="14"/>
      <c r="CS228" s="14"/>
      <c r="CT228" s="14"/>
      <c r="CU228" s="14"/>
    </row>
    <row r="229" spans="1:99" s="105" customFormat="1" ht="30" x14ac:dyDescent="0.25">
      <c r="A229" s="145">
        <v>42013</v>
      </c>
      <c r="B229" s="145"/>
      <c r="C229" s="212" t="s">
        <v>790</v>
      </c>
      <c r="D229" s="214" t="s">
        <v>54</v>
      </c>
      <c r="E229" s="213" t="s">
        <v>581</v>
      </c>
      <c r="F229" s="221" t="s">
        <v>791</v>
      </c>
      <c r="G229" s="221"/>
      <c r="H229" s="221"/>
      <c r="I229" s="221"/>
      <c r="J229" s="31" t="s">
        <v>350</v>
      </c>
      <c r="K229" s="225" t="s">
        <v>792</v>
      </c>
      <c r="L229" s="31"/>
      <c r="M229" s="31"/>
      <c r="N229" s="236"/>
      <c r="O229" s="236"/>
      <c r="P229" s="236"/>
      <c r="Q229" s="236"/>
      <c r="R229" s="236"/>
      <c r="S229" s="236"/>
      <c r="T229" s="236"/>
      <c r="U229" s="236"/>
      <c r="V229" s="236"/>
      <c r="W229" s="236"/>
      <c r="X229" s="236"/>
      <c r="Y229" s="236"/>
      <c r="Z229" s="236"/>
      <c r="AA229" s="236"/>
      <c r="AB229" s="236"/>
      <c r="AC229" s="236"/>
      <c r="AD229" s="236"/>
      <c r="AE229" s="236"/>
      <c r="AF229" s="236"/>
      <c r="AG229" s="236"/>
      <c r="AH229" s="236"/>
      <c r="AI229" s="236"/>
      <c r="AJ229" s="236"/>
      <c r="AK229" s="236"/>
      <c r="AL229" s="236"/>
      <c r="AM229" s="236"/>
      <c r="AN229" s="25" t="s">
        <v>793</v>
      </c>
      <c r="AO229" s="33"/>
      <c r="AP229" s="25"/>
      <c r="AQ229" s="33"/>
      <c r="AR229" s="25" t="s">
        <v>794</v>
      </c>
      <c r="AS229" s="33"/>
      <c r="AT229" s="212"/>
      <c r="AU229" s="25"/>
      <c r="AV229" s="31"/>
      <c r="AW229" s="31"/>
      <c r="AX229" s="31"/>
      <c r="AY229" s="31"/>
      <c r="AZ229" s="31"/>
      <c r="BA229" s="31"/>
      <c r="BB229" s="31"/>
      <c r="BC229" s="31"/>
      <c r="BD229" s="223"/>
      <c r="BE229" s="31"/>
      <c r="BF229" s="31"/>
      <c r="BG229" s="31"/>
      <c r="BH229" s="31"/>
      <c r="BI229" s="31"/>
      <c r="BJ229" s="25" t="s">
        <v>795</v>
      </c>
      <c r="BK229" s="234">
        <v>59.46</v>
      </c>
      <c r="BL229" s="217" t="s">
        <v>796</v>
      </c>
      <c r="BM229" s="218">
        <v>10038568738551</v>
      </c>
      <c r="BN229" s="38"/>
      <c r="BO229" s="38"/>
      <c r="BP229" s="38"/>
      <c r="BQ229" s="92">
        <v>5.94</v>
      </c>
      <c r="BR229" s="92">
        <v>13.03</v>
      </c>
      <c r="BS229" s="38"/>
      <c r="BT229" s="597" t="s">
        <v>355</v>
      </c>
      <c r="BU229" s="597"/>
      <c r="BV229" s="597"/>
      <c r="BW229" s="597"/>
      <c r="BX229" s="597"/>
      <c r="BY229" s="220">
        <f>7+(0.153*2)</f>
        <v>7.306</v>
      </c>
      <c r="BZ229" s="220">
        <f>7+(0.153*2)</f>
        <v>7.306</v>
      </c>
      <c r="CA229" s="220">
        <f>14.5+(0.153*4)</f>
        <v>15.112</v>
      </c>
      <c r="CB229" s="91">
        <f t="shared" si="46"/>
        <v>0.46680719631481477</v>
      </c>
      <c r="CC229" s="93">
        <f>1.3+0.25</f>
        <v>1.55</v>
      </c>
      <c r="CD229" s="301"/>
      <c r="CE229" s="301"/>
      <c r="CF229" s="212" t="s">
        <v>163</v>
      </c>
      <c r="CG229" s="212">
        <v>1</v>
      </c>
      <c r="CH229" s="212">
        <v>30</v>
      </c>
      <c r="CI229" s="212">
        <v>3</v>
      </c>
      <c r="CJ229" s="27">
        <f t="shared" si="47"/>
        <v>90</v>
      </c>
      <c r="CK229" s="27">
        <f t="shared" si="48"/>
        <v>189.5</v>
      </c>
      <c r="CL229" s="212" t="s">
        <v>256</v>
      </c>
      <c r="CM229" s="27" t="s">
        <v>136</v>
      </c>
      <c r="CN229" s="237"/>
      <c r="CO229" s="237"/>
      <c r="CP229" s="14"/>
      <c r="CQ229" s="14"/>
      <c r="CR229" s="14"/>
      <c r="CS229" s="14"/>
      <c r="CT229" s="14"/>
      <c r="CU229" s="14"/>
    </row>
    <row r="230" spans="1:99" s="105" customFormat="1" x14ac:dyDescent="0.25">
      <c r="A230" s="145">
        <v>42013</v>
      </c>
      <c r="B230" s="145"/>
      <c r="C230" s="212" t="s">
        <v>797</v>
      </c>
      <c r="D230" s="214" t="s">
        <v>54</v>
      </c>
      <c r="E230" s="213" t="s">
        <v>581</v>
      </c>
      <c r="F230" s="221" t="s">
        <v>798</v>
      </c>
      <c r="G230" s="221"/>
      <c r="H230" s="221"/>
      <c r="I230" s="221"/>
      <c r="J230" s="31" t="s">
        <v>90</v>
      </c>
      <c r="K230" s="225" t="s">
        <v>799</v>
      </c>
      <c r="L230" s="31" t="s">
        <v>47</v>
      </c>
      <c r="M230" s="31" t="s">
        <v>800</v>
      </c>
      <c r="N230" s="236"/>
      <c r="O230" s="236"/>
      <c r="P230" s="236"/>
      <c r="Q230" s="236"/>
      <c r="R230" s="236"/>
      <c r="S230" s="236"/>
      <c r="T230" s="236"/>
      <c r="U230" s="236"/>
      <c r="V230" s="236"/>
      <c r="W230" s="236"/>
      <c r="X230" s="236"/>
      <c r="Y230" s="236"/>
      <c r="Z230" s="236"/>
      <c r="AA230" s="236"/>
      <c r="AB230" s="236"/>
      <c r="AC230" s="236"/>
      <c r="AD230" s="236"/>
      <c r="AE230" s="236"/>
      <c r="AF230" s="236"/>
      <c r="AG230" s="236"/>
      <c r="AH230" s="236"/>
      <c r="AI230" s="236"/>
      <c r="AJ230" s="236"/>
      <c r="AK230" s="236"/>
      <c r="AL230" s="236"/>
      <c r="AM230" s="236"/>
      <c r="AN230" s="25" t="s">
        <v>801</v>
      </c>
      <c r="AO230" s="33"/>
      <c r="AP230" s="25"/>
      <c r="AQ230" s="33"/>
      <c r="AR230" s="25" t="s">
        <v>802</v>
      </c>
      <c r="AS230" s="33"/>
      <c r="AT230" s="25" t="s">
        <v>803</v>
      </c>
      <c r="AU230" s="25" t="s">
        <v>804</v>
      </c>
      <c r="AV230" s="31"/>
      <c r="AW230" s="31"/>
      <c r="AX230" s="31"/>
      <c r="AY230" s="31"/>
      <c r="AZ230" s="31"/>
      <c r="BA230" s="31"/>
      <c r="BB230" s="31"/>
      <c r="BC230" s="31"/>
      <c r="BD230" s="223"/>
      <c r="BE230" s="31"/>
      <c r="BF230" s="31"/>
      <c r="BG230" s="31"/>
      <c r="BH230" s="31"/>
      <c r="BI230" s="31"/>
      <c r="BJ230" s="25" t="s">
        <v>805</v>
      </c>
      <c r="BK230" s="234">
        <v>131.29</v>
      </c>
      <c r="BL230" s="217" t="s">
        <v>806</v>
      </c>
      <c r="BM230" s="218">
        <v>10038568738568</v>
      </c>
      <c r="BN230" s="92">
        <v>13.05</v>
      </c>
      <c r="BO230" s="92">
        <v>8.75</v>
      </c>
      <c r="BP230" s="92" t="s">
        <v>807</v>
      </c>
      <c r="BQ230" s="38"/>
      <c r="BR230" s="38"/>
      <c r="BS230" s="38"/>
      <c r="BT230" s="597" t="s">
        <v>355</v>
      </c>
      <c r="BU230" s="597"/>
      <c r="BV230" s="597"/>
      <c r="BW230" s="597"/>
      <c r="BX230" s="597"/>
      <c r="BY230" s="220">
        <f>12.75+(0.153*2)</f>
        <v>13.055999999999999</v>
      </c>
      <c r="BZ230" s="220">
        <f>8.5+(0.153*2)</f>
        <v>8.8059999999999992</v>
      </c>
      <c r="CA230" s="220">
        <f>9.5+(0.153*4)</f>
        <v>10.112</v>
      </c>
      <c r="CB230" s="91">
        <f t="shared" si="46"/>
        <v>0.67279405511111101</v>
      </c>
      <c r="CC230" s="93">
        <f>1.3+0.25</f>
        <v>1.55</v>
      </c>
      <c r="CD230" s="301"/>
      <c r="CE230" s="301"/>
      <c r="CF230" s="212" t="s">
        <v>163</v>
      </c>
      <c r="CG230" s="212">
        <v>1</v>
      </c>
      <c r="CH230" s="212">
        <v>15</v>
      </c>
      <c r="CI230" s="212">
        <v>4</v>
      </c>
      <c r="CJ230" s="27">
        <f t="shared" si="47"/>
        <v>60</v>
      </c>
      <c r="CK230" s="27">
        <f t="shared" si="48"/>
        <v>143</v>
      </c>
      <c r="CL230" s="212" t="s">
        <v>256</v>
      </c>
      <c r="CM230" s="27" t="s">
        <v>136</v>
      </c>
      <c r="CN230" s="237"/>
      <c r="CO230" s="237"/>
      <c r="CP230" s="14"/>
      <c r="CQ230" s="14"/>
      <c r="CR230" s="14"/>
      <c r="CS230" s="14"/>
      <c r="CT230" s="14"/>
      <c r="CU230" s="14"/>
    </row>
    <row r="231" spans="1:99" s="105" customFormat="1" ht="30" x14ac:dyDescent="0.25">
      <c r="A231" s="145">
        <v>42013</v>
      </c>
      <c r="B231" s="145"/>
      <c r="C231" s="212" t="s">
        <v>808</v>
      </c>
      <c r="D231" s="214" t="s">
        <v>54</v>
      </c>
      <c r="E231" s="213" t="s">
        <v>581</v>
      </c>
      <c r="F231" s="221" t="s">
        <v>809</v>
      </c>
      <c r="G231" s="221"/>
      <c r="H231" s="221"/>
      <c r="I231" s="221"/>
      <c r="J231" s="31" t="s">
        <v>350</v>
      </c>
      <c r="K231" s="225" t="s">
        <v>810</v>
      </c>
      <c r="L231" s="31"/>
      <c r="M231" s="31"/>
      <c r="N231" s="236"/>
      <c r="O231" s="236"/>
      <c r="P231" s="236"/>
      <c r="Q231" s="236"/>
      <c r="R231" s="236"/>
      <c r="S231" s="236"/>
      <c r="T231" s="236"/>
      <c r="U231" s="236"/>
      <c r="V231" s="236"/>
      <c r="W231" s="236"/>
      <c r="X231" s="236"/>
      <c r="Y231" s="236"/>
      <c r="Z231" s="236"/>
      <c r="AA231" s="236"/>
      <c r="AB231" s="236"/>
      <c r="AC231" s="236"/>
      <c r="AD231" s="236"/>
      <c r="AE231" s="236"/>
      <c r="AF231" s="236"/>
      <c r="AG231" s="236"/>
      <c r="AH231" s="236"/>
      <c r="AI231" s="236"/>
      <c r="AJ231" s="236"/>
      <c r="AK231" s="236"/>
      <c r="AL231" s="236"/>
      <c r="AM231" s="236"/>
      <c r="AN231" s="25" t="s">
        <v>811</v>
      </c>
      <c r="AO231" s="33"/>
      <c r="AP231" s="25"/>
      <c r="AQ231" s="33"/>
      <c r="AR231" s="25" t="s">
        <v>812</v>
      </c>
      <c r="AS231" s="33"/>
      <c r="AT231" s="25"/>
      <c r="AU231" s="223"/>
      <c r="AV231" s="31"/>
      <c r="AW231" s="31"/>
      <c r="AX231" s="31"/>
      <c r="AY231" s="31"/>
      <c r="AZ231" s="31"/>
      <c r="BA231" s="31"/>
      <c r="BB231" s="31"/>
      <c r="BC231" s="31"/>
      <c r="BD231" s="223"/>
      <c r="BE231" s="31"/>
      <c r="BF231" s="31"/>
      <c r="BG231" s="31"/>
      <c r="BH231" s="31"/>
      <c r="BI231" s="31"/>
      <c r="BJ231" s="25" t="s">
        <v>813</v>
      </c>
      <c r="BK231" s="234">
        <v>128.28</v>
      </c>
      <c r="BL231" s="217" t="s">
        <v>814</v>
      </c>
      <c r="BM231" s="218">
        <v>10038568739794</v>
      </c>
      <c r="BN231" s="92">
        <v>10.33</v>
      </c>
      <c r="BO231" s="92">
        <v>10.33</v>
      </c>
      <c r="BP231" s="92">
        <v>9.16</v>
      </c>
      <c r="BQ231" s="38"/>
      <c r="BR231" s="38"/>
      <c r="BS231" s="38"/>
      <c r="BT231" s="597" t="s">
        <v>355</v>
      </c>
      <c r="BU231" s="597"/>
      <c r="BV231" s="597"/>
      <c r="BW231" s="597"/>
      <c r="BX231" s="597"/>
      <c r="BY231" s="220">
        <f>6.5+(0.153*2)</f>
        <v>6.806</v>
      </c>
      <c r="BZ231" s="220">
        <f>6.5+(0.153*2)</f>
        <v>6.806</v>
      </c>
      <c r="CA231" s="220">
        <f>5.5+(0.153*4)</f>
        <v>6.1120000000000001</v>
      </c>
      <c r="CB231" s="91">
        <f t="shared" si="46"/>
        <v>0.16384134214814813</v>
      </c>
      <c r="CC231" s="93">
        <f>3+0.25</f>
        <v>3.25</v>
      </c>
      <c r="CD231" s="301"/>
      <c r="CE231" s="301"/>
      <c r="CF231" s="212" t="s">
        <v>163</v>
      </c>
      <c r="CG231" s="212">
        <v>1</v>
      </c>
      <c r="CH231" s="212">
        <v>12</v>
      </c>
      <c r="CI231" s="212">
        <v>4</v>
      </c>
      <c r="CJ231" s="27">
        <f t="shared" si="47"/>
        <v>48</v>
      </c>
      <c r="CK231" s="27">
        <f t="shared" si="48"/>
        <v>206</v>
      </c>
      <c r="CL231" s="212" t="s">
        <v>256</v>
      </c>
      <c r="CM231" s="27" t="s">
        <v>136</v>
      </c>
      <c r="CN231" s="237"/>
      <c r="CO231" s="237"/>
      <c r="CP231" s="14"/>
      <c r="CQ231" s="14"/>
      <c r="CR231" s="14"/>
      <c r="CS231" s="14"/>
      <c r="CT231" s="14"/>
      <c r="CU231" s="14"/>
    </row>
    <row r="232" spans="1:99" s="105" customFormat="1" x14ac:dyDescent="0.25">
      <c r="A232" s="145">
        <v>42013</v>
      </c>
      <c r="B232" s="145"/>
      <c r="C232" s="212" t="s">
        <v>815</v>
      </c>
      <c r="D232" s="214" t="s">
        <v>54</v>
      </c>
      <c r="E232" s="213" t="s">
        <v>581</v>
      </c>
      <c r="F232" s="214" t="s">
        <v>816</v>
      </c>
      <c r="G232" s="214"/>
      <c r="H232" s="214"/>
      <c r="I232" s="214"/>
      <c r="J232" s="31" t="s">
        <v>817</v>
      </c>
      <c r="K232" s="225" t="s">
        <v>818</v>
      </c>
      <c r="L232" s="31" t="s">
        <v>730</v>
      </c>
      <c r="M232" s="31" t="s">
        <v>819</v>
      </c>
      <c r="N232" s="236"/>
      <c r="O232" s="236"/>
      <c r="P232" s="236"/>
      <c r="Q232" s="236"/>
      <c r="R232" s="236"/>
      <c r="S232" s="236"/>
      <c r="T232" s="236"/>
      <c r="U232" s="236"/>
      <c r="V232" s="236"/>
      <c r="W232" s="236"/>
      <c r="X232" s="236"/>
      <c r="Y232" s="236"/>
      <c r="Z232" s="236"/>
      <c r="AA232" s="236"/>
      <c r="AB232" s="236"/>
      <c r="AC232" s="236"/>
      <c r="AD232" s="236"/>
      <c r="AE232" s="236"/>
      <c r="AF232" s="236"/>
      <c r="AG232" s="236"/>
      <c r="AH232" s="236"/>
      <c r="AI232" s="236"/>
      <c r="AJ232" s="236"/>
      <c r="AK232" s="236"/>
      <c r="AL232" s="236"/>
      <c r="AM232" s="236"/>
      <c r="AN232" s="25" t="s">
        <v>820</v>
      </c>
      <c r="AO232" s="33"/>
      <c r="AP232" s="25"/>
      <c r="AQ232" s="33"/>
      <c r="AR232" s="25"/>
      <c r="AS232" s="33"/>
      <c r="AT232" s="25" t="s">
        <v>821</v>
      </c>
      <c r="AU232" s="212" t="s">
        <v>822</v>
      </c>
      <c r="AV232" s="31"/>
      <c r="AW232" s="31"/>
      <c r="AX232" s="31"/>
      <c r="AY232" s="31"/>
      <c r="AZ232" s="31"/>
      <c r="BA232" s="31"/>
      <c r="BB232" s="31"/>
      <c r="BC232" s="31"/>
      <c r="BD232" s="223"/>
      <c r="BE232" s="31"/>
      <c r="BF232" s="31"/>
      <c r="BG232" s="31"/>
      <c r="BH232" s="31"/>
      <c r="BI232" s="31"/>
      <c r="BJ232" s="212">
        <v>24469</v>
      </c>
      <c r="BK232" s="234">
        <v>45.79</v>
      </c>
      <c r="BL232" s="217" t="s">
        <v>823</v>
      </c>
      <c r="BM232" s="218">
        <v>10038568742138</v>
      </c>
      <c r="BN232" s="92">
        <v>8.86</v>
      </c>
      <c r="BO232" s="92">
        <v>6.5350000000000001</v>
      </c>
      <c r="BP232" s="92">
        <v>1.988</v>
      </c>
      <c r="BQ232" s="38"/>
      <c r="BR232" s="38"/>
      <c r="BS232" s="38"/>
      <c r="BT232" s="93">
        <f>8.86</f>
        <v>8.86</v>
      </c>
      <c r="BU232" s="93">
        <f>6.54</f>
        <v>6.54</v>
      </c>
      <c r="BV232" s="93">
        <f>1.99</f>
        <v>1.99</v>
      </c>
      <c r="BW232" s="91">
        <f t="shared" ref="BW232" si="52">(BV232*BU232*BT232)/1728</f>
        <v>6.6729951388888889E-2</v>
      </c>
      <c r="BX232" s="93">
        <f>1.2+0.1</f>
        <v>1.3</v>
      </c>
      <c r="BY232" s="93">
        <f>10+(0.153*2)</f>
        <v>10.305999999999999</v>
      </c>
      <c r="BZ232" s="93">
        <f>7.5+(0.153*2)</f>
        <v>7.806</v>
      </c>
      <c r="CA232" s="93">
        <f>6.62+(0.153*4)</f>
        <v>7.2320000000000002</v>
      </c>
      <c r="CB232" s="91">
        <f t="shared" si="46"/>
        <v>0.3366924395555555</v>
      </c>
      <c r="CC232" s="93">
        <f>(BX232*3)+0.25</f>
        <v>4.1500000000000004</v>
      </c>
      <c r="CD232" s="301"/>
      <c r="CE232" s="301"/>
      <c r="CF232" s="211" t="s">
        <v>163</v>
      </c>
      <c r="CG232" s="211">
        <v>3</v>
      </c>
      <c r="CH232" s="211">
        <v>22</v>
      </c>
      <c r="CI232" s="211">
        <v>6</v>
      </c>
      <c r="CJ232" s="27">
        <f t="shared" si="47"/>
        <v>396</v>
      </c>
      <c r="CK232" s="27">
        <f>(CC232*CH232*CI232)+50</f>
        <v>597.80000000000007</v>
      </c>
      <c r="CL232" s="211" t="s">
        <v>139</v>
      </c>
      <c r="CM232" s="27" t="s">
        <v>136</v>
      </c>
      <c r="CN232" s="237"/>
      <c r="CO232" s="237"/>
      <c r="CP232" s="14"/>
      <c r="CQ232" s="14"/>
      <c r="CR232" s="14"/>
      <c r="CS232" s="14"/>
      <c r="CT232" s="14"/>
      <c r="CU232" s="14"/>
    </row>
    <row r="233" spans="1:99" s="105" customFormat="1" ht="30" x14ac:dyDescent="0.25">
      <c r="A233" s="145">
        <v>41983</v>
      </c>
      <c r="B233" s="145"/>
      <c r="C233" s="212" t="s">
        <v>824</v>
      </c>
      <c r="D233" s="214" t="s">
        <v>54</v>
      </c>
      <c r="E233" s="213" t="s">
        <v>495</v>
      </c>
      <c r="F233" s="238" t="s">
        <v>825</v>
      </c>
      <c r="G233" s="238"/>
      <c r="H233" s="238"/>
      <c r="I233" s="238"/>
      <c r="J233" s="31" t="s">
        <v>826</v>
      </c>
      <c r="K233" s="225" t="s">
        <v>827</v>
      </c>
      <c r="L233" s="31" t="s">
        <v>826</v>
      </c>
      <c r="M233" s="31" t="s">
        <v>828</v>
      </c>
      <c r="N233" s="25"/>
      <c r="O233" s="26"/>
      <c r="P233" s="26"/>
      <c r="Q233" s="26"/>
      <c r="R233" s="215"/>
      <c r="S233" s="215"/>
      <c r="T233" s="215"/>
      <c r="U233" s="215"/>
      <c r="V233" s="215"/>
      <c r="W233" s="215"/>
      <c r="X233" s="215"/>
      <c r="Y233" s="215"/>
      <c r="Z233" s="215"/>
      <c r="AA233" s="215"/>
      <c r="AB233" s="215"/>
      <c r="AC233" s="215"/>
      <c r="AD233" s="215"/>
      <c r="AE233" s="215"/>
      <c r="AF233" s="215"/>
      <c r="AG233" s="215"/>
      <c r="AH233" s="215"/>
      <c r="AI233" s="215"/>
      <c r="AJ233" s="215"/>
      <c r="AK233" s="215"/>
      <c r="AL233" s="215"/>
      <c r="AM233" s="215"/>
      <c r="AN233" s="25"/>
      <c r="AO233" s="33"/>
      <c r="AP233" s="25"/>
      <c r="AQ233" s="33"/>
      <c r="AR233" s="25"/>
      <c r="AS233" s="33"/>
      <c r="AT233" s="25"/>
      <c r="AU233" s="25"/>
      <c r="AV233" s="31"/>
      <c r="AW233" s="31"/>
      <c r="AX233" s="31"/>
      <c r="AY233" s="31"/>
      <c r="AZ233" s="31"/>
      <c r="BA233" s="31"/>
      <c r="BB233" s="31"/>
      <c r="BC233" s="31"/>
      <c r="BD233" s="223"/>
      <c r="BE233" s="31"/>
      <c r="BF233" s="31"/>
      <c r="BG233" s="31"/>
      <c r="BH233" s="31"/>
      <c r="BI233" s="31"/>
      <c r="BJ233" s="25"/>
      <c r="BK233" s="234">
        <v>9.8699999999999992</v>
      </c>
      <c r="BL233" s="217" t="s">
        <v>829</v>
      </c>
      <c r="BM233" s="218">
        <v>10038568738223</v>
      </c>
      <c r="BN233" s="36"/>
      <c r="BO233" s="36"/>
      <c r="BP233" s="36"/>
      <c r="BQ233" s="92">
        <v>2.9820000000000002</v>
      </c>
      <c r="BR233" s="92">
        <v>3.9359999999999999</v>
      </c>
      <c r="BS233" s="92">
        <v>2.39</v>
      </c>
      <c r="BT233" s="600" t="s">
        <v>830</v>
      </c>
      <c r="BU233" s="601"/>
      <c r="BV233" s="601"/>
      <c r="BW233" s="601"/>
      <c r="BX233" s="220">
        <f>0.84+0.1</f>
        <v>0.94</v>
      </c>
      <c r="BY233" s="220">
        <f>10.5+(0.125*2)</f>
        <v>10.75</v>
      </c>
      <c r="BZ233" s="220">
        <f>7+(0.125*2)</f>
        <v>7.25</v>
      </c>
      <c r="CA233" s="220">
        <f>4.12+(0.125*4)</f>
        <v>4.62</v>
      </c>
      <c r="CB233" s="91">
        <f t="shared" si="46"/>
        <v>0.2083745659722222</v>
      </c>
      <c r="CC233" s="93">
        <f>(BX233*6)+0.25</f>
        <v>5.89</v>
      </c>
      <c r="CD233" s="301"/>
      <c r="CE233" s="301"/>
      <c r="CF233" s="212" t="s">
        <v>163</v>
      </c>
      <c r="CG233" s="212">
        <v>6</v>
      </c>
      <c r="CH233" s="212">
        <v>22</v>
      </c>
      <c r="CI233" s="212">
        <v>9</v>
      </c>
      <c r="CJ233" s="27">
        <f t="shared" si="47"/>
        <v>1188</v>
      </c>
      <c r="CK233" s="27">
        <f t="shared" ref="CK233:CK238" si="53">(CC233*CH233*CI233)+50</f>
        <v>1216.2199999999998</v>
      </c>
      <c r="CL233" s="212" t="s">
        <v>256</v>
      </c>
      <c r="CM233" s="27" t="s">
        <v>136</v>
      </c>
      <c r="CN233" s="237"/>
      <c r="CO233" s="237"/>
      <c r="CP233" s="14"/>
      <c r="CQ233" s="14"/>
      <c r="CR233" s="14"/>
      <c r="CS233" s="14"/>
      <c r="CT233" s="14"/>
      <c r="CU233" s="14"/>
    </row>
    <row r="234" spans="1:99" s="105" customFormat="1" ht="30" x14ac:dyDescent="0.25">
      <c r="A234" s="145">
        <v>41957</v>
      </c>
      <c r="B234" s="145"/>
      <c r="C234" s="213" t="s">
        <v>831</v>
      </c>
      <c r="D234" s="214" t="s">
        <v>54</v>
      </c>
      <c r="E234" s="213" t="s">
        <v>832</v>
      </c>
      <c r="F234" s="235" t="s">
        <v>833</v>
      </c>
      <c r="G234" s="235"/>
      <c r="H234" s="235"/>
      <c r="I234" s="235"/>
      <c r="J234" s="31" t="s">
        <v>834</v>
      </c>
      <c r="K234" s="225" t="s">
        <v>835</v>
      </c>
      <c r="L234" s="31" t="s">
        <v>836</v>
      </c>
      <c r="M234" s="31">
        <v>9210280007</v>
      </c>
      <c r="N234" s="25" t="s">
        <v>837</v>
      </c>
      <c r="O234" s="26" t="s">
        <v>838</v>
      </c>
      <c r="P234" s="26" t="s">
        <v>156</v>
      </c>
      <c r="Q234" s="26">
        <v>76086226</v>
      </c>
      <c r="R234" s="215"/>
      <c r="S234" s="215"/>
      <c r="T234" s="215"/>
      <c r="U234" s="215"/>
      <c r="V234" s="215"/>
      <c r="W234" s="215"/>
      <c r="X234" s="215"/>
      <c r="Y234" s="215"/>
      <c r="Z234" s="215"/>
      <c r="AA234" s="215"/>
      <c r="AB234" s="215"/>
      <c r="AC234" s="215"/>
      <c r="AD234" s="215"/>
      <c r="AE234" s="215"/>
      <c r="AF234" s="215"/>
      <c r="AG234" s="215"/>
      <c r="AH234" s="215"/>
      <c r="AI234" s="215"/>
      <c r="AJ234" s="215"/>
      <c r="AK234" s="215"/>
      <c r="AL234" s="215"/>
      <c r="AM234" s="215"/>
      <c r="AN234" s="25" t="s">
        <v>839</v>
      </c>
      <c r="AO234" s="33"/>
      <c r="AP234" s="25"/>
      <c r="AQ234" s="33"/>
      <c r="AR234" s="25" t="s">
        <v>840</v>
      </c>
      <c r="AS234" s="33"/>
      <c r="AT234" s="25" t="s">
        <v>841</v>
      </c>
      <c r="AU234" s="25"/>
      <c r="AV234" s="31"/>
      <c r="AW234" s="31"/>
      <c r="AX234" s="31"/>
      <c r="AY234" s="31"/>
      <c r="AZ234" s="31"/>
      <c r="BA234" s="31"/>
      <c r="BB234" s="31"/>
      <c r="BC234" s="31"/>
      <c r="BD234" s="223"/>
      <c r="BE234" s="31"/>
      <c r="BF234" s="31"/>
      <c r="BG234" s="31"/>
      <c r="BH234" s="31"/>
      <c r="BI234" s="31"/>
      <c r="BJ234" s="25" t="s">
        <v>842</v>
      </c>
      <c r="BK234" s="32">
        <v>99.85</v>
      </c>
      <c r="BL234" s="217" t="s">
        <v>843</v>
      </c>
      <c r="BM234" s="218">
        <v>10038568737981</v>
      </c>
      <c r="BN234" s="36"/>
      <c r="BO234" s="36"/>
      <c r="BP234" s="36"/>
      <c r="BQ234" s="91">
        <v>3.75</v>
      </c>
      <c r="BR234" s="91">
        <v>7.21</v>
      </c>
      <c r="BS234" s="38"/>
      <c r="BT234" s="220">
        <f>4.1875+(0.0625*2)</f>
        <v>4.3125</v>
      </c>
      <c r="BU234" s="220">
        <f>4.1875+(0.0625*2)</f>
        <v>4.3125</v>
      </c>
      <c r="BV234" s="220">
        <f>7.625+(0.0625*4)</f>
        <v>7.875</v>
      </c>
      <c r="BW234" s="91">
        <f t="shared" ref="BW234:BW237" si="54">(BV234*BU234*BT234)/1728</f>
        <v>8.475494384765625E-2</v>
      </c>
      <c r="BX234" s="220">
        <f>2.35+0.1</f>
        <v>2.4500000000000002</v>
      </c>
      <c r="BY234" s="93">
        <f>13.375+(0.125*2)</f>
        <v>13.625</v>
      </c>
      <c r="BZ234" s="93">
        <f>8.9475+(0.125*2)</f>
        <v>9.1974999999999998</v>
      </c>
      <c r="CA234" s="93">
        <f>8.125+(0.125*4)</f>
        <v>8.625</v>
      </c>
      <c r="CB234" s="91">
        <f t="shared" si="46"/>
        <v>0.6254918755425346</v>
      </c>
      <c r="CC234" s="93">
        <f>(BX234*6)+0.25</f>
        <v>14.950000000000001</v>
      </c>
      <c r="CD234" s="301"/>
      <c r="CE234" s="301"/>
      <c r="CF234" s="212" t="s">
        <v>163</v>
      </c>
      <c r="CG234" s="212">
        <v>6</v>
      </c>
      <c r="CH234" s="212">
        <v>13</v>
      </c>
      <c r="CI234" s="212">
        <v>5</v>
      </c>
      <c r="CJ234" s="27">
        <f t="shared" si="47"/>
        <v>390</v>
      </c>
      <c r="CK234" s="27">
        <f t="shared" si="53"/>
        <v>1021.7500000000001</v>
      </c>
      <c r="CL234" s="27" t="s">
        <v>256</v>
      </c>
      <c r="CM234" s="27" t="s">
        <v>136</v>
      </c>
      <c r="CN234" s="237"/>
      <c r="CO234" s="237"/>
      <c r="CP234" s="14"/>
      <c r="CQ234" s="14"/>
      <c r="CR234" s="14"/>
      <c r="CS234" s="14"/>
      <c r="CT234" s="14"/>
      <c r="CU234" s="14"/>
    </row>
    <row r="235" spans="1:99" s="105" customFormat="1" x14ac:dyDescent="0.25">
      <c r="A235" s="239">
        <v>41927</v>
      </c>
      <c r="B235" s="239"/>
      <c r="C235" s="213" t="s">
        <v>844</v>
      </c>
      <c r="D235" s="213" t="s">
        <v>54</v>
      </c>
      <c r="E235" s="213" t="s">
        <v>486</v>
      </c>
      <c r="F235" s="235" t="s">
        <v>845</v>
      </c>
      <c r="G235" s="235"/>
      <c r="H235" s="235"/>
      <c r="I235" s="235"/>
      <c r="J235" s="31" t="s">
        <v>846</v>
      </c>
      <c r="K235" s="225" t="s">
        <v>847</v>
      </c>
      <c r="L235" s="31" t="s">
        <v>848</v>
      </c>
      <c r="M235" s="31" t="s">
        <v>849</v>
      </c>
      <c r="N235" s="25" t="s">
        <v>850</v>
      </c>
      <c r="O235" s="26">
        <v>12065155020</v>
      </c>
      <c r="P235" s="215"/>
      <c r="Q235" s="215"/>
      <c r="R235" s="215"/>
      <c r="S235" s="215"/>
      <c r="T235" s="215"/>
      <c r="U235" s="215"/>
      <c r="V235" s="215"/>
      <c r="W235" s="215"/>
      <c r="X235" s="215"/>
      <c r="Y235" s="215"/>
      <c r="Z235" s="215"/>
      <c r="AA235" s="215"/>
      <c r="AB235" s="215"/>
      <c r="AC235" s="215"/>
      <c r="AD235" s="215"/>
      <c r="AE235" s="215"/>
      <c r="AF235" s="215"/>
      <c r="AG235" s="215"/>
      <c r="AH235" s="215"/>
      <c r="AI235" s="215"/>
      <c r="AJ235" s="215"/>
      <c r="AK235" s="215"/>
      <c r="AL235" s="215"/>
      <c r="AM235" s="215"/>
      <c r="AN235" s="25"/>
      <c r="AO235" s="33"/>
      <c r="AP235" s="25"/>
      <c r="AQ235" s="33"/>
      <c r="AR235" s="25"/>
      <c r="AS235" s="33"/>
      <c r="AT235" s="25" t="s">
        <v>851</v>
      </c>
      <c r="AU235" s="25" t="s">
        <v>852</v>
      </c>
      <c r="AV235" s="31"/>
      <c r="AW235" s="31"/>
      <c r="AX235" s="31"/>
      <c r="AY235" s="31"/>
      <c r="AZ235" s="31"/>
      <c r="BA235" s="31" t="s">
        <v>853</v>
      </c>
      <c r="BB235" s="31"/>
      <c r="BC235" s="31"/>
      <c r="BD235" s="223"/>
      <c r="BE235" s="31"/>
      <c r="BF235" s="31"/>
      <c r="BG235" s="31"/>
      <c r="BH235" s="31"/>
      <c r="BI235" s="31"/>
      <c r="BJ235" s="25"/>
      <c r="BK235" s="32">
        <v>66</v>
      </c>
      <c r="BL235" s="217" t="s">
        <v>854</v>
      </c>
      <c r="BM235" s="218">
        <v>10038568738506</v>
      </c>
      <c r="BN235" s="36"/>
      <c r="BO235" s="36"/>
      <c r="BP235" s="36"/>
      <c r="BQ235" s="240">
        <v>4.2300000000000004</v>
      </c>
      <c r="BR235" s="240">
        <v>5.8</v>
      </c>
      <c r="BS235" s="38"/>
      <c r="BT235" s="91">
        <f>4.25+(0.018*2)</f>
        <v>4.2859999999999996</v>
      </c>
      <c r="BU235" s="91">
        <f>4.25+(0.018*2)</f>
        <v>4.2859999999999996</v>
      </c>
      <c r="BV235" s="91">
        <f>6+(0.018*4)</f>
        <v>6.0720000000000001</v>
      </c>
      <c r="BW235" s="91">
        <f t="shared" si="54"/>
        <v>6.4549422055555541E-2</v>
      </c>
      <c r="BX235" s="91">
        <f>1.7+0.1</f>
        <v>1.8</v>
      </c>
      <c r="BY235" s="220">
        <f>18+(0.153*2)</f>
        <v>18.306000000000001</v>
      </c>
      <c r="BZ235" s="220">
        <f>13.5+(0.153*2)</f>
        <v>13.805999999999999</v>
      </c>
      <c r="CA235" s="220">
        <f>6.25+(0.153*4)</f>
        <v>6.8620000000000001</v>
      </c>
      <c r="CB235" s="91">
        <f t="shared" si="46"/>
        <v>1.0036176783749999</v>
      </c>
      <c r="CC235" s="93">
        <f>(BX235*6)+0.25</f>
        <v>11.05</v>
      </c>
      <c r="CD235" s="301"/>
      <c r="CE235" s="301"/>
      <c r="CF235" s="212" t="s">
        <v>134</v>
      </c>
      <c r="CG235" s="212">
        <v>12</v>
      </c>
      <c r="CH235" s="212">
        <v>6</v>
      </c>
      <c r="CI235" s="212">
        <v>6</v>
      </c>
      <c r="CJ235" s="27">
        <f t="shared" si="47"/>
        <v>432</v>
      </c>
      <c r="CK235" s="27">
        <f t="shared" si="53"/>
        <v>447.80000000000007</v>
      </c>
      <c r="CL235" s="212" t="s">
        <v>256</v>
      </c>
      <c r="CM235" s="27" t="s">
        <v>136</v>
      </c>
      <c r="CN235" s="237"/>
      <c r="CO235" s="237"/>
      <c r="CP235" s="14"/>
      <c r="CQ235" s="14"/>
      <c r="CR235" s="14"/>
      <c r="CS235" s="14"/>
      <c r="CT235" s="14"/>
      <c r="CU235" s="14"/>
    </row>
    <row r="236" spans="1:99" s="105" customFormat="1" x14ac:dyDescent="0.25">
      <c r="A236" s="239">
        <v>41913</v>
      </c>
      <c r="B236" s="239"/>
      <c r="C236" s="213" t="s">
        <v>855</v>
      </c>
      <c r="D236" s="213" t="s">
        <v>54</v>
      </c>
      <c r="E236" s="213" t="s">
        <v>438</v>
      </c>
      <c r="F236" s="25" t="s">
        <v>856</v>
      </c>
      <c r="G236" s="25"/>
      <c r="H236" s="25"/>
      <c r="I236" s="25"/>
      <c r="J236" s="31" t="s">
        <v>730</v>
      </c>
      <c r="K236" s="225" t="s">
        <v>857</v>
      </c>
      <c r="L236" s="31"/>
      <c r="M236" s="31"/>
      <c r="N236" s="25"/>
      <c r="O236" s="26"/>
      <c r="P236" s="215"/>
      <c r="Q236" s="215"/>
      <c r="R236" s="215"/>
      <c r="S236" s="215"/>
      <c r="T236" s="215"/>
      <c r="U236" s="215"/>
      <c r="V236" s="215"/>
      <c r="W236" s="215"/>
      <c r="X236" s="215"/>
      <c r="Y236" s="215"/>
      <c r="Z236" s="215"/>
      <c r="AA236" s="215"/>
      <c r="AB236" s="215"/>
      <c r="AC236" s="215"/>
      <c r="AD236" s="215"/>
      <c r="AE236" s="215"/>
      <c r="AF236" s="215"/>
      <c r="AG236" s="215"/>
      <c r="AH236" s="215"/>
      <c r="AI236" s="215"/>
      <c r="AJ236" s="215"/>
      <c r="AK236" s="215"/>
      <c r="AL236" s="215"/>
      <c r="AM236" s="215"/>
      <c r="AN236" s="25" t="s">
        <v>858</v>
      </c>
      <c r="AO236" s="33"/>
      <c r="AP236" s="25"/>
      <c r="AQ236" s="33"/>
      <c r="AR236" s="25" t="s">
        <v>859</v>
      </c>
      <c r="AS236" s="33"/>
      <c r="AT236" s="25"/>
      <c r="AU236" s="25"/>
      <c r="AV236" s="31"/>
      <c r="AW236" s="31"/>
      <c r="AX236" s="31"/>
      <c r="AY236" s="31"/>
      <c r="AZ236" s="31"/>
      <c r="BA236" s="31"/>
      <c r="BB236" s="31"/>
      <c r="BC236" s="31"/>
      <c r="BD236" s="223"/>
      <c r="BE236" s="31"/>
      <c r="BF236" s="31"/>
      <c r="BG236" s="31"/>
      <c r="BH236" s="31"/>
      <c r="BI236" s="31"/>
      <c r="BJ236" s="25" t="s">
        <v>860</v>
      </c>
      <c r="BK236" s="32">
        <v>19.29</v>
      </c>
      <c r="BL236" s="171" t="s">
        <v>861</v>
      </c>
      <c r="BM236" s="172">
        <v>10038568737615</v>
      </c>
      <c r="BN236" s="92">
        <v>7.87</v>
      </c>
      <c r="BO236" s="92">
        <v>8.0299999999999994</v>
      </c>
      <c r="BP236" s="92">
        <v>0.79</v>
      </c>
      <c r="BQ236" s="38"/>
      <c r="BR236" s="38"/>
      <c r="BS236" s="38"/>
      <c r="BT236" s="91">
        <f>8.07+(0.02*2)</f>
        <v>8.11</v>
      </c>
      <c r="BU236" s="91">
        <f>0.98+(0.02*2)</f>
        <v>1.02</v>
      </c>
      <c r="BV236" s="91">
        <f>8.27+(0.02*4)</f>
        <v>8.35</v>
      </c>
      <c r="BW236" s="91">
        <f t="shared" si="54"/>
        <v>3.997272569444444E-2</v>
      </c>
      <c r="BX236" s="91">
        <f>0.33+0.1</f>
        <v>0.43000000000000005</v>
      </c>
      <c r="BY236" s="220">
        <f>8.66+(0.125*2)</f>
        <v>8.91</v>
      </c>
      <c r="BZ236" s="220">
        <f>8.46+(0.125*2)</f>
        <v>8.7100000000000009</v>
      </c>
      <c r="CA236" s="220">
        <f>6.5+(0.125*4)</f>
        <v>7</v>
      </c>
      <c r="CB236" s="91">
        <f t="shared" si="46"/>
        <v>0.31437656250000001</v>
      </c>
      <c r="CC236" s="93">
        <f>(BX236*6)+0.25</f>
        <v>2.83</v>
      </c>
      <c r="CD236" s="301"/>
      <c r="CE236" s="301"/>
      <c r="CF236" s="212" t="s">
        <v>134</v>
      </c>
      <c r="CG236" s="212">
        <v>6</v>
      </c>
      <c r="CH236" s="212">
        <v>20</v>
      </c>
      <c r="CI236" s="212">
        <v>7</v>
      </c>
      <c r="CJ236" s="27">
        <f t="shared" si="47"/>
        <v>840</v>
      </c>
      <c r="CK236" s="27">
        <f t="shared" si="53"/>
        <v>446.2</v>
      </c>
      <c r="CL236" s="212" t="s">
        <v>139</v>
      </c>
      <c r="CM236" s="27" t="s">
        <v>136</v>
      </c>
      <c r="CN236" s="237"/>
      <c r="CO236" s="237"/>
      <c r="CP236" s="14"/>
      <c r="CQ236" s="14"/>
      <c r="CR236" s="14"/>
      <c r="CS236" s="14"/>
      <c r="CT236" s="14"/>
      <c r="CU236" s="14"/>
    </row>
    <row r="237" spans="1:99" s="105" customFormat="1" ht="30" x14ac:dyDescent="0.25">
      <c r="A237" s="239">
        <v>41913</v>
      </c>
      <c r="B237" s="239"/>
      <c r="C237" s="213" t="s">
        <v>862</v>
      </c>
      <c r="D237" s="213" t="s">
        <v>54</v>
      </c>
      <c r="E237" s="213" t="s">
        <v>438</v>
      </c>
      <c r="F237" s="26" t="s">
        <v>863</v>
      </c>
      <c r="G237" s="26"/>
      <c r="H237" s="26"/>
      <c r="I237" s="26"/>
      <c r="J237" s="31" t="s">
        <v>721</v>
      </c>
      <c r="K237" s="225" t="s">
        <v>864</v>
      </c>
      <c r="L237" s="31"/>
      <c r="M237" s="31"/>
      <c r="N237" s="25"/>
      <c r="O237" s="26"/>
      <c r="P237" s="215"/>
      <c r="Q237" s="215"/>
      <c r="R237" s="215"/>
      <c r="S237" s="215"/>
      <c r="T237" s="215"/>
      <c r="U237" s="215"/>
      <c r="V237" s="215"/>
      <c r="W237" s="215"/>
      <c r="X237" s="215"/>
      <c r="Y237" s="215"/>
      <c r="Z237" s="215"/>
      <c r="AA237" s="215"/>
      <c r="AB237" s="215"/>
      <c r="AC237" s="215"/>
      <c r="AD237" s="215"/>
      <c r="AE237" s="215"/>
      <c r="AF237" s="215"/>
      <c r="AG237" s="215"/>
      <c r="AH237" s="215"/>
      <c r="AI237" s="215"/>
      <c r="AJ237" s="215"/>
      <c r="AK237" s="215"/>
      <c r="AL237" s="215"/>
      <c r="AM237" s="215"/>
      <c r="AN237" s="25" t="s">
        <v>865</v>
      </c>
      <c r="AO237" s="33"/>
      <c r="AP237" s="25"/>
      <c r="AQ237" s="33"/>
      <c r="AR237" s="25" t="s">
        <v>866</v>
      </c>
      <c r="AS237" s="33"/>
      <c r="AT237" s="25" t="s">
        <v>867</v>
      </c>
      <c r="AU237" s="25"/>
      <c r="AV237" s="31"/>
      <c r="AW237" s="31"/>
      <c r="AX237" s="31"/>
      <c r="AY237" s="31"/>
      <c r="AZ237" s="31"/>
      <c r="BA237" s="31"/>
      <c r="BB237" s="31"/>
      <c r="BC237" s="31"/>
      <c r="BD237" s="223"/>
      <c r="BE237" s="31"/>
      <c r="BF237" s="31"/>
      <c r="BG237" s="31"/>
      <c r="BH237" s="31"/>
      <c r="BI237" s="31"/>
      <c r="BJ237" s="25">
        <v>49980</v>
      </c>
      <c r="BK237" s="32">
        <v>50.91</v>
      </c>
      <c r="BL237" s="232" t="s">
        <v>868</v>
      </c>
      <c r="BM237" s="241">
        <v>10038568737851</v>
      </c>
      <c r="BN237" s="92">
        <v>19.84</v>
      </c>
      <c r="BO237" s="92">
        <v>2.34</v>
      </c>
      <c r="BP237" s="92">
        <v>11.26</v>
      </c>
      <c r="BQ237" s="38"/>
      <c r="BR237" s="38"/>
      <c r="BS237" s="38"/>
      <c r="BT237" s="91">
        <f>19.92+(0.02*2)</f>
        <v>19.96</v>
      </c>
      <c r="BU237" s="91">
        <f>11.42+(0.02*2)</f>
        <v>11.459999999999999</v>
      </c>
      <c r="BV237" s="91">
        <f>2.36+(0.02*4)</f>
        <v>2.44</v>
      </c>
      <c r="BW237" s="91">
        <f t="shared" si="54"/>
        <v>0.32299161111111113</v>
      </c>
      <c r="BX237" s="91">
        <f>1.4+0.1</f>
        <v>1.5</v>
      </c>
      <c r="BY237" s="220">
        <f>20.31+(0.125*2)</f>
        <v>20.56</v>
      </c>
      <c r="BZ237" s="220">
        <f>11.81+(0.125*2)</f>
        <v>12.06</v>
      </c>
      <c r="CA237" s="220">
        <f>14.76+(0.125*4)</f>
        <v>15.26</v>
      </c>
      <c r="CB237" s="91">
        <f t="shared" si="46"/>
        <v>2.1896828333333334</v>
      </c>
      <c r="CC237" s="93">
        <f>(BX237*6)+0.25</f>
        <v>9.25</v>
      </c>
      <c r="CD237" s="301"/>
      <c r="CE237" s="301"/>
      <c r="CF237" s="212" t="s">
        <v>134</v>
      </c>
      <c r="CG237" s="212">
        <v>6</v>
      </c>
      <c r="CH237" s="212">
        <v>6</v>
      </c>
      <c r="CI237" s="212">
        <v>3</v>
      </c>
      <c r="CJ237" s="27">
        <f t="shared" si="47"/>
        <v>108</v>
      </c>
      <c r="CK237" s="27">
        <f t="shared" si="53"/>
        <v>216.5</v>
      </c>
      <c r="CL237" s="212" t="s">
        <v>139</v>
      </c>
      <c r="CM237" s="27" t="s">
        <v>136</v>
      </c>
      <c r="CN237" s="237"/>
      <c r="CO237" s="237"/>
      <c r="CP237" s="14"/>
      <c r="CQ237" s="14"/>
      <c r="CR237" s="14"/>
      <c r="CS237" s="14"/>
      <c r="CT237" s="14"/>
      <c r="CU237" s="14"/>
    </row>
    <row r="238" spans="1:99" s="105" customFormat="1" x14ac:dyDescent="0.25">
      <c r="A238" s="239">
        <v>41897</v>
      </c>
      <c r="B238" s="239"/>
      <c r="C238" s="213" t="s">
        <v>869</v>
      </c>
      <c r="D238" s="213" t="s">
        <v>54</v>
      </c>
      <c r="E238" s="213" t="s">
        <v>59</v>
      </c>
      <c r="F238" s="179" t="s">
        <v>870</v>
      </c>
      <c r="G238" s="179"/>
      <c r="H238" s="179"/>
      <c r="I238" s="179"/>
      <c r="J238" s="31" t="s">
        <v>871</v>
      </c>
      <c r="K238" s="225" t="s">
        <v>872</v>
      </c>
      <c r="L238" s="236"/>
      <c r="M238" s="236"/>
      <c r="N238" s="236"/>
      <c r="O238" s="236"/>
      <c r="P238" s="236"/>
      <c r="Q238" s="236"/>
      <c r="R238" s="236"/>
      <c r="S238" s="236"/>
      <c r="T238" s="236"/>
      <c r="U238" s="236"/>
      <c r="V238" s="236"/>
      <c r="W238" s="236"/>
      <c r="X238" s="236"/>
      <c r="Y238" s="236"/>
      <c r="Z238" s="236"/>
      <c r="AA238" s="236"/>
      <c r="AB238" s="236"/>
      <c r="AC238" s="236"/>
      <c r="AD238" s="236"/>
      <c r="AE238" s="236"/>
      <c r="AF238" s="236"/>
      <c r="AG238" s="236"/>
      <c r="AH238" s="236"/>
      <c r="AI238" s="236"/>
      <c r="AJ238" s="236"/>
      <c r="AK238" s="236"/>
      <c r="AL238" s="236"/>
      <c r="AM238" s="236"/>
      <c r="AN238" s="242"/>
      <c r="AO238" s="242"/>
      <c r="AP238" s="242"/>
      <c r="AQ238" s="242"/>
      <c r="AR238" s="242"/>
      <c r="AS238" s="242"/>
      <c r="AT238" s="242"/>
      <c r="AU238" s="242"/>
      <c r="AV238" s="242"/>
      <c r="AW238" s="242"/>
      <c r="AX238" s="242"/>
      <c r="AY238" s="242"/>
      <c r="AZ238" s="242"/>
      <c r="BA238" s="242"/>
      <c r="BB238" s="242"/>
      <c r="BC238" s="242"/>
      <c r="BD238" s="242"/>
      <c r="BE238" s="242"/>
      <c r="BF238" s="242"/>
      <c r="BG238" s="242"/>
      <c r="BH238" s="242"/>
      <c r="BI238" s="242"/>
      <c r="BJ238" s="242"/>
      <c r="BK238" s="32">
        <v>19.98</v>
      </c>
      <c r="BL238" s="243" t="s">
        <v>873</v>
      </c>
      <c r="BM238" s="243" t="s">
        <v>874</v>
      </c>
      <c r="BN238" s="36"/>
      <c r="BO238" s="36"/>
      <c r="BP238" s="36"/>
      <c r="BQ238" s="91">
        <v>3.65</v>
      </c>
      <c r="BR238" s="91">
        <v>6.48</v>
      </c>
      <c r="BS238" s="36"/>
      <c r="BT238" s="599" t="s">
        <v>875</v>
      </c>
      <c r="BU238" s="599"/>
      <c r="BV238" s="599"/>
      <c r="BW238" s="599"/>
      <c r="BX238" s="599"/>
      <c r="BY238" s="220">
        <v>15.81</v>
      </c>
      <c r="BZ238" s="220">
        <v>11.93</v>
      </c>
      <c r="CA238" s="220">
        <v>7.5</v>
      </c>
      <c r="CB238" s="91">
        <f t="shared" si="46"/>
        <v>0.81863411458333324</v>
      </c>
      <c r="CC238" s="220">
        <f>1.5*12+0.4</f>
        <v>18.399999999999999</v>
      </c>
      <c r="CD238" s="302"/>
      <c r="CE238" s="302"/>
      <c r="CF238" s="212" t="s">
        <v>134</v>
      </c>
      <c r="CG238" s="212">
        <v>12</v>
      </c>
      <c r="CH238" s="212">
        <v>10</v>
      </c>
      <c r="CI238" s="212">
        <v>6</v>
      </c>
      <c r="CJ238" s="27">
        <f t="shared" si="47"/>
        <v>720</v>
      </c>
      <c r="CK238" s="27">
        <f t="shared" si="53"/>
        <v>1154</v>
      </c>
      <c r="CL238" s="212" t="s">
        <v>256</v>
      </c>
      <c r="CM238" s="27" t="s">
        <v>136</v>
      </c>
      <c r="CN238" s="237"/>
      <c r="CO238" s="237"/>
      <c r="CP238" s="14"/>
      <c r="CQ238" s="14"/>
      <c r="CR238" s="14"/>
      <c r="CS238" s="14"/>
      <c r="CT238" s="14"/>
      <c r="CU238" s="14"/>
    </row>
    <row r="239" spans="1:99" s="105" customFormat="1" x14ac:dyDescent="0.25">
      <c r="A239" s="239">
        <v>41883</v>
      </c>
      <c r="B239" s="239"/>
      <c r="C239" s="213" t="s">
        <v>70</v>
      </c>
      <c r="D239" s="213" t="s">
        <v>54</v>
      </c>
      <c r="E239" s="213" t="s">
        <v>876</v>
      </c>
      <c r="F239" s="179" t="s">
        <v>877</v>
      </c>
      <c r="G239" s="179"/>
      <c r="H239" s="179"/>
      <c r="I239" s="179"/>
      <c r="J239" s="31" t="s">
        <v>878</v>
      </c>
      <c r="K239" s="31" t="s">
        <v>879</v>
      </c>
      <c r="L239" s="236"/>
      <c r="M239" s="236"/>
      <c r="N239" s="236"/>
      <c r="O239" s="236"/>
      <c r="P239" s="236"/>
      <c r="Q239" s="236"/>
      <c r="R239" s="236"/>
      <c r="S239" s="236"/>
      <c r="T239" s="236"/>
      <c r="U239" s="236"/>
      <c r="V239" s="236"/>
      <c r="W239" s="236"/>
      <c r="X239" s="236"/>
      <c r="Y239" s="236"/>
      <c r="Z239" s="236"/>
      <c r="AA239" s="236"/>
      <c r="AB239" s="236"/>
      <c r="AC239" s="236"/>
      <c r="AD239" s="236"/>
      <c r="AE239" s="236"/>
      <c r="AF239" s="236"/>
      <c r="AG239" s="236"/>
      <c r="AH239" s="236"/>
      <c r="AI239" s="236"/>
      <c r="AJ239" s="236"/>
      <c r="AK239" s="236"/>
      <c r="AL239" s="236"/>
      <c r="AM239" s="236"/>
      <c r="AN239" s="242"/>
      <c r="AO239" s="242"/>
      <c r="AP239" s="242"/>
      <c r="AQ239" s="242"/>
      <c r="AR239" s="25" t="s">
        <v>880</v>
      </c>
      <c r="AS239" s="33"/>
      <c r="AT239" s="25"/>
      <c r="AU239" s="25"/>
      <c r="AV239" s="31"/>
      <c r="AW239" s="31"/>
      <c r="AX239" s="31"/>
      <c r="AY239" s="31"/>
      <c r="AZ239" s="31"/>
      <c r="BA239" s="31"/>
      <c r="BB239" s="31"/>
      <c r="BC239" s="31"/>
      <c r="BD239" s="223"/>
      <c r="BE239" s="31"/>
      <c r="BF239" s="31"/>
      <c r="BG239" s="31"/>
      <c r="BH239" s="31"/>
      <c r="BI239" s="31"/>
      <c r="BJ239" s="25"/>
      <c r="BK239" s="32">
        <v>27.65</v>
      </c>
      <c r="BL239" s="243" t="s">
        <v>881</v>
      </c>
      <c r="BM239" s="243" t="s">
        <v>882</v>
      </c>
      <c r="BN239" s="36"/>
      <c r="BO239" s="36"/>
      <c r="BP239" s="36"/>
      <c r="BQ239" s="214">
        <v>4.66</v>
      </c>
      <c r="BR239" s="214">
        <v>10.6</v>
      </c>
      <c r="BS239" s="36"/>
      <c r="BT239" s="598" t="s">
        <v>355</v>
      </c>
      <c r="BU239" s="598"/>
      <c r="BV239" s="598"/>
      <c r="BW239" s="598"/>
      <c r="BX239" s="598"/>
      <c r="BY239" s="93">
        <v>11.125</v>
      </c>
      <c r="BZ239" s="93">
        <v>5.5</v>
      </c>
      <c r="CA239" s="93">
        <v>5.5</v>
      </c>
      <c r="CB239" s="91">
        <f>(CA239*BZ239*BY239)/1728</f>
        <v>0.19475188078703703</v>
      </c>
      <c r="CC239" s="212">
        <f>0.55+0.25</f>
        <v>0.8</v>
      </c>
      <c r="CD239" s="303"/>
      <c r="CE239" s="303"/>
      <c r="CF239" s="212" t="s">
        <v>134</v>
      </c>
      <c r="CG239" s="212">
        <v>1</v>
      </c>
      <c r="CH239" s="212">
        <v>48</v>
      </c>
      <c r="CI239" s="212">
        <v>4</v>
      </c>
      <c r="CJ239" s="27">
        <f>CG239*CH239*CI239</f>
        <v>192</v>
      </c>
      <c r="CK239" s="27">
        <f>(CC239*CH239*CI239)+50</f>
        <v>203.60000000000002</v>
      </c>
      <c r="CL239" s="27" t="s">
        <v>256</v>
      </c>
      <c r="CM239" s="27" t="s">
        <v>136</v>
      </c>
      <c r="CN239" s="237"/>
      <c r="CO239" s="237"/>
      <c r="CP239" s="14"/>
      <c r="CQ239" s="14"/>
      <c r="CR239" s="14"/>
      <c r="CS239" s="14"/>
      <c r="CT239" s="14"/>
      <c r="CU239" s="14"/>
    </row>
    <row r="240" spans="1:99" s="105" customFormat="1" x14ac:dyDescent="0.25">
      <c r="A240" s="239">
        <v>41883</v>
      </c>
      <c r="B240" s="239"/>
      <c r="C240" s="213" t="s">
        <v>883</v>
      </c>
      <c r="D240" s="213" t="s">
        <v>54</v>
      </c>
      <c r="E240" s="213" t="s">
        <v>876</v>
      </c>
      <c r="F240" s="175" t="s">
        <v>884</v>
      </c>
      <c r="G240" s="175"/>
      <c r="H240" s="175"/>
      <c r="I240" s="175"/>
      <c r="J240" s="223" t="s">
        <v>226</v>
      </c>
      <c r="K240" s="31" t="s">
        <v>885</v>
      </c>
      <c r="L240" s="236"/>
      <c r="M240" s="236"/>
      <c r="N240" s="236"/>
      <c r="O240" s="236"/>
      <c r="P240" s="236"/>
      <c r="Q240" s="236"/>
      <c r="R240" s="236"/>
      <c r="S240" s="236"/>
      <c r="T240" s="236"/>
      <c r="U240" s="236"/>
      <c r="V240" s="236"/>
      <c r="W240" s="236"/>
      <c r="X240" s="236"/>
      <c r="Y240" s="236"/>
      <c r="Z240" s="236"/>
      <c r="AA240" s="236"/>
      <c r="AB240" s="236"/>
      <c r="AC240" s="236"/>
      <c r="AD240" s="236"/>
      <c r="AE240" s="236"/>
      <c r="AF240" s="236"/>
      <c r="AG240" s="236"/>
      <c r="AH240" s="236"/>
      <c r="AI240" s="236"/>
      <c r="AJ240" s="236"/>
      <c r="AK240" s="236"/>
      <c r="AL240" s="236"/>
      <c r="AM240" s="236"/>
      <c r="AN240" s="242"/>
      <c r="AO240" s="242"/>
      <c r="AP240" s="242"/>
      <c r="AQ240" s="242"/>
      <c r="AR240" s="25"/>
      <c r="AS240" s="33"/>
      <c r="AT240" s="25"/>
      <c r="AU240" s="25"/>
      <c r="AV240" s="31"/>
      <c r="AW240" s="31"/>
      <c r="AX240" s="31"/>
      <c r="AY240" s="31"/>
      <c r="AZ240" s="31"/>
      <c r="BA240" s="31"/>
      <c r="BB240" s="31"/>
      <c r="BC240" s="31"/>
      <c r="BD240" s="223"/>
      <c r="BE240" s="31"/>
      <c r="BF240" s="31"/>
      <c r="BG240" s="31"/>
      <c r="BH240" s="31"/>
      <c r="BI240" s="31"/>
      <c r="BJ240" s="25"/>
      <c r="BK240" s="32">
        <v>40.32</v>
      </c>
      <c r="BL240" s="243" t="s">
        <v>886</v>
      </c>
      <c r="BM240" s="243" t="s">
        <v>887</v>
      </c>
      <c r="BN240" s="36"/>
      <c r="BO240" s="36"/>
      <c r="BP240" s="36"/>
      <c r="BQ240" s="92">
        <v>4.13</v>
      </c>
      <c r="BR240" s="92">
        <v>10.75</v>
      </c>
      <c r="BS240" s="36"/>
      <c r="BT240" s="598" t="s">
        <v>355</v>
      </c>
      <c r="BU240" s="598"/>
      <c r="BV240" s="598"/>
      <c r="BW240" s="598"/>
      <c r="BX240" s="598"/>
      <c r="BY240" s="93">
        <v>4.4939999999999998</v>
      </c>
      <c r="BZ240" s="93">
        <v>4.4939999999999998</v>
      </c>
      <c r="CA240" s="93">
        <v>11.612</v>
      </c>
      <c r="CB240" s="91">
        <f>(CA240*BZ240*BY240)/1728</f>
        <v>0.13571549191666665</v>
      </c>
      <c r="CC240" s="211">
        <v>3.1</v>
      </c>
      <c r="CD240" s="211"/>
      <c r="CE240" s="211"/>
      <c r="CF240" s="104" t="s">
        <v>134</v>
      </c>
      <c r="CG240" s="27">
        <v>1</v>
      </c>
      <c r="CH240" s="27">
        <v>90</v>
      </c>
      <c r="CI240" s="27">
        <v>3</v>
      </c>
      <c r="CJ240" s="27">
        <f>CG240*CH240*CI240</f>
        <v>270</v>
      </c>
      <c r="CK240" s="27">
        <f>(CC240*CH240*CI240)+50</f>
        <v>887</v>
      </c>
      <c r="CL240" s="27" t="s">
        <v>256</v>
      </c>
      <c r="CM240" s="27" t="s">
        <v>136</v>
      </c>
      <c r="CN240" s="237"/>
      <c r="CO240" s="237"/>
      <c r="CP240" s="14"/>
      <c r="CQ240" s="14"/>
      <c r="CR240" s="14"/>
      <c r="CS240" s="14"/>
      <c r="CT240" s="14"/>
      <c r="CU240" s="14"/>
    </row>
    <row r="241" spans="1:99" s="105" customFormat="1" x14ac:dyDescent="0.25">
      <c r="A241" s="239">
        <v>41883</v>
      </c>
      <c r="B241" s="239"/>
      <c r="C241" s="213" t="s">
        <v>888</v>
      </c>
      <c r="D241" s="213" t="s">
        <v>54</v>
      </c>
      <c r="E241" s="213" t="s">
        <v>59</v>
      </c>
      <c r="F241" s="179" t="s">
        <v>889</v>
      </c>
      <c r="G241" s="179"/>
      <c r="H241" s="179"/>
      <c r="I241" s="179"/>
      <c r="J241" s="223" t="s">
        <v>226</v>
      </c>
      <c r="K241" s="31">
        <v>3619554</v>
      </c>
      <c r="L241" s="236"/>
      <c r="M241" s="236"/>
      <c r="N241" s="236"/>
      <c r="O241" s="236"/>
      <c r="P241" s="236"/>
      <c r="Q241" s="236"/>
      <c r="R241" s="236"/>
      <c r="S241" s="236"/>
      <c r="T241" s="236"/>
      <c r="U241" s="236"/>
      <c r="V241" s="236"/>
      <c r="W241" s="236"/>
      <c r="X241" s="236"/>
      <c r="Y241" s="236"/>
      <c r="Z241" s="236"/>
      <c r="AA241" s="236"/>
      <c r="AB241" s="236"/>
      <c r="AC241" s="236"/>
      <c r="AD241" s="236"/>
      <c r="AE241" s="236"/>
      <c r="AF241" s="236"/>
      <c r="AG241" s="236"/>
      <c r="AH241" s="236"/>
      <c r="AI241" s="236"/>
      <c r="AJ241" s="236"/>
      <c r="AK241" s="236"/>
      <c r="AL241" s="236"/>
      <c r="AM241" s="236"/>
      <c r="AN241" s="242"/>
      <c r="AO241" s="242"/>
      <c r="AP241" s="242"/>
      <c r="AQ241" s="242"/>
      <c r="AR241" s="25"/>
      <c r="AS241" s="33"/>
      <c r="AT241" s="25"/>
      <c r="AU241" s="25"/>
      <c r="AV241" s="31"/>
      <c r="AW241" s="31"/>
      <c r="AX241" s="31"/>
      <c r="AY241" s="31"/>
      <c r="AZ241" s="31"/>
      <c r="BA241" s="31"/>
      <c r="BB241" s="31"/>
      <c r="BC241" s="31"/>
      <c r="BD241" s="223"/>
      <c r="BE241" s="31"/>
      <c r="BF241" s="31"/>
      <c r="BG241" s="31"/>
      <c r="BH241" s="31"/>
      <c r="BI241" s="31"/>
      <c r="BJ241" s="25"/>
      <c r="BK241" s="32">
        <v>34.68</v>
      </c>
      <c r="BL241" s="243" t="s">
        <v>890</v>
      </c>
      <c r="BM241" s="243" t="s">
        <v>891</v>
      </c>
      <c r="BN241" s="36"/>
      <c r="BO241" s="36"/>
      <c r="BP241" s="36"/>
      <c r="BQ241" s="214">
        <v>3.46</v>
      </c>
      <c r="BR241" s="214">
        <v>6.04</v>
      </c>
      <c r="BS241" s="36"/>
      <c r="BT241" s="599" t="s">
        <v>875</v>
      </c>
      <c r="BU241" s="599"/>
      <c r="BV241" s="599"/>
      <c r="BW241" s="599"/>
      <c r="BX241" s="599"/>
      <c r="BY241" s="220">
        <v>10.555999999999999</v>
      </c>
      <c r="BZ241" s="220">
        <v>7.181</v>
      </c>
      <c r="CA241" s="220">
        <v>8.8620000000000001</v>
      </c>
      <c r="CB241" s="91">
        <f>(CA241*BZ241*BY241)/1728</f>
        <v>0.38875171309722217</v>
      </c>
      <c r="CC241" s="212">
        <v>6.4</v>
      </c>
      <c r="CD241" s="303"/>
      <c r="CE241" s="303"/>
      <c r="CF241" s="104" t="s">
        <v>134</v>
      </c>
      <c r="CG241" s="212">
        <v>6</v>
      </c>
      <c r="CH241" s="212">
        <v>20</v>
      </c>
      <c r="CI241" s="212">
        <v>5</v>
      </c>
      <c r="CJ241" s="27">
        <f>CG241*CH241*CI241</f>
        <v>600</v>
      </c>
      <c r="CK241" s="27">
        <f>(CC241*CH241*CI241)+50</f>
        <v>690</v>
      </c>
      <c r="CL241" s="27" t="s">
        <v>256</v>
      </c>
      <c r="CM241" s="27" t="s">
        <v>136</v>
      </c>
      <c r="CN241" s="237"/>
      <c r="CO241" s="237"/>
      <c r="CP241" s="14"/>
      <c r="CQ241" s="14"/>
      <c r="CR241" s="14"/>
      <c r="CS241" s="14"/>
      <c r="CT241" s="14"/>
      <c r="CU241" s="14"/>
    </row>
    <row r="242" spans="1:99" s="105" customFormat="1" x14ac:dyDescent="0.25">
      <c r="A242" s="239">
        <v>41866</v>
      </c>
      <c r="B242" s="239"/>
      <c r="C242" s="213" t="s">
        <v>892</v>
      </c>
      <c r="D242" s="213" t="s">
        <v>54</v>
      </c>
      <c r="E242" s="213" t="s">
        <v>59</v>
      </c>
      <c r="F242" s="175" t="s">
        <v>893</v>
      </c>
      <c r="G242" s="175"/>
      <c r="H242" s="175"/>
      <c r="I242" s="175"/>
      <c r="J242" s="31" t="s">
        <v>894</v>
      </c>
      <c r="K242" s="31">
        <v>2864993</v>
      </c>
      <c r="L242" s="31"/>
      <c r="M242" s="31"/>
      <c r="N242" s="25"/>
      <c r="O242" s="26"/>
      <c r="P242" s="215"/>
      <c r="Q242" s="215"/>
      <c r="R242" s="215"/>
      <c r="S242" s="215"/>
      <c r="T242" s="236"/>
      <c r="U242" s="236"/>
      <c r="V242" s="236"/>
      <c r="W242" s="236"/>
      <c r="X242" s="236"/>
      <c r="Y242" s="236"/>
      <c r="Z242" s="236"/>
      <c r="AA242" s="236"/>
      <c r="AB242" s="236"/>
      <c r="AC242" s="236"/>
      <c r="AD242" s="236"/>
      <c r="AE242" s="236"/>
      <c r="AF242" s="236"/>
      <c r="AG242" s="236"/>
      <c r="AH242" s="236"/>
      <c r="AI242" s="236"/>
      <c r="AJ242" s="236"/>
      <c r="AK242" s="236"/>
      <c r="AL242" s="236"/>
      <c r="AM242" s="236"/>
      <c r="AN242" s="25" t="s">
        <v>895</v>
      </c>
      <c r="AO242" s="33"/>
      <c r="AP242" s="25"/>
      <c r="AQ242" s="33"/>
      <c r="AR242" s="25" t="s">
        <v>896</v>
      </c>
      <c r="AS242" s="33"/>
      <c r="AT242" s="25" t="s">
        <v>897</v>
      </c>
      <c r="AU242" s="25"/>
      <c r="AV242" s="31"/>
      <c r="AW242" s="31"/>
      <c r="AX242" s="31"/>
      <c r="AY242" s="31"/>
      <c r="AZ242" s="31"/>
      <c r="BA242" s="31"/>
      <c r="BB242" s="31"/>
      <c r="BC242" s="31"/>
      <c r="BD242" s="223"/>
      <c r="BE242" s="31"/>
      <c r="BF242" s="31"/>
      <c r="BG242" s="31"/>
      <c r="BH242" s="31"/>
      <c r="BI242" s="31"/>
      <c r="BJ242" s="25"/>
      <c r="BK242" s="32">
        <v>62.99</v>
      </c>
      <c r="BL242" s="243" t="s">
        <v>898</v>
      </c>
      <c r="BM242" s="243" t="s">
        <v>899</v>
      </c>
      <c r="BN242" s="243"/>
      <c r="BO242" s="243"/>
      <c r="BP242" s="243"/>
      <c r="BQ242" s="243"/>
      <c r="BR242" s="243"/>
      <c r="BS242" s="243"/>
      <c r="BT242" s="599" t="s">
        <v>875</v>
      </c>
      <c r="BU242" s="599"/>
      <c r="BV242" s="599"/>
      <c r="BW242" s="599"/>
      <c r="BX242" s="599"/>
      <c r="BY242" s="93">
        <v>14.87</v>
      </c>
      <c r="BZ242" s="93">
        <v>10</v>
      </c>
      <c r="CA242" s="93">
        <v>10.5</v>
      </c>
      <c r="CB242" s="91">
        <f t="shared" ref="CB242:CB243" si="55">(CA242*BZ242*BY242)/1728</f>
        <v>0.90355902777777775</v>
      </c>
      <c r="CC242" s="211">
        <f>4.012+0.25</f>
        <v>4.2619999999999996</v>
      </c>
      <c r="CD242" s="211"/>
      <c r="CE242" s="211"/>
      <c r="CF242" s="104" t="s">
        <v>134</v>
      </c>
      <c r="CG242" s="27">
        <v>6</v>
      </c>
      <c r="CH242" s="27">
        <v>12</v>
      </c>
      <c r="CI242" s="27">
        <v>4</v>
      </c>
      <c r="CJ242" s="27">
        <f>CG242*CH242*CI242</f>
        <v>288</v>
      </c>
      <c r="CK242" s="27">
        <f>(CC242*CH242*CI242)+50</f>
        <v>254.57599999999996</v>
      </c>
      <c r="CL242" s="27" t="s">
        <v>256</v>
      </c>
      <c r="CM242" s="27" t="s">
        <v>136</v>
      </c>
      <c r="CN242" s="14"/>
      <c r="CO242" s="14"/>
      <c r="CP242" s="14"/>
      <c r="CQ242" s="14"/>
      <c r="CR242" s="14"/>
      <c r="CS242" s="14"/>
      <c r="CT242" s="14"/>
      <c r="CU242" s="14"/>
    </row>
    <row r="243" spans="1:99" s="105" customFormat="1" x14ac:dyDescent="0.25">
      <c r="A243" s="239">
        <v>41866</v>
      </c>
      <c r="B243" s="239"/>
      <c r="C243" s="213" t="s">
        <v>900</v>
      </c>
      <c r="D243" s="213" t="s">
        <v>54</v>
      </c>
      <c r="E243" s="213" t="s">
        <v>59</v>
      </c>
      <c r="F243" s="175" t="s">
        <v>901</v>
      </c>
      <c r="G243" s="175"/>
      <c r="H243" s="175"/>
      <c r="I243" s="175"/>
      <c r="J243" s="31" t="s">
        <v>129</v>
      </c>
      <c r="K243" s="31" t="s">
        <v>902</v>
      </c>
      <c r="L243" s="31" t="s">
        <v>903</v>
      </c>
      <c r="M243" s="31" t="s">
        <v>904</v>
      </c>
      <c r="N243" s="25"/>
      <c r="O243" s="26"/>
      <c r="P243" s="215"/>
      <c r="Q243" s="215"/>
      <c r="R243" s="215"/>
      <c r="S243" s="215"/>
      <c r="T243" s="236"/>
      <c r="U243" s="236"/>
      <c r="V243" s="236"/>
      <c r="W243" s="236"/>
      <c r="X243" s="236"/>
      <c r="Y243" s="236"/>
      <c r="Z243" s="236"/>
      <c r="AA243" s="236"/>
      <c r="AB243" s="236"/>
      <c r="AC243" s="236"/>
      <c r="AD243" s="236"/>
      <c r="AE243" s="236"/>
      <c r="AF243" s="236"/>
      <c r="AG243" s="236"/>
      <c r="AH243" s="236"/>
      <c r="AI243" s="236"/>
      <c r="AJ243" s="236"/>
      <c r="AK243" s="236"/>
      <c r="AL243" s="236"/>
      <c r="AM243" s="236"/>
      <c r="AN243" s="25"/>
      <c r="AO243" s="33"/>
      <c r="AP243" s="25"/>
      <c r="AQ243" s="33"/>
      <c r="AR243" s="25"/>
      <c r="AS243" s="33"/>
      <c r="AT243" s="25"/>
      <c r="AU243" s="25"/>
      <c r="AV243" s="31"/>
      <c r="AW243" s="31"/>
      <c r="AX243" s="31"/>
      <c r="AY243" s="31"/>
      <c r="AZ243" s="31"/>
      <c r="BA243" s="31"/>
      <c r="BB243" s="31"/>
      <c r="BC243" s="31"/>
      <c r="BD243" s="223"/>
      <c r="BE243" s="31"/>
      <c r="BF243" s="31"/>
      <c r="BG243" s="31"/>
      <c r="BH243" s="31"/>
      <c r="BI243" s="31"/>
      <c r="BJ243" s="25"/>
      <c r="BK243" s="32">
        <v>174.64</v>
      </c>
      <c r="BL243" s="243" t="s">
        <v>905</v>
      </c>
      <c r="BM243" s="243" t="s">
        <v>906</v>
      </c>
      <c r="BN243" s="243"/>
      <c r="BO243" s="243"/>
      <c r="BP243" s="243"/>
      <c r="BQ243" s="243"/>
      <c r="BR243" s="243"/>
      <c r="BS243" s="243"/>
      <c r="BT243" s="598" t="s">
        <v>355</v>
      </c>
      <c r="BU243" s="598"/>
      <c r="BV243" s="598"/>
      <c r="BW243" s="598"/>
      <c r="BX243" s="598"/>
      <c r="BY243" s="93">
        <v>6.75</v>
      </c>
      <c r="BZ243" s="93">
        <v>6.25</v>
      </c>
      <c r="CA243" s="93">
        <v>12.12</v>
      </c>
      <c r="CB243" s="91">
        <f t="shared" si="55"/>
        <v>0.2958984375</v>
      </c>
      <c r="CC243" s="212">
        <v>1.65</v>
      </c>
      <c r="CD243" s="303"/>
      <c r="CE243" s="303"/>
      <c r="CF243" s="212" t="s">
        <v>134</v>
      </c>
      <c r="CG243" s="212">
        <v>1</v>
      </c>
      <c r="CH243" s="212">
        <v>42</v>
      </c>
      <c r="CI243" s="212">
        <v>3</v>
      </c>
      <c r="CJ243" s="27">
        <f t="shared" ref="CJ243" si="56">CG243*CH243*CI243</f>
        <v>126</v>
      </c>
      <c r="CK243" s="27">
        <f t="shared" ref="CK243" si="57">(CC243*CH243*CI243)+50</f>
        <v>257.89999999999998</v>
      </c>
      <c r="CL243" s="27" t="s">
        <v>316</v>
      </c>
      <c r="CM243" s="27" t="s">
        <v>136</v>
      </c>
      <c r="CN243" s="14"/>
      <c r="CO243" s="14"/>
      <c r="CP243" s="14"/>
      <c r="CQ243" s="14"/>
      <c r="CR243" s="14"/>
      <c r="CS243" s="14"/>
      <c r="CT243" s="14"/>
      <c r="CU243" s="14"/>
    </row>
    <row r="244" spans="1:99" s="105" customFormat="1" x14ac:dyDescent="0.25">
      <c r="A244" s="239">
        <v>41852</v>
      </c>
      <c r="B244" s="239"/>
      <c r="C244" s="213" t="s">
        <v>907</v>
      </c>
      <c r="D244" s="213" t="s">
        <v>54</v>
      </c>
      <c r="E244" s="244" t="s">
        <v>908</v>
      </c>
      <c r="F244" s="175" t="s">
        <v>909</v>
      </c>
      <c r="G244" s="175"/>
      <c r="H244" s="175"/>
      <c r="I244" s="175"/>
      <c r="J244" s="31" t="s">
        <v>350</v>
      </c>
      <c r="K244" s="31" t="s">
        <v>910</v>
      </c>
      <c r="L244" s="31" t="s">
        <v>350</v>
      </c>
      <c r="M244" s="31" t="s">
        <v>911</v>
      </c>
      <c r="N244" s="25"/>
      <c r="O244" s="26"/>
      <c r="P244" s="215"/>
      <c r="Q244" s="215"/>
      <c r="R244" s="215"/>
      <c r="S244" s="215"/>
      <c r="T244" s="215"/>
      <c r="U244" s="215"/>
      <c r="V244" s="215"/>
      <c r="W244" s="215"/>
      <c r="X244" s="215"/>
      <c r="Y244" s="215"/>
      <c r="Z244" s="215"/>
      <c r="AA244" s="215"/>
      <c r="AB244" s="215"/>
      <c r="AC244" s="215"/>
      <c r="AD244" s="215"/>
      <c r="AE244" s="215"/>
      <c r="AF244" s="215"/>
      <c r="AG244" s="215"/>
      <c r="AH244" s="215"/>
      <c r="AI244" s="215"/>
      <c r="AJ244" s="215"/>
      <c r="AK244" s="215"/>
      <c r="AL244" s="215"/>
      <c r="AM244" s="215"/>
      <c r="AN244" s="25" t="s">
        <v>912</v>
      </c>
      <c r="AO244" s="33"/>
      <c r="AP244" s="25"/>
      <c r="AQ244" s="33"/>
      <c r="AR244" s="25" t="s">
        <v>913</v>
      </c>
      <c r="AS244" s="33"/>
      <c r="AT244" s="25" t="s">
        <v>914</v>
      </c>
      <c r="AU244" s="25"/>
      <c r="AV244" s="31"/>
      <c r="AW244" s="31"/>
      <c r="AX244" s="31"/>
      <c r="AY244" s="31"/>
      <c r="AZ244" s="31"/>
      <c r="BA244" s="31"/>
      <c r="BB244" s="31"/>
      <c r="BC244" s="31"/>
      <c r="BD244" s="223"/>
      <c r="BE244" s="31"/>
      <c r="BF244" s="31"/>
      <c r="BG244" s="31"/>
      <c r="BH244" s="31"/>
      <c r="BI244" s="31"/>
      <c r="BJ244" s="25">
        <v>49096</v>
      </c>
      <c r="BK244" s="32">
        <v>52.98</v>
      </c>
      <c r="BL244" s="45" t="s">
        <v>915</v>
      </c>
      <c r="BM244" s="245">
        <v>10038568738407</v>
      </c>
      <c r="BN244" s="245"/>
      <c r="BO244" s="245"/>
      <c r="BP244" s="245"/>
      <c r="BQ244" s="245"/>
      <c r="BR244" s="245"/>
      <c r="BS244" s="245"/>
      <c r="BT244" s="212" t="s">
        <v>916</v>
      </c>
      <c r="BU244" s="212" t="s">
        <v>916</v>
      </c>
      <c r="BV244" s="212" t="s">
        <v>916</v>
      </c>
      <c r="BW244" s="91" t="s">
        <v>917</v>
      </c>
      <c r="BX244" s="212" t="s">
        <v>918</v>
      </c>
      <c r="BY244" s="93">
        <v>24</v>
      </c>
      <c r="BZ244" s="93">
        <v>5.5</v>
      </c>
      <c r="CA244" s="93">
        <v>3.5</v>
      </c>
      <c r="CB244" s="91" t="s">
        <v>917</v>
      </c>
      <c r="CC244" s="212" t="s">
        <v>918</v>
      </c>
      <c r="CD244" s="303"/>
      <c r="CE244" s="303"/>
      <c r="CF244" s="104" t="s">
        <v>134</v>
      </c>
      <c r="CG244" s="27">
        <v>1</v>
      </c>
      <c r="CH244" s="27">
        <v>14</v>
      </c>
      <c r="CI244" s="27">
        <v>12</v>
      </c>
      <c r="CJ244" s="27">
        <v>168</v>
      </c>
      <c r="CK244" s="27" t="s">
        <v>919</v>
      </c>
      <c r="CL244" s="27" t="s">
        <v>920</v>
      </c>
      <c r="CM244" s="27" t="s">
        <v>136</v>
      </c>
      <c r="CN244" s="14"/>
      <c r="CO244" s="14"/>
      <c r="CP244" s="14"/>
      <c r="CQ244" s="14"/>
      <c r="CR244" s="14"/>
      <c r="CS244" s="14"/>
      <c r="CT244" s="14"/>
      <c r="CU244" s="14"/>
    </row>
    <row r="245" spans="1:99" s="105" customFormat="1" ht="30" x14ac:dyDescent="0.25">
      <c r="A245" s="239">
        <v>41852</v>
      </c>
      <c r="B245" s="239"/>
      <c r="C245" s="213" t="s">
        <v>921</v>
      </c>
      <c r="D245" s="213" t="s">
        <v>54</v>
      </c>
      <c r="E245" s="213" t="s">
        <v>832</v>
      </c>
      <c r="F245" s="175" t="s">
        <v>922</v>
      </c>
      <c r="G245" s="175"/>
      <c r="H245" s="175"/>
      <c r="I245" s="175"/>
      <c r="J245" s="31" t="s">
        <v>217</v>
      </c>
      <c r="K245" s="31" t="s">
        <v>923</v>
      </c>
      <c r="L245" s="31"/>
      <c r="M245" s="31"/>
      <c r="N245" s="25"/>
      <c r="O245" s="26"/>
      <c r="P245" s="215"/>
      <c r="Q245" s="215"/>
      <c r="R245" s="215"/>
      <c r="S245" s="215"/>
      <c r="T245" s="215"/>
      <c r="U245" s="215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5"/>
      <c r="AK245" s="215"/>
      <c r="AL245" s="215"/>
      <c r="AM245" s="215"/>
      <c r="AN245" s="25" t="s">
        <v>924</v>
      </c>
      <c r="AO245" s="33"/>
      <c r="AP245" s="25"/>
      <c r="AQ245" s="33"/>
      <c r="AR245" s="25" t="s">
        <v>925</v>
      </c>
      <c r="AS245" s="33"/>
      <c r="AT245" s="25" t="s">
        <v>926</v>
      </c>
      <c r="AU245" s="25"/>
      <c r="AV245" s="31"/>
      <c r="AW245" s="31"/>
      <c r="AX245" s="31"/>
      <c r="AY245" s="31"/>
      <c r="AZ245" s="31"/>
      <c r="BA245" s="31"/>
      <c r="BB245" s="31"/>
      <c r="BC245" s="31"/>
      <c r="BD245" s="223"/>
      <c r="BE245" s="31"/>
      <c r="BF245" s="31"/>
      <c r="BG245" s="31"/>
      <c r="BH245" s="31"/>
      <c r="BI245" s="31"/>
      <c r="BJ245" s="25"/>
      <c r="BK245" s="32">
        <v>50.81</v>
      </c>
      <c r="BL245" s="45" t="s">
        <v>927</v>
      </c>
      <c r="BM245" s="245">
        <v>10038568738452</v>
      </c>
      <c r="BN245" s="245"/>
      <c r="BO245" s="245"/>
      <c r="BP245" s="245"/>
      <c r="BQ245" s="245"/>
      <c r="BR245" s="245"/>
      <c r="BS245" s="245"/>
      <c r="BT245" s="212" t="s">
        <v>916</v>
      </c>
      <c r="BU245" s="212" t="s">
        <v>916</v>
      </c>
      <c r="BV245" s="212" t="s">
        <v>916</v>
      </c>
      <c r="BW245" s="91" t="s">
        <v>928</v>
      </c>
      <c r="BX245" s="212" t="s">
        <v>929</v>
      </c>
      <c r="BY245" s="93">
        <v>3</v>
      </c>
      <c r="BZ245" s="93">
        <v>3</v>
      </c>
      <c r="CA245" s="93">
        <v>5.5</v>
      </c>
      <c r="CB245" s="91" t="s">
        <v>928</v>
      </c>
      <c r="CC245" s="212" t="s">
        <v>929</v>
      </c>
      <c r="CD245" s="303"/>
      <c r="CE245" s="303"/>
      <c r="CF245" s="104" t="s">
        <v>134</v>
      </c>
      <c r="CG245" s="212">
        <v>1</v>
      </c>
      <c r="CH245" s="212">
        <v>40</v>
      </c>
      <c r="CI245" s="212">
        <v>11</v>
      </c>
      <c r="CJ245" s="27">
        <v>440</v>
      </c>
      <c r="CK245" s="27" t="s">
        <v>930</v>
      </c>
      <c r="CL245" s="27" t="s">
        <v>931</v>
      </c>
      <c r="CM245" s="27" t="s">
        <v>136</v>
      </c>
      <c r="CN245" s="14"/>
      <c r="CO245" s="14"/>
      <c r="CP245" s="14"/>
      <c r="CQ245" s="14"/>
      <c r="CR245" s="14"/>
      <c r="CS245" s="14"/>
      <c r="CT245" s="14"/>
      <c r="CU245" s="14"/>
    </row>
    <row r="246" spans="1:99" s="105" customFormat="1" ht="30" x14ac:dyDescent="0.25">
      <c r="A246" s="239">
        <v>41835</v>
      </c>
      <c r="B246" s="239"/>
      <c r="C246" s="213" t="s">
        <v>932</v>
      </c>
      <c r="D246" s="213" t="s">
        <v>54</v>
      </c>
      <c r="E246" s="213" t="s">
        <v>876</v>
      </c>
      <c r="F246" s="175" t="s">
        <v>933</v>
      </c>
      <c r="G246" s="175"/>
      <c r="H246" s="175"/>
      <c r="I246" s="175"/>
      <c r="J246" s="31" t="s">
        <v>673</v>
      </c>
      <c r="K246" s="31" t="s">
        <v>934</v>
      </c>
      <c r="L246" s="31" t="s">
        <v>673</v>
      </c>
      <c r="M246" s="31" t="s">
        <v>935</v>
      </c>
      <c r="N246" s="25"/>
      <c r="O246" s="26"/>
      <c r="P246" s="215"/>
      <c r="Q246" s="215"/>
      <c r="R246" s="215"/>
      <c r="S246" s="215"/>
      <c r="T246" s="215"/>
      <c r="U246" s="215"/>
      <c r="V246" s="215"/>
      <c r="W246" s="215"/>
      <c r="X246" s="215"/>
      <c r="Y246" s="215"/>
      <c r="Z246" s="215"/>
      <c r="AA246" s="215"/>
      <c r="AB246" s="215"/>
      <c r="AC246" s="215"/>
      <c r="AD246" s="215"/>
      <c r="AE246" s="215"/>
      <c r="AF246" s="215"/>
      <c r="AG246" s="215"/>
      <c r="AH246" s="215"/>
      <c r="AI246" s="215"/>
      <c r="AJ246" s="215"/>
      <c r="AK246" s="215"/>
      <c r="AL246" s="215"/>
      <c r="AM246" s="215"/>
      <c r="AN246" s="25" t="s">
        <v>936</v>
      </c>
      <c r="AO246" s="33"/>
      <c r="AP246" s="25"/>
      <c r="AQ246" s="33"/>
      <c r="AR246" s="25" t="s">
        <v>937</v>
      </c>
      <c r="AS246" s="33"/>
      <c r="AT246" s="25" t="s">
        <v>938</v>
      </c>
      <c r="AU246" s="25" t="s">
        <v>939</v>
      </c>
      <c r="AV246" s="31"/>
      <c r="AW246" s="31"/>
      <c r="AX246" s="31"/>
      <c r="AY246" s="31"/>
      <c r="AZ246" s="31"/>
      <c r="BA246" s="31"/>
      <c r="BB246" s="31"/>
      <c r="BC246" s="31"/>
      <c r="BD246" s="223"/>
      <c r="BE246" s="31"/>
      <c r="BF246" s="31"/>
      <c r="BG246" s="31"/>
      <c r="BH246" s="31"/>
      <c r="BI246" s="31"/>
      <c r="BJ246" s="25" t="s">
        <v>940</v>
      </c>
      <c r="BK246" s="32">
        <v>53.25</v>
      </c>
      <c r="BL246" s="243" t="s">
        <v>941</v>
      </c>
      <c r="BM246" s="243" t="s">
        <v>942</v>
      </c>
      <c r="BN246" s="243"/>
      <c r="BO246" s="243"/>
      <c r="BP246" s="243"/>
      <c r="BQ246" s="243"/>
      <c r="BR246" s="243"/>
      <c r="BS246" s="243"/>
      <c r="BT246" s="598" t="s">
        <v>355</v>
      </c>
      <c r="BU246" s="598"/>
      <c r="BV246" s="598"/>
      <c r="BW246" s="598"/>
      <c r="BX246" s="598"/>
      <c r="BY246" s="93">
        <v>11.4</v>
      </c>
      <c r="BZ246" s="93">
        <v>10.37</v>
      </c>
      <c r="CA246" s="93">
        <v>10.62</v>
      </c>
      <c r="CB246" s="91">
        <f t="shared" ref="CB246:CB272" si="58">(CA246*BZ246*BY246)/1728</f>
        <v>0.72654812499999999</v>
      </c>
      <c r="CC246" s="93">
        <f>3.94+0.25</f>
        <v>4.1899999999999995</v>
      </c>
      <c r="CD246" s="301"/>
      <c r="CE246" s="301"/>
      <c r="CF246" s="104" t="s">
        <v>134</v>
      </c>
      <c r="CG246" s="27">
        <v>1</v>
      </c>
      <c r="CH246" s="27">
        <v>12</v>
      </c>
      <c r="CI246" s="27">
        <v>3</v>
      </c>
      <c r="CJ246" s="27">
        <f t="shared" ref="CJ246:CJ264" si="59">CG246*CH246*CI246</f>
        <v>36</v>
      </c>
      <c r="CK246" s="27">
        <f t="shared" ref="CK246:CK255" si="60">(CC246*CH246*CI246)+50</f>
        <v>200.83999999999997</v>
      </c>
      <c r="CL246" s="27" t="s">
        <v>256</v>
      </c>
      <c r="CM246" s="27" t="s">
        <v>136</v>
      </c>
      <c r="CN246" s="14"/>
      <c r="CO246" s="14"/>
      <c r="CP246" s="14"/>
      <c r="CQ246" s="14"/>
      <c r="CR246" s="14"/>
      <c r="CS246" s="14"/>
      <c r="CT246" s="14"/>
      <c r="CU246" s="14"/>
    </row>
    <row r="247" spans="1:99" s="105" customFormat="1" ht="30" x14ac:dyDescent="0.25">
      <c r="A247" s="239">
        <v>41835</v>
      </c>
      <c r="B247" s="239"/>
      <c r="C247" s="213" t="s">
        <v>943</v>
      </c>
      <c r="D247" s="213" t="s">
        <v>54</v>
      </c>
      <c r="E247" s="213" t="s">
        <v>876</v>
      </c>
      <c r="F247" s="175" t="s">
        <v>944</v>
      </c>
      <c r="G247" s="175"/>
      <c r="H247" s="175"/>
      <c r="I247" s="175"/>
      <c r="J247" s="31" t="s">
        <v>730</v>
      </c>
      <c r="K247" s="31">
        <v>6001856110</v>
      </c>
      <c r="L247" s="31"/>
      <c r="M247" s="31"/>
      <c r="N247" s="25"/>
      <c r="O247" s="26"/>
      <c r="P247" s="215"/>
      <c r="Q247" s="215"/>
      <c r="R247" s="215"/>
      <c r="S247" s="215"/>
      <c r="T247" s="215"/>
      <c r="U247" s="215"/>
      <c r="V247" s="215"/>
      <c r="W247" s="215"/>
      <c r="X247" s="215"/>
      <c r="Y247" s="215"/>
      <c r="Z247" s="215"/>
      <c r="AA247" s="215"/>
      <c r="AB247" s="215"/>
      <c r="AC247" s="215"/>
      <c r="AD247" s="215"/>
      <c r="AE247" s="215"/>
      <c r="AF247" s="215"/>
      <c r="AG247" s="215"/>
      <c r="AH247" s="215"/>
      <c r="AI247" s="215"/>
      <c r="AJ247" s="215"/>
      <c r="AK247" s="215"/>
      <c r="AL247" s="215"/>
      <c r="AM247" s="215"/>
      <c r="AN247" s="25" t="s">
        <v>945</v>
      </c>
      <c r="AO247" s="33"/>
      <c r="AP247" s="25"/>
      <c r="AQ247" s="33"/>
      <c r="AR247" s="25" t="s">
        <v>946</v>
      </c>
      <c r="AS247" s="33"/>
      <c r="AT247" s="25" t="s">
        <v>947</v>
      </c>
      <c r="AU247" s="25" t="s">
        <v>948</v>
      </c>
      <c r="AV247" s="31"/>
      <c r="AW247" s="31"/>
      <c r="AX247" s="31"/>
      <c r="AY247" s="31"/>
      <c r="AZ247" s="31"/>
      <c r="BA247" s="31"/>
      <c r="BB247" s="31"/>
      <c r="BC247" s="31"/>
      <c r="BD247" s="223"/>
      <c r="BE247" s="31"/>
      <c r="BF247" s="31"/>
      <c r="BG247" s="31"/>
      <c r="BH247" s="31"/>
      <c r="BI247" s="31"/>
      <c r="BJ247" s="25" t="s">
        <v>949</v>
      </c>
      <c r="BK247" s="32">
        <v>105.79</v>
      </c>
      <c r="BL247" s="243" t="s">
        <v>941</v>
      </c>
      <c r="BM247" s="243" t="s">
        <v>942</v>
      </c>
      <c r="BN247" s="243"/>
      <c r="BO247" s="243"/>
      <c r="BP247" s="243"/>
      <c r="BQ247" s="243"/>
      <c r="BR247" s="243"/>
      <c r="BS247" s="243"/>
      <c r="BT247" s="598" t="s">
        <v>355</v>
      </c>
      <c r="BU247" s="598"/>
      <c r="BV247" s="598"/>
      <c r="BW247" s="598"/>
      <c r="BX247" s="598"/>
      <c r="BY247" s="93">
        <v>21.306000000000001</v>
      </c>
      <c r="BZ247" s="93">
        <v>13.366</v>
      </c>
      <c r="CA247" s="93">
        <v>13.672000000000001</v>
      </c>
      <c r="CB247" s="91">
        <f t="shared" si="58"/>
        <v>2.2531582276111113</v>
      </c>
      <c r="CC247" s="93">
        <v>8.85</v>
      </c>
      <c r="CD247" s="301"/>
      <c r="CE247" s="301"/>
      <c r="CF247" s="104" t="s">
        <v>134</v>
      </c>
      <c r="CG247" s="27">
        <v>1</v>
      </c>
      <c r="CH247" s="27">
        <v>9</v>
      </c>
      <c r="CI247" s="27">
        <v>2</v>
      </c>
      <c r="CJ247" s="27">
        <f t="shared" si="59"/>
        <v>18</v>
      </c>
      <c r="CK247" s="27">
        <f t="shared" si="60"/>
        <v>209.29999999999998</v>
      </c>
      <c r="CL247" s="27" t="s">
        <v>256</v>
      </c>
      <c r="CM247" s="27" t="s">
        <v>136</v>
      </c>
      <c r="CN247" s="14"/>
      <c r="CO247" s="14"/>
      <c r="CP247" s="14"/>
      <c r="CQ247" s="14"/>
      <c r="CR247" s="14"/>
      <c r="CS247" s="14"/>
      <c r="CT247" s="14"/>
      <c r="CU247" s="14"/>
    </row>
    <row r="248" spans="1:99" s="105" customFormat="1" x14ac:dyDescent="0.25">
      <c r="A248" s="239">
        <v>41835</v>
      </c>
      <c r="B248" s="239"/>
      <c r="C248" s="31" t="s">
        <v>950</v>
      </c>
      <c r="D248" s="211" t="s">
        <v>54</v>
      </c>
      <c r="E248" s="213" t="s">
        <v>951</v>
      </c>
      <c r="F248" s="235" t="s">
        <v>952</v>
      </c>
      <c r="G248" s="235"/>
      <c r="H248" s="235"/>
      <c r="I248" s="235"/>
      <c r="J248" s="31" t="s">
        <v>953</v>
      </c>
      <c r="K248" s="31" t="s">
        <v>954</v>
      </c>
      <c r="L248" s="31"/>
      <c r="M248" s="31"/>
      <c r="N248" s="25"/>
      <c r="O248" s="26"/>
      <c r="P248" s="215"/>
      <c r="Q248" s="215"/>
      <c r="R248" s="215"/>
      <c r="S248" s="215"/>
      <c r="T248" s="215"/>
      <c r="U248" s="215"/>
      <c r="V248" s="215"/>
      <c r="W248" s="215"/>
      <c r="X248" s="215"/>
      <c r="Y248" s="215"/>
      <c r="Z248" s="215"/>
      <c r="AA248" s="215"/>
      <c r="AB248" s="215"/>
      <c r="AC248" s="215"/>
      <c r="AD248" s="215"/>
      <c r="AE248" s="215"/>
      <c r="AF248" s="215"/>
      <c r="AG248" s="215"/>
      <c r="AH248" s="215"/>
      <c r="AI248" s="215"/>
      <c r="AJ248" s="215"/>
      <c r="AK248" s="215"/>
      <c r="AL248" s="215"/>
      <c r="AM248" s="215"/>
      <c r="AN248" s="25" t="s">
        <v>955</v>
      </c>
      <c r="AO248" s="33"/>
      <c r="AP248" s="25"/>
      <c r="AQ248" s="33"/>
      <c r="AR248" s="25" t="s">
        <v>956</v>
      </c>
      <c r="AS248" s="33"/>
      <c r="AT248" s="25" t="s">
        <v>957</v>
      </c>
      <c r="AU248" s="175"/>
      <c r="AV248" s="31"/>
      <c r="AW248" s="31"/>
      <c r="AX248" s="31"/>
      <c r="AY248" s="31"/>
      <c r="AZ248" s="31"/>
      <c r="BA248" s="31"/>
      <c r="BB248" s="31"/>
      <c r="BC248" s="31"/>
      <c r="BD248" s="223"/>
      <c r="BE248" s="31"/>
      <c r="BF248" s="31"/>
      <c r="BG248" s="31"/>
      <c r="BH248" s="31"/>
      <c r="BI248" s="31"/>
      <c r="BJ248" s="25" t="s">
        <v>958</v>
      </c>
      <c r="BK248" s="32">
        <v>54.11</v>
      </c>
      <c r="BL248" s="243" t="s">
        <v>959</v>
      </c>
      <c r="BM248" s="243" t="s">
        <v>960</v>
      </c>
      <c r="BN248" s="243"/>
      <c r="BO248" s="243"/>
      <c r="BP248" s="243"/>
      <c r="BQ248" s="243"/>
      <c r="BR248" s="243"/>
      <c r="BS248" s="243"/>
      <c r="BT248" s="598" t="s">
        <v>355</v>
      </c>
      <c r="BU248" s="598"/>
      <c r="BV248" s="598"/>
      <c r="BW248" s="598"/>
      <c r="BX248" s="598"/>
      <c r="BY248" s="93">
        <v>2.625</v>
      </c>
      <c r="BZ248" s="93">
        <v>2.625</v>
      </c>
      <c r="CA248" s="93">
        <v>10.875</v>
      </c>
      <c r="CB248" s="91">
        <f t="shared" si="58"/>
        <v>4.3365478515625E-2</v>
      </c>
      <c r="CC248" s="93">
        <f>0.3+0.25</f>
        <v>0.55000000000000004</v>
      </c>
      <c r="CD248" s="301"/>
      <c r="CE248" s="301"/>
      <c r="CF248" s="104" t="s">
        <v>134</v>
      </c>
      <c r="CG248" s="27">
        <v>1</v>
      </c>
      <c r="CH248" s="27">
        <v>40</v>
      </c>
      <c r="CI248" s="27">
        <v>18</v>
      </c>
      <c r="CJ248" s="27">
        <f t="shared" si="59"/>
        <v>720</v>
      </c>
      <c r="CK248" s="27">
        <f t="shared" si="60"/>
        <v>446</v>
      </c>
      <c r="CL248" s="27" t="s">
        <v>530</v>
      </c>
      <c r="CM248" s="27" t="s">
        <v>136</v>
      </c>
      <c r="CN248" s="14"/>
      <c r="CO248" s="14"/>
      <c r="CP248" s="14"/>
      <c r="CQ248" s="14"/>
      <c r="CR248" s="14"/>
      <c r="CS248" s="14"/>
      <c r="CT248" s="14"/>
      <c r="CU248" s="14"/>
    </row>
    <row r="249" spans="1:99" s="105" customFormat="1" ht="30" x14ac:dyDescent="0.25">
      <c r="A249" s="239">
        <v>41835</v>
      </c>
      <c r="B249" s="239"/>
      <c r="C249" s="246" t="s">
        <v>961</v>
      </c>
      <c r="D249" s="211" t="s">
        <v>54</v>
      </c>
      <c r="E249" s="213" t="s">
        <v>71</v>
      </c>
      <c r="F249" s="235" t="s">
        <v>962</v>
      </c>
      <c r="G249" s="235"/>
      <c r="H249" s="235"/>
      <c r="I249" s="235"/>
      <c r="J249" s="31" t="s">
        <v>350</v>
      </c>
      <c r="K249" s="31" t="s">
        <v>963</v>
      </c>
      <c r="L249" s="31"/>
      <c r="M249" s="31"/>
      <c r="N249" s="25"/>
      <c r="O249" s="26"/>
      <c r="P249" s="215"/>
      <c r="Q249" s="215"/>
      <c r="R249" s="215"/>
      <c r="S249" s="215"/>
      <c r="T249" s="215"/>
      <c r="U249" s="215"/>
      <c r="V249" s="215"/>
      <c r="W249" s="215"/>
      <c r="X249" s="215"/>
      <c r="Y249" s="215"/>
      <c r="Z249" s="215"/>
      <c r="AA249" s="215"/>
      <c r="AB249" s="215"/>
      <c r="AC249" s="215"/>
      <c r="AD249" s="215"/>
      <c r="AE249" s="215"/>
      <c r="AF249" s="215"/>
      <c r="AG249" s="215"/>
      <c r="AH249" s="215"/>
      <c r="AI249" s="215"/>
      <c r="AJ249" s="215"/>
      <c r="AK249" s="215"/>
      <c r="AL249" s="215"/>
      <c r="AM249" s="215"/>
      <c r="AN249" s="25" t="s">
        <v>964</v>
      </c>
      <c r="AO249" s="33"/>
      <c r="AP249" s="25"/>
      <c r="AQ249" s="33"/>
      <c r="AR249" s="25" t="s">
        <v>965</v>
      </c>
      <c r="AS249" s="33"/>
      <c r="AT249" s="25"/>
      <c r="AU249" s="175"/>
      <c r="AV249" s="31"/>
      <c r="AW249" s="31"/>
      <c r="AX249" s="31"/>
      <c r="AY249" s="31"/>
      <c r="AZ249" s="31"/>
      <c r="BA249" s="31"/>
      <c r="BB249" s="31"/>
      <c r="BC249" s="31"/>
      <c r="BD249" s="223"/>
      <c r="BE249" s="31"/>
      <c r="BF249" s="31"/>
      <c r="BG249" s="31"/>
      <c r="BH249" s="31"/>
      <c r="BI249" s="31"/>
      <c r="BJ249" s="25" t="s">
        <v>966</v>
      </c>
      <c r="BK249" s="32">
        <v>161.66</v>
      </c>
      <c r="BL249" s="243" t="s">
        <v>967</v>
      </c>
      <c r="BM249" s="243" t="s">
        <v>968</v>
      </c>
      <c r="BN249" s="243"/>
      <c r="BO249" s="243"/>
      <c r="BP249" s="243"/>
      <c r="BQ249" s="243"/>
      <c r="BR249" s="243"/>
      <c r="BS249" s="243"/>
      <c r="BT249" s="598" t="s">
        <v>355</v>
      </c>
      <c r="BU249" s="598"/>
      <c r="BV249" s="598"/>
      <c r="BW249" s="598"/>
      <c r="BX249" s="598"/>
      <c r="BY249" s="93">
        <v>13.180999999999999</v>
      </c>
      <c r="BZ249" s="93">
        <v>13.180999999999999</v>
      </c>
      <c r="CA249" s="93">
        <v>25.486999999999998</v>
      </c>
      <c r="CB249" s="91">
        <f t="shared" si="58"/>
        <v>2.5625461814855317</v>
      </c>
      <c r="CC249" s="93">
        <f>1.75+0.25</f>
        <v>2</v>
      </c>
      <c r="CD249" s="301"/>
      <c r="CE249" s="301"/>
      <c r="CF249" s="104" t="s">
        <v>134</v>
      </c>
      <c r="CG249" s="27">
        <v>1</v>
      </c>
      <c r="CH249" s="27">
        <v>9</v>
      </c>
      <c r="CI249" s="27">
        <v>1</v>
      </c>
      <c r="CJ249" s="27">
        <f t="shared" si="59"/>
        <v>9</v>
      </c>
      <c r="CK249" s="27">
        <f t="shared" si="60"/>
        <v>68</v>
      </c>
      <c r="CL249" s="27" t="s">
        <v>256</v>
      </c>
      <c r="CM249" s="27" t="s">
        <v>136</v>
      </c>
      <c r="CN249" s="237"/>
      <c r="CO249" s="237"/>
      <c r="CP249" s="14"/>
      <c r="CQ249" s="14"/>
      <c r="CR249" s="14"/>
      <c r="CS249" s="14"/>
      <c r="CT249" s="14"/>
      <c r="CU249" s="14"/>
    </row>
    <row r="250" spans="1:99" s="105" customFormat="1" ht="30" x14ac:dyDescent="0.25">
      <c r="A250" s="239">
        <v>41835</v>
      </c>
      <c r="B250" s="239"/>
      <c r="C250" s="246" t="s">
        <v>969</v>
      </c>
      <c r="D250" s="211" t="s">
        <v>54</v>
      </c>
      <c r="E250" s="213" t="s">
        <v>72</v>
      </c>
      <c r="F250" s="235" t="s">
        <v>970</v>
      </c>
      <c r="G250" s="235"/>
      <c r="H250" s="235"/>
      <c r="I250" s="235"/>
      <c r="J250" s="31" t="s">
        <v>519</v>
      </c>
      <c r="K250" s="31" t="s">
        <v>971</v>
      </c>
      <c r="L250" s="31"/>
      <c r="M250" s="31"/>
      <c r="N250" s="25"/>
      <c r="O250" s="26"/>
      <c r="P250" s="215"/>
      <c r="Q250" s="215"/>
      <c r="R250" s="215"/>
      <c r="S250" s="215"/>
      <c r="T250" s="215"/>
      <c r="U250" s="215"/>
      <c r="V250" s="215"/>
      <c r="W250" s="215"/>
      <c r="X250" s="215"/>
      <c r="Y250" s="215"/>
      <c r="Z250" s="215"/>
      <c r="AA250" s="215"/>
      <c r="AB250" s="215"/>
      <c r="AC250" s="215"/>
      <c r="AD250" s="215"/>
      <c r="AE250" s="215"/>
      <c r="AF250" s="215"/>
      <c r="AG250" s="215"/>
      <c r="AH250" s="215"/>
      <c r="AI250" s="215"/>
      <c r="AJ250" s="215"/>
      <c r="AK250" s="215"/>
      <c r="AL250" s="215"/>
      <c r="AM250" s="215"/>
      <c r="AN250" s="25" t="s">
        <v>972</v>
      </c>
      <c r="AO250" s="33"/>
      <c r="AP250" s="25"/>
      <c r="AQ250" s="33"/>
      <c r="AR250" s="25"/>
      <c r="AS250" s="33"/>
      <c r="AT250" s="25"/>
      <c r="AU250" s="175"/>
      <c r="AV250" s="31"/>
      <c r="AW250" s="31"/>
      <c r="AX250" s="31"/>
      <c r="AY250" s="31"/>
      <c r="AZ250" s="31"/>
      <c r="BA250" s="31"/>
      <c r="BB250" s="31"/>
      <c r="BC250" s="31"/>
      <c r="BD250" s="223"/>
      <c r="BE250" s="31"/>
      <c r="BF250" s="31"/>
      <c r="BG250" s="31"/>
      <c r="BH250" s="31"/>
      <c r="BI250" s="31"/>
      <c r="BJ250" s="25" t="s">
        <v>973</v>
      </c>
      <c r="BK250" s="32">
        <v>26.31</v>
      </c>
      <c r="BL250" s="243" t="s">
        <v>974</v>
      </c>
      <c r="BM250" s="243" t="s">
        <v>975</v>
      </c>
      <c r="BN250" s="243"/>
      <c r="BO250" s="243"/>
      <c r="BP250" s="243"/>
      <c r="BQ250" s="243"/>
      <c r="BR250" s="243"/>
      <c r="BS250" s="243"/>
      <c r="BT250" s="92">
        <v>3.4224999999999999</v>
      </c>
      <c r="BU250" s="92">
        <v>3.4224999999999999</v>
      </c>
      <c r="BV250" s="92">
        <v>5.9074999999999998</v>
      </c>
      <c r="BW250" s="91">
        <f t="shared" ref="BW250" si="61">(BV250*BU250*BT250)/1728</f>
        <v>4.0044871627242476E-2</v>
      </c>
      <c r="BX250" s="92">
        <v>0.95</v>
      </c>
      <c r="BY250" s="93">
        <v>13.055999999999999</v>
      </c>
      <c r="BZ250" s="93">
        <v>9.9309999999999992</v>
      </c>
      <c r="CA250" s="93">
        <v>5.7995000000000001</v>
      </c>
      <c r="CB250" s="91">
        <f t="shared" si="58"/>
        <v>0.43516097177777774</v>
      </c>
      <c r="CC250" s="93">
        <f>CG250*BX250+0.25</f>
        <v>11.649999999999999</v>
      </c>
      <c r="CD250" s="301"/>
      <c r="CE250" s="301"/>
      <c r="CF250" s="104" t="s">
        <v>134</v>
      </c>
      <c r="CG250" s="27">
        <v>12</v>
      </c>
      <c r="CH250" s="27">
        <v>14</v>
      </c>
      <c r="CI250" s="27">
        <v>7</v>
      </c>
      <c r="CJ250" s="27">
        <f t="shared" si="59"/>
        <v>1176</v>
      </c>
      <c r="CK250" s="27">
        <f t="shared" si="60"/>
        <v>1191.6999999999998</v>
      </c>
      <c r="CL250" s="27" t="s">
        <v>256</v>
      </c>
      <c r="CM250" s="27" t="s">
        <v>136</v>
      </c>
      <c r="CN250" s="237"/>
      <c r="CO250" s="237"/>
      <c r="CP250" s="14"/>
      <c r="CQ250" s="14"/>
      <c r="CR250" s="14"/>
      <c r="CS250" s="14"/>
      <c r="CT250" s="14"/>
      <c r="CU250" s="14"/>
    </row>
    <row r="251" spans="1:99" s="105" customFormat="1" ht="30" x14ac:dyDescent="0.25">
      <c r="A251" s="239">
        <v>41815</v>
      </c>
      <c r="B251" s="239"/>
      <c r="C251" s="31" t="s">
        <v>976</v>
      </c>
      <c r="D251" s="211" t="s">
        <v>54</v>
      </c>
      <c r="E251" s="247" t="s">
        <v>977</v>
      </c>
      <c r="F251" s="46" t="s">
        <v>978</v>
      </c>
      <c r="G251" s="46"/>
      <c r="H251" s="46"/>
      <c r="I251" s="46"/>
      <c r="J251" s="31" t="s">
        <v>979</v>
      </c>
      <c r="K251" s="31" t="s">
        <v>980</v>
      </c>
      <c r="L251" s="31"/>
      <c r="M251" s="31"/>
      <c r="N251" s="25"/>
      <c r="O251" s="26"/>
      <c r="P251" s="236"/>
      <c r="Q251" s="236"/>
      <c r="R251" s="236"/>
      <c r="S251" s="236"/>
      <c r="T251" s="236"/>
      <c r="U251" s="236"/>
      <c r="V251" s="236"/>
      <c r="W251" s="236"/>
      <c r="X251" s="236"/>
      <c r="Y251" s="236"/>
      <c r="Z251" s="236"/>
      <c r="AA251" s="236"/>
      <c r="AB251" s="236"/>
      <c r="AC251" s="236"/>
      <c r="AD251" s="236"/>
      <c r="AE251" s="236"/>
      <c r="AF251" s="236"/>
      <c r="AG251" s="236"/>
      <c r="AH251" s="236"/>
      <c r="AI251" s="236"/>
      <c r="AJ251" s="236"/>
      <c r="AK251" s="236"/>
      <c r="AL251" s="236"/>
      <c r="AM251" s="236"/>
      <c r="AN251" s="25" t="s">
        <v>981</v>
      </c>
      <c r="AO251" s="33"/>
      <c r="AP251" s="25">
        <v>85435</v>
      </c>
      <c r="AQ251" s="33"/>
      <c r="AR251" s="25" t="s">
        <v>982</v>
      </c>
      <c r="AS251" s="33"/>
      <c r="AT251" s="25"/>
      <c r="AU251" s="25" t="s">
        <v>983</v>
      </c>
      <c r="AV251" s="31" t="s">
        <v>984</v>
      </c>
      <c r="AW251" s="31"/>
      <c r="AX251" s="31"/>
      <c r="AY251" s="31"/>
      <c r="AZ251" s="31"/>
      <c r="BA251" s="31"/>
      <c r="BB251" s="31"/>
      <c r="BC251" s="31"/>
      <c r="BD251" s="223">
        <v>1435</v>
      </c>
      <c r="BE251" s="31"/>
      <c r="BF251" s="31"/>
      <c r="BG251" s="31"/>
      <c r="BH251" s="31"/>
      <c r="BI251" s="31"/>
      <c r="BJ251" s="25" t="s">
        <v>985</v>
      </c>
      <c r="BK251" s="32">
        <v>26.68</v>
      </c>
      <c r="BL251" s="185" t="s">
        <v>986</v>
      </c>
      <c r="BM251" s="185" t="s">
        <v>987</v>
      </c>
      <c r="BN251" s="185"/>
      <c r="BO251" s="185"/>
      <c r="BP251" s="185"/>
      <c r="BQ251" s="185"/>
      <c r="BR251" s="185"/>
      <c r="BS251" s="185"/>
      <c r="BT251" s="150">
        <v>3.4224999999999999</v>
      </c>
      <c r="BU251" s="150">
        <v>3.423</v>
      </c>
      <c r="BV251" s="150">
        <v>5.9074999999999998</v>
      </c>
      <c r="BW251" s="47">
        <f>(BV251*BU251*BT251)/1728</f>
        <v>4.0050721864149305E-2</v>
      </c>
      <c r="BX251" s="150">
        <v>0.9</v>
      </c>
      <c r="BY251" s="150">
        <v>12.875</v>
      </c>
      <c r="BZ251" s="150">
        <v>9.75</v>
      </c>
      <c r="CA251" s="150">
        <v>5.4375</v>
      </c>
      <c r="CB251" s="47">
        <f t="shared" si="58"/>
        <v>0.39500935872395831</v>
      </c>
      <c r="CC251" s="150">
        <f>BX251*CG251+0.25</f>
        <v>11.05</v>
      </c>
      <c r="CD251" s="304"/>
      <c r="CE251" s="304"/>
      <c r="CF251" s="248" t="s">
        <v>134</v>
      </c>
      <c r="CG251" s="153">
        <v>12</v>
      </c>
      <c r="CH251" s="153">
        <v>14</v>
      </c>
      <c r="CI251" s="153">
        <v>6</v>
      </c>
      <c r="CJ251" s="153">
        <f t="shared" si="59"/>
        <v>1008</v>
      </c>
      <c r="CK251" s="153">
        <f t="shared" si="60"/>
        <v>978.2</v>
      </c>
      <c r="CL251" s="249" t="s">
        <v>256</v>
      </c>
      <c r="CM251" s="153" t="s">
        <v>136</v>
      </c>
      <c r="CN251" s="237"/>
      <c r="CO251" s="237"/>
      <c r="CP251" s="14"/>
      <c r="CQ251" s="14"/>
      <c r="CR251" s="14"/>
      <c r="CS251" s="14"/>
      <c r="CT251" s="14"/>
      <c r="CU251" s="14"/>
    </row>
    <row r="252" spans="1:99" s="105" customFormat="1" ht="30" x14ac:dyDescent="0.25">
      <c r="A252" s="239">
        <v>41815</v>
      </c>
      <c r="B252" s="239"/>
      <c r="C252" s="169" t="s">
        <v>988</v>
      </c>
      <c r="D252" s="211" t="s">
        <v>54</v>
      </c>
      <c r="E252" s="247" t="s">
        <v>977</v>
      </c>
      <c r="F252" s="46" t="s">
        <v>989</v>
      </c>
      <c r="G252" s="46"/>
      <c r="H252" s="46"/>
      <c r="I252" s="46"/>
      <c r="J252" s="31" t="s">
        <v>226</v>
      </c>
      <c r="K252" s="31" t="s">
        <v>990</v>
      </c>
      <c r="L252" s="31"/>
      <c r="M252" s="31"/>
      <c r="N252" s="25"/>
      <c r="O252" s="26"/>
      <c r="P252" s="236"/>
      <c r="Q252" s="236"/>
      <c r="R252" s="236"/>
      <c r="S252" s="236"/>
      <c r="T252" s="236"/>
      <c r="U252" s="236"/>
      <c r="V252" s="236"/>
      <c r="W252" s="236"/>
      <c r="X252" s="236"/>
      <c r="Y252" s="236"/>
      <c r="Z252" s="236"/>
      <c r="AA252" s="236"/>
      <c r="AB252" s="236"/>
      <c r="AC252" s="236"/>
      <c r="AD252" s="236"/>
      <c r="AE252" s="236"/>
      <c r="AF252" s="236"/>
      <c r="AG252" s="236"/>
      <c r="AH252" s="236"/>
      <c r="AI252" s="236"/>
      <c r="AJ252" s="236"/>
      <c r="AK252" s="236"/>
      <c r="AL252" s="236"/>
      <c r="AM252" s="236"/>
      <c r="AN252" s="25" t="s">
        <v>991</v>
      </c>
      <c r="AO252" s="33"/>
      <c r="AP252" s="25"/>
      <c r="AQ252" s="33"/>
      <c r="AR252" s="25" t="s">
        <v>992</v>
      </c>
      <c r="AS252" s="33"/>
      <c r="AT252" s="25"/>
      <c r="AU252" s="25"/>
      <c r="AV252" s="31"/>
      <c r="AW252" s="31"/>
      <c r="AX252" s="31"/>
      <c r="AY252" s="31"/>
      <c r="AZ252" s="31"/>
      <c r="BA252" s="31"/>
      <c r="BB252" s="31"/>
      <c r="BC252" s="31"/>
      <c r="BD252" s="223"/>
      <c r="BE252" s="31"/>
      <c r="BF252" s="31"/>
      <c r="BG252" s="31"/>
      <c r="BH252" s="31"/>
      <c r="BI252" s="31"/>
      <c r="BJ252" s="25">
        <v>57163</v>
      </c>
      <c r="BK252" s="223">
        <v>113.17</v>
      </c>
      <c r="BL252" s="185" t="s">
        <v>993</v>
      </c>
      <c r="BM252" s="185" t="s">
        <v>994</v>
      </c>
      <c r="BN252" s="185"/>
      <c r="BO252" s="185"/>
      <c r="BP252" s="185"/>
      <c r="BQ252" s="185"/>
      <c r="BR252" s="185"/>
      <c r="BS252" s="185"/>
      <c r="BT252" s="150">
        <v>5.0270000000000001</v>
      </c>
      <c r="BU252" s="150">
        <v>5.0629999999999997</v>
      </c>
      <c r="BV252" s="150">
        <v>14.5</v>
      </c>
      <c r="BW252" s="47">
        <f t="shared" ref="BW252" si="62">(BV252*BU252*BT252)/1728</f>
        <v>0.21357040769675925</v>
      </c>
      <c r="BX252" s="150">
        <v>5.2</v>
      </c>
      <c r="BY252" s="150">
        <v>16.493500000000001</v>
      </c>
      <c r="BZ252" s="150">
        <v>11.118499999999999</v>
      </c>
      <c r="CA252" s="150">
        <v>15.612</v>
      </c>
      <c r="CB252" s="47">
        <f t="shared" si="58"/>
        <v>1.6568142823246528</v>
      </c>
      <c r="CC252" s="150">
        <f>CG252*BX252+0.25</f>
        <v>31.450000000000003</v>
      </c>
      <c r="CD252" s="304"/>
      <c r="CE252" s="304"/>
      <c r="CF252" s="248" t="s">
        <v>134</v>
      </c>
      <c r="CG252" s="153">
        <v>6</v>
      </c>
      <c r="CH252" s="153">
        <v>9</v>
      </c>
      <c r="CI252" s="153">
        <v>2</v>
      </c>
      <c r="CJ252" s="153">
        <f t="shared" si="59"/>
        <v>108</v>
      </c>
      <c r="CK252" s="153">
        <f t="shared" si="60"/>
        <v>616.1</v>
      </c>
      <c r="CL252" s="153" t="s">
        <v>256</v>
      </c>
      <c r="CM252" s="153" t="s">
        <v>136</v>
      </c>
      <c r="CN252" s="237"/>
      <c r="CO252" s="237"/>
      <c r="CP252" s="14"/>
      <c r="CQ252" s="14"/>
      <c r="CR252" s="14"/>
      <c r="CS252" s="14"/>
      <c r="CT252" s="14"/>
      <c r="CU252" s="14"/>
    </row>
    <row r="253" spans="1:99" s="105" customFormat="1" x14ac:dyDescent="0.25">
      <c r="A253" s="239">
        <v>41815</v>
      </c>
      <c r="B253" s="239"/>
      <c r="C253" s="169" t="s">
        <v>995</v>
      </c>
      <c r="D253" s="211" t="s">
        <v>54</v>
      </c>
      <c r="E253" s="169" t="s">
        <v>486</v>
      </c>
      <c r="F253" s="46" t="s">
        <v>996</v>
      </c>
      <c r="G253" s="46"/>
      <c r="H253" s="46"/>
      <c r="I253" s="46"/>
      <c r="J253" s="31" t="s">
        <v>129</v>
      </c>
      <c r="K253" s="31">
        <v>4771302</v>
      </c>
      <c r="L253" s="31"/>
      <c r="M253" s="31"/>
      <c r="N253" s="25"/>
      <c r="O253" s="26"/>
      <c r="P253" s="236"/>
      <c r="Q253" s="236"/>
      <c r="R253" s="236"/>
      <c r="S253" s="236"/>
      <c r="T253" s="236"/>
      <c r="U253" s="236"/>
      <c r="V253" s="236"/>
      <c r="W253" s="236"/>
      <c r="X253" s="236"/>
      <c r="Y253" s="236"/>
      <c r="Z253" s="236"/>
      <c r="AA253" s="236"/>
      <c r="AB253" s="236"/>
      <c r="AC253" s="236"/>
      <c r="AD253" s="236"/>
      <c r="AE253" s="236"/>
      <c r="AF253" s="236"/>
      <c r="AG253" s="236"/>
      <c r="AH253" s="236"/>
      <c r="AI253" s="236"/>
      <c r="AJ253" s="236"/>
      <c r="AK253" s="236"/>
      <c r="AL253" s="236"/>
      <c r="AM253" s="236"/>
      <c r="AN253" s="33" t="s">
        <v>997</v>
      </c>
      <c r="AO253" s="33"/>
      <c r="AP253" s="25"/>
      <c r="AQ253" s="33"/>
      <c r="AR253" s="25"/>
      <c r="AS253" s="33"/>
      <c r="AT253" s="25"/>
      <c r="AU253" s="175"/>
      <c r="AV253" s="31"/>
      <c r="AW253" s="31"/>
      <c r="AX253" s="31"/>
      <c r="AY253" s="31"/>
      <c r="AZ253" s="31"/>
      <c r="BA253" s="31"/>
      <c r="BB253" s="31"/>
      <c r="BC253" s="31"/>
      <c r="BD253" s="223"/>
      <c r="BE253" s="31"/>
      <c r="BF253" s="31"/>
      <c r="BG253" s="31"/>
      <c r="BH253" s="31"/>
      <c r="BI253" s="31"/>
      <c r="BJ253" s="31">
        <v>33683</v>
      </c>
      <c r="BK253" s="32">
        <v>75.989999999999995</v>
      </c>
      <c r="BL253" s="185" t="s">
        <v>998</v>
      </c>
      <c r="BM253" s="185" t="s">
        <v>999</v>
      </c>
      <c r="BN253" s="185"/>
      <c r="BO253" s="185"/>
      <c r="BP253" s="185"/>
      <c r="BQ253" s="185"/>
      <c r="BR253" s="185"/>
      <c r="BS253" s="185"/>
      <c r="BT253" s="150">
        <v>4.6875</v>
      </c>
      <c r="BU253" s="150">
        <v>4.6875</v>
      </c>
      <c r="BV253" s="150">
        <v>9.5</v>
      </c>
      <c r="BW253" s="47">
        <f>(BV253*BU253*BT253)/1728</f>
        <v>0.12079874674479167</v>
      </c>
      <c r="BX253" s="150">
        <f>2.92+0.1</f>
        <v>3.02</v>
      </c>
      <c r="BY253" s="150">
        <v>14.805999999999999</v>
      </c>
      <c r="BZ253" s="150">
        <v>10.055999999999999</v>
      </c>
      <c r="CA253" s="150">
        <v>10.362</v>
      </c>
      <c r="CB253" s="47">
        <f t="shared" si="58"/>
        <v>0.89281783983333318</v>
      </c>
      <c r="CC253" s="150">
        <f>BX253*CG253+0.25</f>
        <v>18.37</v>
      </c>
      <c r="CD253" s="304"/>
      <c r="CE253" s="304"/>
      <c r="CF253" s="248"/>
      <c r="CG253" s="153">
        <v>6</v>
      </c>
      <c r="CH253" s="153">
        <v>12</v>
      </c>
      <c r="CI253" s="153">
        <v>4</v>
      </c>
      <c r="CJ253" s="153">
        <f t="shared" si="59"/>
        <v>288</v>
      </c>
      <c r="CK253" s="153">
        <f t="shared" si="60"/>
        <v>931.76</v>
      </c>
      <c r="CL253" s="249" t="s">
        <v>139</v>
      </c>
      <c r="CM253" s="153" t="s">
        <v>136</v>
      </c>
      <c r="CN253" s="237"/>
      <c r="CO253" s="237"/>
      <c r="CP253" s="14"/>
      <c r="CQ253" s="14"/>
      <c r="CR253" s="14"/>
      <c r="CS253" s="14"/>
      <c r="CT253" s="14"/>
      <c r="CU253" s="14"/>
    </row>
    <row r="254" spans="1:99" s="105" customFormat="1" ht="30" x14ac:dyDescent="0.25">
      <c r="A254" s="239">
        <v>41815</v>
      </c>
      <c r="B254" s="239"/>
      <c r="C254" s="169" t="s">
        <v>1000</v>
      </c>
      <c r="D254" s="211" t="s">
        <v>54</v>
      </c>
      <c r="E254" s="169" t="s">
        <v>486</v>
      </c>
      <c r="F254" s="169" t="s">
        <v>1001</v>
      </c>
      <c r="G254" s="169"/>
      <c r="H254" s="169"/>
      <c r="I254" s="169"/>
      <c r="J254" s="31" t="s">
        <v>1002</v>
      </c>
      <c r="K254" s="31">
        <v>87803182</v>
      </c>
      <c r="L254" s="31" t="s">
        <v>894</v>
      </c>
      <c r="M254" s="31">
        <v>2830359</v>
      </c>
      <c r="N254" s="25" t="s">
        <v>156</v>
      </c>
      <c r="O254" s="26">
        <v>87803180</v>
      </c>
      <c r="P254" s="236"/>
      <c r="Q254" s="236"/>
      <c r="R254" s="236"/>
      <c r="S254" s="236"/>
      <c r="T254" s="236"/>
      <c r="U254" s="236"/>
      <c r="V254" s="236"/>
      <c r="W254" s="236"/>
      <c r="X254" s="236"/>
      <c r="Y254" s="236"/>
      <c r="Z254" s="236"/>
      <c r="AA254" s="236"/>
      <c r="AB254" s="236"/>
      <c r="AC254" s="236"/>
      <c r="AD254" s="236"/>
      <c r="AE254" s="236"/>
      <c r="AF254" s="236"/>
      <c r="AG254" s="236"/>
      <c r="AH254" s="236"/>
      <c r="AI254" s="236"/>
      <c r="AJ254" s="236"/>
      <c r="AK254" s="236"/>
      <c r="AL254" s="236"/>
      <c r="AM254" s="236"/>
      <c r="AN254" s="25" t="s">
        <v>1003</v>
      </c>
      <c r="AO254" s="33"/>
      <c r="AP254" s="25"/>
      <c r="AQ254" s="33"/>
      <c r="AR254" s="25"/>
      <c r="AS254" s="33"/>
      <c r="AT254" s="25" t="s">
        <v>1004</v>
      </c>
      <c r="AU254" s="175"/>
      <c r="AV254" s="31"/>
      <c r="AW254" s="31"/>
      <c r="AX254" s="31"/>
      <c r="AY254" s="31"/>
      <c r="AZ254" s="31"/>
      <c r="BA254" s="31"/>
      <c r="BB254" s="31"/>
      <c r="BC254" s="31"/>
      <c r="BD254" s="223"/>
      <c r="BE254" s="31"/>
      <c r="BF254" s="31"/>
      <c r="BG254" s="31"/>
      <c r="BH254" s="31"/>
      <c r="BI254" s="31"/>
      <c r="BJ254" s="31"/>
      <c r="BK254" s="32">
        <v>22.5</v>
      </c>
      <c r="BL254" s="250" t="s">
        <v>1005</v>
      </c>
      <c r="BM254" s="250" t="s">
        <v>1006</v>
      </c>
      <c r="BN254" s="250"/>
      <c r="BO254" s="250"/>
      <c r="BP254" s="250"/>
      <c r="BQ254" s="250"/>
      <c r="BR254" s="250"/>
      <c r="BS254" s="250"/>
      <c r="BT254" s="150">
        <v>3.875</v>
      </c>
      <c r="BU254" s="150">
        <v>3.875</v>
      </c>
      <c r="BV254" s="150">
        <v>7.25</v>
      </c>
      <c r="BW254" s="47">
        <f>(BV254*BU254*BT254)/1728</f>
        <v>6.2999584056712965E-2</v>
      </c>
      <c r="BX254" s="150">
        <v>1.6</v>
      </c>
      <c r="BY254" s="150">
        <v>15.805999999999999</v>
      </c>
      <c r="BZ254" s="150">
        <v>11.805999999999999</v>
      </c>
      <c r="CA254" s="150">
        <v>8.1120000000000001</v>
      </c>
      <c r="CB254" s="47">
        <f t="shared" si="58"/>
        <v>0.87600979122222211</v>
      </c>
      <c r="CC254" s="150">
        <f>BX254*CG254+0.25</f>
        <v>19.450000000000003</v>
      </c>
      <c r="CD254" s="304"/>
      <c r="CE254" s="304"/>
      <c r="CF254" s="248" t="s">
        <v>134</v>
      </c>
      <c r="CG254" s="153">
        <v>12</v>
      </c>
      <c r="CH254" s="153">
        <v>10</v>
      </c>
      <c r="CI254" s="153">
        <v>5</v>
      </c>
      <c r="CJ254" s="153">
        <f t="shared" si="59"/>
        <v>600</v>
      </c>
      <c r="CK254" s="153">
        <f t="shared" si="60"/>
        <v>1022.5000000000001</v>
      </c>
      <c r="CL254" s="153" t="s">
        <v>256</v>
      </c>
      <c r="CM254" s="153" t="s">
        <v>136</v>
      </c>
      <c r="CN254" s="237"/>
      <c r="CO254" s="237"/>
      <c r="CP254" s="14"/>
      <c r="CQ254" s="14"/>
      <c r="CR254" s="14"/>
      <c r="CS254" s="14"/>
      <c r="CT254" s="14"/>
      <c r="CU254" s="14"/>
    </row>
    <row r="255" spans="1:99" s="105" customFormat="1" ht="30" x14ac:dyDescent="0.25">
      <c r="A255" s="239">
        <v>41815</v>
      </c>
      <c r="B255" s="239"/>
      <c r="C255" s="251" t="s">
        <v>1007</v>
      </c>
      <c r="D255" s="211" t="s">
        <v>54</v>
      </c>
      <c r="E255" s="251" t="s">
        <v>495</v>
      </c>
      <c r="F255" s="175" t="s">
        <v>1008</v>
      </c>
      <c r="G255" s="175"/>
      <c r="H255" s="175"/>
      <c r="I255" s="175"/>
      <c r="J255" s="31" t="s">
        <v>350</v>
      </c>
      <c r="K255" s="31" t="s">
        <v>1009</v>
      </c>
      <c r="L255" s="31"/>
      <c r="M255" s="31"/>
      <c r="N255" s="25"/>
      <c r="O255" s="26"/>
      <c r="P255" s="236"/>
      <c r="Q255" s="236"/>
      <c r="R255" s="236"/>
      <c r="S255" s="236"/>
      <c r="T255" s="236"/>
      <c r="U255" s="236"/>
      <c r="V255" s="236"/>
      <c r="W255" s="236"/>
      <c r="X255" s="236"/>
      <c r="Y255" s="236"/>
      <c r="Z255" s="236"/>
      <c r="AA255" s="236"/>
      <c r="AB255" s="236"/>
      <c r="AC255" s="236"/>
      <c r="AD255" s="236"/>
      <c r="AE255" s="236"/>
      <c r="AF255" s="236"/>
      <c r="AG255" s="236"/>
      <c r="AH255" s="236"/>
      <c r="AI255" s="236"/>
      <c r="AJ255" s="236"/>
      <c r="AK255" s="236"/>
      <c r="AL255" s="236"/>
      <c r="AM255" s="236"/>
      <c r="AN255" s="25" t="s">
        <v>1010</v>
      </c>
      <c r="AO255" s="33"/>
      <c r="AP255" s="25"/>
      <c r="AQ255" s="33"/>
      <c r="AR255" s="25"/>
      <c r="AS255" s="33"/>
      <c r="AT255" s="25" t="s">
        <v>1011</v>
      </c>
      <c r="AU255" s="175"/>
      <c r="AV255" s="31"/>
      <c r="AW255" s="31"/>
      <c r="AX255" s="31"/>
      <c r="AY255" s="31"/>
      <c r="AZ255" s="31"/>
      <c r="BA255" s="31"/>
      <c r="BB255" s="31"/>
      <c r="BC255" s="31"/>
      <c r="BD255" s="223"/>
      <c r="BE255" s="31"/>
      <c r="BF255" s="31"/>
      <c r="BG255" s="31"/>
      <c r="BH255" s="31"/>
      <c r="BI255" s="31"/>
      <c r="BJ255" s="25" t="s">
        <v>1012</v>
      </c>
      <c r="BK255" s="32">
        <v>47.42</v>
      </c>
      <c r="BL255" s="250" t="s">
        <v>1013</v>
      </c>
      <c r="BM255" s="250" t="s">
        <v>1014</v>
      </c>
      <c r="BN255" s="250"/>
      <c r="BO255" s="250"/>
      <c r="BP255" s="250"/>
      <c r="BQ255" s="250"/>
      <c r="BR255" s="250"/>
      <c r="BS255" s="250"/>
      <c r="BT255" s="150">
        <v>5.1875</v>
      </c>
      <c r="BU255" s="150">
        <v>5.1875</v>
      </c>
      <c r="BV255" s="150">
        <v>14.75</v>
      </c>
      <c r="BW255" s="47">
        <f>(BV255*BU255*BT255)/1728</f>
        <v>0.22970185456452547</v>
      </c>
      <c r="BX255" s="150">
        <v>4.83</v>
      </c>
      <c r="BY255" s="150">
        <v>16.493500000000001</v>
      </c>
      <c r="BZ255" s="150">
        <v>11.118499999999999</v>
      </c>
      <c r="CA255" s="150">
        <v>15.612</v>
      </c>
      <c r="CB255" s="47">
        <f t="shared" si="58"/>
        <v>1.6568142823246528</v>
      </c>
      <c r="CC255" s="150">
        <f>BX255*CG255+0.4</f>
        <v>29.38</v>
      </c>
      <c r="CD255" s="304"/>
      <c r="CE255" s="304"/>
      <c r="CF255" s="248" t="s">
        <v>134</v>
      </c>
      <c r="CG255" s="153">
        <v>6</v>
      </c>
      <c r="CH255" s="153">
        <v>9</v>
      </c>
      <c r="CI255" s="153">
        <v>2</v>
      </c>
      <c r="CJ255" s="153">
        <f t="shared" si="59"/>
        <v>108</v>
      </c>
      <c r="CK255" s="153">
        <f t="shared" si="60"/>
        <v>578.84</v>
      </c>
      <c r="CL255" s="153" t="s">
        <v>256</v>
      </c>
      <c r="CM255" s="153" t="s">
        <v>136</v>
      </c>
      <c r="CN255" s="237"/>
      <c r="CO255" s="237"/>
      <c r="CP255" s="14"/>
      <c r="CQ255" s="14"/>
      <c r="CR255" s="14"/>
      <c r="CS255" s="14"/>
      <c r="CT255" s="14"/>
      <c r="CU255" s="14"/>
    </row>
    <row r="256" spans="1:99" s="105" customFormat="1" x14ac:dyDescent="0.25">
      <c r="A256" s="239">
        <v>41815</v>
      </c>
      <c r="B256" s="239"/>
      <c r="C256" s="169" t="s">
        <v>1015</v>
      </c>
      <c r="D256" s="211" t="s">
        <v>54</v>
      </c>
      <c r="E256" s="169" t="s">
        <v>486</v>
      </c>
      <c r="F256" s="32" t="s">
        <v>1016</v>
      </c>
      <c r="G256" s="32"/>
      <c r="H256" s="32"/>
      <c r="I256" s="32"/>
      <c r="J256" s="31" t="s">
        <v>894</v>
      </c>
      <c r="K256" s="31">
        <v>3685306</v>
      </c>
      <c r="L256" s="31"/>
      <c r="M256" s="31"/>
      <c r="N256" s="25"/>
      <c r="O256" s="26"/>
      <c r="P256" s="236"/>
      <c r="Q256" s="236"/>
      <c r="R256" s="236"/>
      <c r="S256" s="236"/>
      <c r="T256" s="236"/>
      <c r="U256" s="236"/>
      <c r="V256" s="236"/>
      <c r="W256" s="236"/>
      <c r="X256" s="236"/>
      <c r="Y256" s="236"/>
      <c r="Z256" s="236"/>
      <c r="AA256" s="236"/>
      <c r="AB256" s="236"/>
      <c r="AC256" s="236"/>
      <c r="AD256" s="236"/>
      <c r="AE256" s="236"/>
      <c r="AF256" s="236"/>
      <c r="AG256" s="236"/>
      <c r="AH256" s="236"/>
      <c r="AI256" s="236"/>
      <c r="AJ256" s="236"/>
      <c r="AK256" s="236"/>
      <c r="AL256" s="236"/>
      <c r="AM256" s="236"/>
      <c r="AN256" s="25" t="s">
        <v>1017</v>
      </c>
      <c r="AO256" s="33"/>
      <c r="AP256" s="25"/>
      <c r="AQ256" s="33"/>
      <c r="AR256" s="25" t="s">
        <v>1018</v>
      </c>
      <c r="AS256" s="33"/>
      <c r="AT256" s="25" t="s">
        <v>1019</v>
      </c>
      <c r="AU256" s="175"/>
      <c r="AV256" s="31"/>
      <c r="AW256" s="31"/>
      <c r="AX256" s="31"/>
      <c r="AY256" s="31"/>
      <c r="AZ256" s="31"/>
      <c r="BA256" s="31"/>
      <c r="BB256" s="31"/>
      <c r="BC256" s="31"/>
      <c r="BD256" s="223"/>
      <c r="BE256" s="31"/>
      <c r="BF256" s="31"/>
      <c r="BG256" s="31"/>
      <c r="BH256" s="31"/>
      <c r="BI256" s="31"/>
      <c r="BJ256" s="25" t="s">
        <v>1020</v>
      </c>
      <c r="BK256" s="32">
        <v>67.849999999999994</v>
      </c>
      <c r="BL256" s="185" t="s">
        <v>1021</v>
      </c>
      <c r="BM256" s="185" t="s">
        <v>1022</v>
      </c>
      <c r="BN256" s="185"/>
      <c r="BO256" s="185"/>
      <c r="BP256" s="185"/>
      <c r="BQ256" s="185"/>
      <c r="BR256" s="185"/>
      <c r="BS256" s="185"/>
      <c r="BT256" s="602" t="s">
        <v>875</v>
      </c>
      <c r="BU256" s="602"/>
      <c r="BV256" s="602"/>
      <c r="BW256" s="602"/>
      <c r="BX256" s="602"/>
      <c r="BY256" s="150">
        <v>15.055999999999999</v>
      </c>
      <c r="BZ256" s="150">
        <v>10.305999999999999</v>
      </c>
      <c r="CA256" s="150">
        <v>13.362</v>
      </c>
      <c r="CB256" s="47">
        <f t="shared" si="58"/>
        <v>1.199851430111111</v>
      </c>
      <c r="CC256" s="150">
        <v>32.247999999999998</v>
      </c>
      <c r="CD256" s="304"/>
      <c r="CE256" s="304"/>
      <c r="CF256" s="223" t="s">
        <v>134</v>
      </c>
      <c r="CG256" s="153">
        <v>6</v>
      </c>
      <c r="CH256" s="153">
        <v>10</v>
      </c>
      <c r="CI256" s="153">
        <v>3</v>
      </c>
      <c r="CJ256" s="153">
        <f t="shared" si="59"/>
        <v>180</v>
      </c>
      <c r="CK256" s="153">
        <f>(CB256*CH256*CI256)+50</f>
        <v>85.99554290333333</v>
      </c>
      <c r="CL256" s="153" t="s">
        <v>256</v>
      </c>
      <c r="CM256" s="153" t="s">
        <v>136</v>
      </c>
      <c r="CN256" s="237"/>
      <c r="CO256" s="237"/>
      <c r="CP256" s="14"/>
      <c r="CQ256" s="14"/>
      <c r="CR256" s="14"/>
      <c r="CS256" s="14"/>
      <c r="CT256" s="14"/>
      <c r="CU256" s="14"/>
    </row>
    <row r="257" spans="1:99" s="105" customFormat="1" ht="45" x14ac:dyDescent="0.25">
      <c r="A257" s="239">
        <v>41815</v>
      </c>
      <c r="B257" s="239"/>
      <c r="C257" s="169" t="s">
        <v>1023</v>
      </c>
      <c r="D257" s="211" t="s">
        <v>54</v>
      </c>
      <c r="E257" s="169" t="s">
        <v>486</v>
      </c>
      <c r="F257" s="32" t="s">
        <v>1024</v>
      </c>
      <c r="G257" s="32"/>
      <c r="H257" s="32"/>
      <c r="I257" s="32"/>
      <c r="J257" s="31" t="s">
        <v>1025</v>
      </c>
      <c r="K257" s="31" t="s">
        <v>1026</v>
      </c>
      <c r="L257" s="31"/>
      <c r="M257" s="31"/>
      <c r="N257" s="25"/>
      <c r="O257" s="26"/>
      <c r="P257" s="236"/>
      <c r="Q257" s="236"/>
      <c r="R257" s="236"/>
      <c r="S257" s="236"/>
      <c r="T257" s="236"/>
      <c r="U257" s="236"/>
      <c r="V257" s="236"/>
      <c r="W257" s="236"/>
      <c r="X257" s="236"/>
      <c r="Y257" s="236"/>
      <c r="Z257" s="236"/>
      <c r="AA257" s="236"/>
      <c r="AB257" s="236"/>
      <c r="AC257" s="236"/>
      <c r="AD257" s="236"/>
      <c r="AE257" s="236"/>
      <c r="AF257" s="236"/>
      <c r="AG257" s="236"/>
      <c r="AH257" s="236"/>
      <c r="AI257" s="236"/>
      <c r="AJ257" s="236"/>
      <c r="AK257" s="236"/>
      <c r="AL257" s="236"/>
      <c r="AM257" s="236"/>
      <c r="AN257" s="33" t="s">
        <v>1027</v>
      </c>
      <c r="AO257" s="33"/>
      <c r="AP257" s="25"/>
      <c r="AQ257" s="33"/>
      <c r="AR257" s="25" t="s">
        <v>1028</v>
      </c>
      <c r="AS257" s="33"/>
      <c r="AT257" s="25" t="s">
        <v>1029</v>
      </c>
      <c r="AU257" s="175"/>
      <c r="AV257" s="31"/>
      <c r="AW257" s="31"/>
      <c r="AX257" s="31"/>
      <c r="AY257" s="31"/>
      <c r="AZ257" s="31"/>
      <c r="BA257" s="31"/>
      <c r="BB257" s="31"/>
      <c r="BC257" s="31"/>
      <c r="BD257" s="223"/>
      <c r="BE257" s="31"/>
      <c r="BF257" s="31"/>
      <c r="BG257" s="31"/>
      <c r="BH257" s="31"/>
      <c r="BI257" s="31"/>
      <c r="BJ257" s="31">
        <v>33822</v>
      </c>
      <c r="BK257" s="32">
        <v>62.81</v>
      </c>
      <c r="BL257" s="185" t="s">
        <v>1030</v>
      </c>
      <c r="BM257" s="185" t="s">
        <v>1031</v>
      </c>
      <c r="BN257" s="185"/>
      <c r="BO257" s="185"/>
      <c r="BP257" s="185"/>
      <c r="BQ257" s="185"/>
      <c r="BR257" s="185"/>
      <c r="BS257" s="185"/>
      <c r="BT257" s="150">
        <v>4.7859999999999996</v>
      </c>
      <c r="BU257" s="150">
        <v>4.7859999999999996</v>
      </c>
      <c r="BV257" s="150">
        <v>10.692</v>
      </c>
      <c r="BW257" s="47">
        <f t="shared" ref="BW257" si="63">(BV257*BU257*BT257)/1728</f>
        <v>0.14172961274999998</v>
      </c>
      <c r="BX257" s="150">
        <v>2.65</v>
      </c>
      <c r="BY257" s="150">
        <v>14.75</v>
      </c>
      <c r="BZ257" s="150">
        <v>10</v>
      </c>
      <c r="CA257" s="150">
        <v>12.12</v>
      </c>
      <c r="CB257" s="47">
        <f t="shared" si="58"/>
        <v>1.0345486111111111</v>
      </c>
      <c r="CC257" s="150">
        <f>CG257*BX257+0.25</f>
        <v>16.149999999999999</v>
      </c>
      <c r="CD257" s="304"/>
      <c r="CE257" s="304"/>
      <c r="CF257" s="248" t="s">
        <v>134</v>
      </c>
      <c r="CG257" s="153">
        <v>6</v>
      </c>
      <c r="CH257" s="153">
        <v>12</v>
      </c>
      <c r="CI257" s="153">
        <v>3</v>
      </c>
      <c r="CJ257" s="153">
        <f t="shared" si="59"/>
        <v>216</v>
      </c>
      <c r="CK257" s="153">
        <f t="shared" ref="CK257:CK272" si="64">(CC257*CH257*CI257)+50</f>
        <v>631.4</v>
      </c>
      <c r="CL257" s="153" t="s">
        <v>256</v>
      </c>
      <c r="CM257" s="153" t="s">
        <v>136</v>
      </c>
      <c r="CN257" s="237"/>
      <c r="CO257" s="237"/>
      <c r="CP257" s="14"/>
      <c r="CQ257" s="14"/>
      <c r="CR257" s="14"/>
      <c r="CS257" s="14"/>
      <c r="CT257" s="14"/>
      <c r="CU257" s="14"/>
    </row>
    <row r="258" spans="1:99" s="105" customFormat="1" ht="30" x14ac:dyDescent="0.25">
      <c r="A258" s="239">
        <v>41791</v>
      </c>
      <c r="B258" s="239"/>
      <c r="C258" s="213" t="s">
        <v>1032</v>
      </c>
      <c r="D258" s="211" t="s">
        <v>54</v>
      </c>
      <c r="E258" s="252" t="s">
        <v>1033</v>
      </c>
      <c r="F258" s="213" t="s">
        <v>1034</v>
      </c>
      <c r="G258" s="213"/>
      <c r="H258" s="213"/>
      <c r="I258" s="213"/>
      <c r="J258" s="222" t="s">
        <v>519</v>
      </c>
      <c r="K258" s="222" t="s">
        <v>1035</v>
      </c>
      <c r="L258" s="222"/>
      <c r="M258" s="222"/>
      <c r="N258" s="222"/>
      <c r="O258" s="222"/>
      <c r="P258" s="222"/>
      <c r="Q258" s="222"/>
      <c r="R258" s="222"/>
      <c r="S258" s="222"/>
      <c r="T258" s="222"/>
      <c r="U258" s="222"/>
      <c r="V258" s="222"/>
      <c r="W258" s="222"/>
      <c r="X258" s="222"/>
      <c r="Y258" s="222"/>
      <c r="Z258" s="222"/>
      <c r="AA258" s="222"/>
      <c r="AB258" s="222"/>
      <c r="AC258" s="222"/>
      <c r="AD258" s="222"/>
      <c r="AE258" s="222"/>
      <c r="AF258" s="222"/>
      <c r="AG258" s="222"/>
      <c r="AH258" s="222"/>
      <c r="AI258" s="222"/>
      <c r="AJ258" s="222"/>
      <c r="AK258" s="222"/>
      <c r="AL258" s="222"/>
      <c r="AM258" s="222"/>
      <c r="AN258" s="222"/>
      <c r="AO258" s="222"/>
      <c r="AP258" s="222"/>
      <c r="AQ258" s="222"/>
      <c r="AR258" s="222"/>
      <c r="AS258" s="222"/>
      <c r="AT258" s="222" t="s">
        <v>1036</v>
      </c>
      <c r="AU258" s="222"/>
      <c r="AV258" s="222"/>
      <c r="AW258" s="222"/>
      <c r="AX258" s="222"/>
      <c r="AY258" s="222"/>
      <c r="AZ258" s="222"/>
      <c r="BA258" s="222"/>
      <c r="BB258" s="222"/>
      <c r="BC258" s="222"/>
      <c r="BD258" s="222"/>
      <c r="BE258" s="222"/>
      <c r="BF258" s="222"/>
      <c r="BG258" s="222"/>
      <c r="BH258" s="222"/>
      <c r="BI258" s="222"/>
      <c r="BJ258" s="222" t="s">
        <v>1037</v>
      </c>
      <c r="BK258" s="32">
        <v>53.49</v>
      </c>
      <c r="BL258" s="232" t="s">
        <v>1038</v>
      </c>
      <c r="BM258" s="232" t="s">
        <v>1039</v>
      </c>
      <c r="BN258" s="232"/>
      <c r="BO258" s="232"/>
      <c r="BP258" s="232"/>
      <c r="BQ258" s="232"/>
      <c r="BR258" s="232"/>
      <c r="BS258" s="232"/>
      <c r="BT258" s="599" t="s">
        <v>875</v>
      </c>
      <c r="BU258" s="599"/>
      <c r="BV258" s="599"/>
      <c r="BW258" s="599"/>
      <c r="BX258" s="599"/>
      <c r="BY258" s="93">
        <v>15.055999999999999</v>
      </c>
      <c r="BZ258" s="93">
        <v>10.305999999999999</v>
      </c>
      <c r="CA258" s="93">
        <v>13.362</v>
      </c>
      <c r="CB258" s="91">
        <f t="shared" si="58"/>
        <v>1.199851430111111</v>
      </c>
      <c r="CC258" s="93">
        <f>2.4*6+0.4</f>
        <v>14.799999999999999</v>
      </c>
      <c r="CD258" s="301"/>
      <c r="CE258" s="301"/>
      <c r="CF258" s="104"/>
      <c r="CG258" s="27">
        <v>6</v>
      </c>
      <c r="CH258" s="27">
        <v>10</v>
      </c>
      <c r="CI258" s="27">
        <v>3</v>
      </c>
      <c r="CJ258" s="27">
        <f t="shared" si="59"/>
        <v>180</v>
      </c>
      <c r="CK258" s="27">
        <f t="shared" si="64"/>
        <v>494</v>
      </c>
      <c r="CL258" s="27" t="s">
        <v>256</v>
      </c>
      <c r="CM258" s="27" t="s">
        <v>136</v>
      </c>
      <c r="CN258" s="237"/>
      <c r="CO258" s="237"/>
      <c r="CP258" s="14"/>
      <c r="CQ258" s="14"/>
      <c r="CR258" s="14"/>
      <c r="CS258" s="14"/>
      <c r="CT258" s="14"/>
      <c r="CU258" s="14"/>
    </row>
    <row r="259" spans="1:99" s="105" customFormat="1" x14ac:dyDescent="0.25">
      <c r="A259" s="239">
        <v>41791</v>
      </c>
      <c r="B259" s="239"/>
      <c r="C259" s="213" t="s">
        <v>1040</v>
      </c>
      <c r="D259" s="211" t="s">
        <v>54</v>
      </c>
      <c r="E259" s="213" t="s">
        <v>438</v>
      </c>
      <c r="F259" s="235" t="s">
        <v>1041</v>
      </c>
      <c r="G259" s="235"/>
      <c r="H259" s="235"/>
      <c r="I259" s="235"/>
      <c r="J259" s="222" t="s">
        <v>488</v>
      </c>
      <c r="K259" s="222" t="s">
        <v>1042</v>
      </c>
      <c r="L259" s="222"/>
      <c r="M259" s="222"/>
      <c r="N259" s="222"/>
      <c r="O259" s="222"/>
      <c r="P259" s="222"/>
      <c r="Q259" s="222"/>
      <c r="R259" s="222"/>
      <c r="S259" s="222"/>
      <c r="T259" s="222"/>
      <c r="U259" s="222"/>
      <c r="V259" s="222"/>
      <c r="W259" s="222"/>
      <c r="X259" s="222"/>
      <c r="Y259" s="222"/>
      <c r="Z259" s="222"/>
      <c r="AA259" s="222"/>
      <c r="AB259" s="222"/>
      <c r="AC259" s="222"/>
      <c r="AD259" s="222"/>
      <c r="AE259" s="222"/>
      <c r="AF259" s="222"/>
      <c r="AG259" s="222"/>
      <c r="AH259" s="222"/>
      <c r="AI259" s="222"/>
      <c r="AJ259" s="222"/>
      <c r="AK259" s="222"/>
      <c r="AL259" s="222"/>
      <c r="AM259" s="222"/>
      <c r="AN259" s="222" t="s">
        <v>1043</v>
      </c>
      <c r="AO259" s="222"/>
      <c r="AP259" s="222"/>
      <c r="AQ259" s="222"/>
      <c r="AR259" s="222" t="s">
        <v>1044</v>
      </c>
      <c r="AS259" s="222"/>
      <c r="AT259" s="222" t="s">
        <v>1045</v>
      </c>
      <c r="AU259" s="222" t="s">
        <v>1046</v>
      </c>
      <c r="AV259" s="222"/>
      <c r="AW259" s="222"/>
      <c r="AX259" s="222"/>
      <c r="AY259" s="222"/>
      <c r="AZ259" s="222"/>
      <c r="BA259" s="222"/>
      <c r="BB259" s="222"/>
      <c r="BC259" s="222"/>
      <c r="BD259" s="222"/>
      <c r="BE259" s="222"/>
      <c r="BF259" s="222"/>
      <c r="BG259" s="222"/>
      <c r="BH259" s="222"/>
      <c r="BI259" s="222"/>
      <c r="BJ259" s="222"/>
      <c r="BK259" s="32">
        <v>33.840000000000003</v>
      </c>
      <c r="BL259" s="232" t="s">
        <v>1047</v>
      </c>
      <c r="BM259" s="232" t="s">
        <v>1048</v>
      </c>
      <c r="BN259" s="232"/>
      <c r="BO259" s="232"/>
      <c r="BP259" s="232"/>
      <c r="BQ259" s="232"/>
      <c r="BR259" s="232"/>
      <c r="BS259" s="232"/>
      <c r="BT259" s="598" t="s">
        <v>355</v>
      </c>
      <c r="BU259" s="598"/>
      <c r="BV259" s="598"/>
      <c r="BW259" s="598"/>
      <c r="BX259" s="598"/>
      <c r="BY259" s="93">
        <v>6.806</v>
      </c>
      <c r="BZ259" s="93">
        <v>6.806</v>
      </c>
      <c r="CA259" s="93">
        <v>6.1120000000000001</v>
      </c>
      <c r="CB259" s="91">
        <f t="shared" si="58"/>
        <v>0.16384134214814813</v>
      </c>
      <c r="CC259" s="93">
        <f>1.5+0.25</f>
        <v>1.75</v>
      </c>
      <c r="CD259" s="301"/>
      <c r="CE259" s="301"/>
      <c r="CF259" s="104"/>
      <c r="CG259" s="27">
        <v>1</v>
      </c>
      <c r="CH259" s="27">
        <v>35</v>
      </c>
      <c r="CI259" s="27">
        <v>7</v>
      </c>
      <c r="CJ259" s="27">
        <f t="shared" si="59"/>
        <v>245</v>
      </c>
      <c r="CK259" s="27">
        <f t="shared" si="64"/>
        <v>478.75</v>
      </c>
      <c r="CL259" s="27" t="s">
        <v>256</v>
      </c>
      <c r="CM259" s="27" t="s">
        <v>136</v>
      </c>
      <c r="CN259" s="237"/>
      <c r="CO259" s="237"/>
      <c r="CP259" s="14"/>
      <c r="CQ259" s="14"/>
      <c r="CR259" s="14"/>
      <c r="CS259" s="14"/>
      <c r="CT259" s="14"/>
      <c r="CU259" s="14"/>
    </row>
    <row r="260" spans="1:99" s="105" customFormat="1" x14ac:dyDescent="0.25">
      <c r="A260" s="239">
        <v>41791</v>
      </c>
      <c r="B260" s="239"/>
      <c r="C260" s="213" t="s">
        <v>1049</v>
      </c>
      <c r="D260" s="211" t="s">
        <v>54</v>
      </c>
      <c r="E260" s="213" t="s">
        <v>438</v>
      </c>
      <c r="F260" s="235" t="s">
        <v>1050</v>
      </c>
      <c r="G260" s="235"/>
      <c r="H260" s="235"/>
      <c r="I260" s="235"/>
      <c r="J260" s="222" t="s">
        <v>107</v>
      </c>
      <c r="K260" s="222">
        <v>9179832</v>
      </c>
      <c r="L260" s="222" t="s">
        <v>108</v>
      </c>
      <c r="M260" s="222" t="s">
        <v>1051</v>
      </c>
      <c r="N260" s="222"/>
      <c r="O260" s="222"/>
      <c r="P260" s="222"/>
      <c r="Q260" s="222"/>
      <c r="R260" s="222"/>
      <c r="S260" s="222"/>
      <c r="T260" s="222"/>
      <c r="U260" s="222"/>
      <c r="V260" s="222"/>
      <c r="W260" s="222"/>
      <c r="X260" s="222"/>
      <c r="Y260" s="222"/>
      <c r="Z260" s="222"/>
      <c r="AA260" s="222"/>
      <c r="AB260" s="222"/>
      <c r="AC260" s="222"/>
      <c r="AD260" s="222"/>
      <c r="AE260" s="222"/>
      <c r="AF260" s="222"/>
      <c r="AG260" s="222"/>
      <c r="AH260" s="222"/>
      <c r="AI260" s="222"/>
      <c r="AJ260" s="222"/>
      <c r="AK260" s="222"/>
      <c r="AL260" s="222"/>
      <c r="AM260" s="222"/>
      <c r="AN260" s="222" t="s">
        <v>1052</v>
      </c>
      <c r="AO260" s="222"/>
      <c r="AP260" s="222"/>
      <c r="AQ260" s="222"/>
      <c r="AR260" s="222"/>
      <c r="AS260" s="222"/>
      <c r="AT260" s="222"/>
      <c r="AU260" s="222"/>
      <c r="AV260" s="222"/>
      <c r="AW260" s="222"/>
      <c r="AX260" s="222"/>
      <c r="AY260" s="222"/>
      <c r="AZ260" s="222"/>
      <c r="BA260" s="222"/>
      <c r="BB260" s="222"/>
      <c r="BC260" s="222"/>
      <c r="BD260" s="222"/>
      <c r="BE260" s="222"/>
      <c r="BF260" s="222"/>
      <c r="BG260" s="222"/>
      <c r="BH260" s="222"/>
      <c r="BI260" s="222"/>
      <c r="BJ260" s="222">
        <v>49832</v>
      </c>
      <c r="BK260" s="32">
        <v>102.947</v>
      </c>
      <c r="BL260" s="232" t="s">
        <v>1053</v>
      </c>
      <c r="BM260" s="232" t="s">
        <v>1054</v>
      </c>
      <c r="BN260" s="232"/>
      <c r="BO260" s="232"/>
      <c r="BP260" s="232"/>
      <c r="BQ260" s="232"/>
      <c r="BR260" s="232"/>
      <c r="BS260" s="232"/>
      <c r="BT260" s="598" t="s">
        <v>355</v>
      </c>
      <c r="BU260" s="598"/>
      <c r="BV260" s="598"/>
      <c r="BW260" s="598"/>
      <c r="BX260" s="598"/>
      <c r="BY260" s="93">
        <v>9.6809999999999992</v>
      </c>
      <c r="BZ260" s="93">
        <v>9.6809999999999992</v>
      </c>
      <c r="CA260" s="93">
        <v>20.486999999999998</v>
      </c>
      <c r="CB260" s="91">
        <f t="shared" si="58"/>
        <v>1.1111560865781247</v>
      </c>
      <c r="CC260" s="93">
        <f>3.87+0.25</f>
        <v>4.12</v>
      </c>
      <c r="CD260" s="301"/>
      <c r="CE260" s="301"/>
      <c r="CF260" s="104" t="s">
        <v>134</v>
      </c>
      <c r="CG260" s="27">
        <v>1</v>
      </c>
      <c r="CH260" s="27">
        <v>16</v>
      </c>
      <c r="CI260" s="27">
        <v>2</v>
      </c>
      <c r="CJ260" s="27">
        <f t="shared" si="59"/>
        <v>32</v>
      </c>
      <c r="CK260" s="27">
        <f t="shared" si="64"/>
        <v>181.84</v>
      </c>
      <c r="CL260" s="27" t="s">
        <v>256</v>
      </c>
      <c r="CM260" s="27" t="s">
        <v>136</v>
      </c>
      <c r="CN260" s="253"/>
      <c r="CO260" s="237"/>
      <c r="CP260" s="14"/>
      <c r="CQ260" s="14"/>
      <c r="CR260" s="14"/>
      <c r="CS260" s="14"/>
      <c r="CT260" s="14"/>
      <c r="CU260" s="14"/>
    </row>
    <row r="261" spans="1:99" s="105" customFormat="1" x14ac:dyDescent="0.25">
      <c r="A261" s="239">
        <v>41791</v>
      </c>
      <c r="B261" s="239"/>
      <c r="C261" s="213" t="s">
        <v>1055</v>
      </c>
      <c r="D261" s="211" t="s">
        <v>54</v>
      </c>
      <c r="E261" s="213" t="s">
        <v>438</v>
      </c>
      <c r="F261" s="213" t="s">
        <v>1056</v>
      </c>
      <c r="G261" s="213"/>
      <c r="H261" s="213"/>
      <c r="I261" s="213"/>
      <c r="J261" s="222" t="s">
        <v>519</v>
      </c>
      <c r="K261" s="222" t="s">
        <v>1057</v>
      </c>
      <c r="L261" s="222"/>
      <c r="M261" s="222"/>
      <c r="N261" s="222"/>
      <c r="O261" s="222"/>
      <c r="P261" s="222"/>
      <c r="Q261" s="222"/>
      <c r="R261" s="222"/>
      <c r="S261" s="222"/>
      <c r="T261" s="222"/>
      <c r="U261" s="222"/>
      <c r="V261" s="222"/>
      <c r="W261" s="222"/>
      <c r="X261" s="222"/>
      <c r="Y261" s="222"/>
      <c r="Z261" s="222"/>
      <c r="AA261" s="222"/>
      <c r="AB261" s="222"/>
      <c r="AC261" s="222"/>
      <c r="AD261" s="222"/>
      <c r="AE261" s="222"/>
      <c r="AF261" s="222"/>
      <c r="AG261" s="222"/>
      <c r="AH261" s="222"/>
      <c r="AI261" s="222"/>
      <c r="AJ261" s="222"/>
      <c r="AK261" s="222"/>
      <c r="AL261" s="222"/>
      <c r="AM261" s="222"/>
      <c r="AN261" s="222"/>
      <c r="AO261" s="222"/>
      <c r="AP261" s="222"/>
      <c r="AQ261" s="222"/>
      <c r="AR261" s="222" t="s">
        <v>1058</v>
      </c>
      <c r="AS261" s="222"/>
      <c r="AT261" s="222"/>
      <c r="AU261" s="222"/>
      <c r="AV261" s="222"/>
      <c r="AW261" s="222"/>
      <c r="AX261" s="222"/>
      <c r="AY261" s="222"/>
      <c r="AZ261" s="222"/>
      <c r="BA261" s="222"/>
      <c r="BB261" s="222"/>
      <c r="BC261" s="222"/>
      <c r="BD261" s="222"/>
      <c r="BE261" s="222"/>
      <c r="BF261" s="222"/>
      <c r="BG261" s="222"/>
      <c r="BH261" s="222"/>
      <c r="BI261" s="222"/>
      <c r="BJ261" s="222"/>
      <c r="BK261" s="32">
        <v>242.03</v>
      </c>
      <c r="BL261" s="232" t="s">
        <v>1059</v>
      </c>
      <c r="BM261" s="232" t="s">
        <v>1060</v>
      </c>
      <c r="BN261" s="232"/>
      <c r="BO261" s="232"/>
      <c r="BP261" s="232"/>
      <c r="BQ261" s="232"/>
      <c r="BR261" s="232"/>
      <c r="BS261" s="232"/>
      <c r="BT261" s="598" t="s">
        <v>355</v>
      </c>
      <c r="BU261" s="598"/>
      <c r="BV261" s="598"/>
      <c r="BW261" s="598"/>
      <c r="BX261" s="598"/>
      <c r="BY261" s="93">
        <v>10.99</v>
      </c>
      <c r="BZ261" s="93">
        <v>10.25</v>
      </c>
      <c r="CA261" s="93">
        <v>8.57</v>
      </c>
      <c r="CB261" s="91">
        <f t="shared" si="58"/>
        <v>0.55867423321759258</v>
      </c>
      <c r="CC261" s="93">
        <f>2.84+0.25</f>
        <v>3.09</v>
      </c>
      <c r="CD261" s="301"/>
      <c r="CE261" s="301"/>
      <c r="CF261" s="104"/>
      <c r="CG261" s="27">
        <v>1</v>
      </c>
      <c r="CH261" s="27">
        <v>6</v>
      </c>
      <c r="CI261" s="27">
        <v>6</v>
      </c>
      <c r="CJ261" s="27">
        <f t="shared" si="59"/>
        <v>36</v>
      </c>
      <c r="CK261" s="27">
        <f t="shared" si="64"/>
        <v>161.24</v>
      </c>
      <c r="CL261" s="27" t="s">
        <v>256</v>
      </c>
      <c r="CM261" s="27" t="s">
        <v>136</v>
      </c>
      <c r="CN261" s="253"/>
      <c r="CO261" s="237"/>
      <c r="CP261" s="14"/>
      <c r="CQ261" s="14"/>
      <c r="CR261" s="14"/>
      <c r="CS261" s="14"/>
      <c r="CT261" s="14"/>
      <c r="CU261" s="14"/>
    </row>
    <row r="262" spans="1:99" s="105" customFormat="1" x14ac:dyDescent="0.25">
      <c r="A262" s="239">
        <v>41791</v>
      </c>
      <c r="B262" s="239"/>
      <c r="C262" s="213" t="s">
        <v>1061</v>
      </c>
      <c r="D262" s="211" t="s">
        <v>54</v>
      </c>
      <c r="E262" s="213" t="s">
        <v>438</v>
      </c>
      <c r="F262" s="213" t="s">
        <v>1062</v>
      </c>
      <c r="G262" s="213"/>
      <c r="H262" s="213"/>
      <c r="I262" s="213"/>
      <c r="J262" s="222"/>
      <c r="K262" s="222"/>
      <c r="L262" s="222"/>
      <c r="M262" s="222"/>
      <c r="N262" s="222"/>
      <c r="O262" s="222"/>
      <c r="P262" s="222"/>
      <c r="Q262" s="222"/>
      <c r="R262" s="222"/>
      <c r="S262" s="222"/>
      <c r="T262" s="222"/>
      <c r="U262" s="222"/>
      <c r="V262" s="222"/>
      <c r="W262" s="222"/>
      <c r="X262" s="222"/>
      <c r="Y262" s="222"/>
      <c r="Z262" s="222"/>
      <c r="AA262" s="222"/>
      <c r="AB262" s="222"/>
      <c r="AC262" s="222"/>
      <c r="AD262" s="222"/>
      <c r="AE262" s="222"/>
      <c r="AF262" s="222"/>
      <c r="AG262" s="222"/>
      <c r="AH262" s="222"/>
      <c r="AI262" s="222"/>
      <c r="AJ262" s="222"/>
      <c r="AK262" s="222"/>
      <c r="AL262" s="222"/>
      <c r="AM262" s="222"/>
      <c r="AN262" s="222"/>
      <c r="AO262" s="222"/>
      <c r="AP262" s="222"/>
      <c r="AQ262" s="222"/>
      <c r="AR262" s="222" t="s">
        <v>1063</v>
      </c>
      <c r="AS262" s="222"/>
      <c r="AT262" s="222"/>
      <c r="AU262" s="222"/>
      <c r="AV262" s="222"/>
      <c r="AW262" s="222"/>
      <c r="AX262" s="222"/>
      <c r="AY262" s="222"/>
      <c r="AZ262" s="222"/>
      <c r="BA262" s="222"/>
      <c r="BB262" s="222"/>
      <c r="BC262" s="222"/>
      <c r="BD262" s="222"/>
      <c r="BE262" s="222"/>
      <c r="BF262" s="222"/>
      <c r="BG262" s="222"/>
      <c r="BH262" s="222"/>
      <c r="BI262" s="222"/>
      <c r="BJ262" s="222"/>
      <c r="BK262" s="32">
        <v>291.88</v>
      </c>
      <c r="BL262" s="232" t="s">
        <v>1064</v>
      </c>
      <c r="BM262" s="232" t="s">
        <v>1065</v>
      </c>
      <c r="BN262" s="232"/>
      <c r="BO262" s="232"/>
      <c r="BP262" s="232"/>
      <c r="BQ262" s="232"/>
      <c r="BR262" s="232"/>
      <c r="BS262" s="232"/>
      <c r="BT262" s="598" t="s">
        <v>355</v>
      </c>
      <c r="BU262" s="598"/>
      <c r="BV262" s="598"/>
      <c r="BW262" s="598"/>
      <c r="BX262" s="598"/>
      <c r="BY262" s="93">
        <v>15</v>
      </c>
      <c r="BZ262" s="93">
        <v>15</v>
      </c>
      <c r="CA262" s="93">
        <v>10.52</v>
      </c>
      <c r="CB262" s="91">
        <f t="shared" si="58"/>
        <v>1.3697916666666663</v>
      </c>
      <c r="CC262" s="93">
        <f>5.53+0.25</f>
        <v>5.78</v>
      </c>
      <c r="CD262" s="301"/>
      <c r="CE262" s="301"/>
      <c r="CF262" s="104"/>
      <c r="CG262" s="27">
        <v>1</v>
      </c>
      <c r="CH262" s="27">
        <v>6</v>
      </c>
      <c r="CI262" s="27">
        <v>3</v>
      </c>
      <c r="CJ262" s="27">
        <f t="shared" si="59"/>
        <v>18</v>
      </c>
      <c r="CK262" s="27">
        <f t="shared" si="64"/>
        <v>154.04</v>
      </c>
      <c r="CL262" s="27" t="s">
        <v>256</v>
      </c>
      <c r="CM262" s="27" t="s">
        <v>136</v>
      </c>
      <c r="CN262" s="253"/>
      <c r="CO262" s="237"/>
      <c r="CP262" s="14"/>
      <c r="CQ262" s="14"/>
      <c r="CR262" s="14"/>
      <c r="CS262" s="14"/>
      <c r="CT262" s="14"/>
      <c r="CU262" s="14"/>
    </row>
    <row r="263" spans="1:99" s="105" customFormat="1" x14ac:dyDescent="0.25">
      <c r="A263" s="239">
        <v>41791</v>
      </c>
      <c r="B263" s="239"/>
      <c r="C263" s="211">
        <v>1152</v>
      </c>
      <c r="D263" s="211" t="s">
        <v>54</v>
      </c>
      <c r="E263" s="213" t="s">
        <v>1066</v>
      </c>
      <c r="F263" s="32" t="s">
        <v>1067</v>
      </c>
      <c r="G263" s="32"/>
      <c r="H263" s="32"/>
      <c r="I263" s="32"/>
      <c r="J263" s="222"/>
      <c r="K263" s="222"/>
      <c r="L263" s="222"/>
      <c r="M263" s="222"/>
      <c r="N263" s="222"/>
      <c r="O263" s="222"/>
      <c r="P263" s="222"/>
      <c r="Q263" s="222"/>
      <c r="R263" s="222"/>
      <c r="S263" s="222"/>
      <c r="T263" s="222"/>
      <c r="U263" s="222"/>
      <c r="V263" s="222"/>
      <c r="W263" s="222"/>
      <c r="X263" s="222"/>
      <c r="Y263" s="222"/>
      <c r="Z263" s="222"/>
      <c r="AA263" s="222"/>
      <c r="AB263" s="222"/>
      <c r="AC263" s="222"/>
      <c r="AD263" s="222"/>
      <c r="AE263" s="222"/>
      <c r="AF263" s="222"/>
      <c r="AG263" s="222"/>
      <c r="AH263" s="222"/>
      <c r="AI263" s="222"/>
      <c r="AJ263" s="222"/>
      <c r="AK263" s="222"/>
      <c r="AL263" s="222"/>
      <c r="AM263" s="222"/>
      <c r="AN263" s="222"/>
      <c r="AO263" s="222"/>
      <c r="AP263" s="222"/>
      <c r="AQ263" s="222"/>
      <c r="AR263" s="222"/>
      <c r="AS263" s="222"/>
      <c r="AT263" s="222"/>
      <c r="AU263" s="222"/>
      <c r="AV263" s="222"/>
      <c r="AW263" s="222"/>
      <c r="AX263" s="222"/>
      <c r="AY263" s="222"/>
      <c r="AZ263" s="222"/>
      <c r="BA263" s="222"/>
      <c r="BB263" s="222"/>
      <c r="BC263" s="222"/>
      <c r="BD263" s="222"/>
      <c r="BE263" s="222"/>
      <c r="BF263" s="222"/>
      <c r="BG263" s="222"/>
      <c r="BH263" s="222"/>
      <c r="BI263" s="222"/>
      <c r="BJ263" s="222"/>
      <c r="BK263" s="32"/>
      <c r="BL263" s="243" t="s">
        <v>1068</v>
      </c>
      <c r="BM263" s="243" t="s">
        <v>1069</v>
      </c>
      <c r="BN263" s="243"/>
      <c r="BO263" s="243"/>
      <c r="BP263" s="243"/>
      <c r="BQ263" s="243"/>
      <c r="BR263" s="243"/>
      <c r="BS263" s="243"/>
      <c r="BT263" s="599" t="s">
        <v>1070</v>
      </c>
      <c r="BU263" s="599"/>
      <c r="BV263" s="599"/>
      <c r="BW263" s="599"/>
      <c r="BX263" s="599"/>
      <c r="BY263" s="93">
        <v>9</v>
      </c>
      <c r="BZ263" s="93">
        <v>9</v>
      </c>
      <c r="CA263" s="93">
        <v>4.5</v>
      </c>
      <c r="CB263" s="91">
        <f t="shared" si="58"/>
        <v>0.2109375</v>
      </c>
      <c r="CC263" s="93">
        <v>0.5</v>
      </c>
      <c r="CD263" s="301"/>
      <c r="CE263" s="301"/>
      <c r="CF263" s="104" t="s">
        <v>134</v>
      </c>
      <c r="CG263" s="27">
        <v>6</v>
      </c>
      <c r="CH263" s="27">
        <v>10</v>
      </c>
      <c r="CI263" s="27">
        <v>10</v>
      </c>
      <c r="CJ263" s="27">
        <f t="shared" si="59"/>
        <v>600</v>
      </c>
      <c r="CK263" s="27">
        <f t="shared" si="64"/>
        <v>100</v>
      </c>
      <c r="CL263" s="254" t="s">
        <v>256</v>
      </c>
      <c r="CM263" s="27" t="s">
        <v>136</v>
      </c>
      <c r="CN263" s="253"/>
      <c r="CO263" s="237"/>
      <c r="CP263" s="14"/>
      <c r="CQ263" s="14"/>
      <c r="CR263" s="14"/>
      <c r="CS263" s="14"/>
      <c r="CT263" s="14"/>
      <c r="CU263" s="14"/>
    </row>
    <row r="264" spans="1:99" s="105" customFormat="1" ht="75" x14ac:dyDescent="0.25">
      <c r="A264" s="239">
        <v>41791</v>
      </c>
      <c r="B264" s="239"/>
      <c r="C264" s="222" t="s">
        <v>1071</v>
      </c>
      <c r="D264" s="211" t="s">
        <v>54</v>
      </c>
      <c r="E264" s="213" t="s">
        <v>1072</v>
      </c>
      <c r="F264" s="46" t="s">
        <v>1073</v>
      </c>
      <c r="G264" s="46"/>
      <c r="H264" s="46"/>
      <c r="I264" s="46"/>
      <c r="J264" s="222"/>
      <c r="K264" s="222"/>
      <c r="L264" s="222"/>
      <c r="M264" s="222"/>
      <c r="N264" s="222"/>
      <c r="O264" s="222"/>
      <c r="P264" s="222"/>
      <c r="Q264" s="222"/>
      <c r="R264" s="222"/>
      <c r="S264" s="222"/>
      <c r="T264" s="222"/>
      <c r="U264" s="222"/>
      <c r="V264" s="222"/>
      <c r="W264" s="222"/>
      <c r="X264" s="222"/>
      <c r="Y264" s="222"/>
      <c r="Z264" s="222"/>
      <c r="AA264" s="222"/>
      <c r="AB264" s="222"/>
      <c r="AC264" s="222"/>
      <c r="AD264" s="222"/>
      <c r="AE264" s="222"/>
      <c r="AF264" s="222"/>
      <c r="AG264" s="222"/>
      <c r="AH264" s="222"/>
      <c r="AI264" s="222"/>
      <c r="AJ264" s="222"/>
      <c r="AK264" s="222"/>
      <c r="AL264" s="222"/>
      <c r="AM264" s="222"/>
      <c r="AN264" s="222"/>
      <c r="AO264" s="222"/>
      <c r="AP264" s="222"/>
      <c r="AQ264" s="222"/>
      <c r="AR264" s="222"/>
      <c r="AS264" s="222"/>
      <c r="AT264" s="222"/>
      <c r="AU264" s="222"/>
      <c r="AV264" s="222"/>
      <c r="AW264" s="222"/>
      <c r="AX264" s="222"/>
      <c r="AY264" s="222"/>
      <c r="AZ264" s="222"/>
      <c r="BA264" s="222"/>
      <c r="BB264" s="222"/>
      <c r="BC264" s="222"/>
      <c r="BD264" s="222"/>
      <c r="BE264" s="222"/>
      <c r="BF264" s="222"/>
      <c r="BG264" s="222"/>
      <c r="BH264" s="222"/>
      <c r="BI264" s="222"/>
      <c r="BJ264" s="222"/>
      <c r="BK264" s="118">
        <v>35.29</v>
      </c>
      <c r="BL264" s="232" t="s">
        <v>1074</v>
      </c>
      <c r="BM264" s="232" t="s">
        <v>1075</v>
      </c>
      <c r="BN264" s="232"/>
      <c r="BO264" s="232"/>
      <c r="BP264" s="232"/>
      <c r="BQ264" s="232"/>
      <c r="BR264" s="232"/>
      <c r="BS264" s="232"/>
      <c r="BT264" s="599" t="s">
        <v>875</v>
      </c>
      <c r="BU264" s="599"/>
      <c r="BV264" s="599"/>
      <c r="BW264" s="599"/>
      <c r="BX264" s="599"/>
      <c r="BY264" s="93">
        <v>20.625</v>
      </c>
      <c r="BZ264" s="93">
        <v>14.625</v>
      </c>
      <c r="CA264" s="93">
        <v>5.9370000000000003</v>
      </c>
      <c r="CB264" s="91">
        <f t="shared" si="58"/>
        <v>1.036365966796875</v>
      </c>
      <c r="CC264" s="93">
        <f>1.2*CG264+0.25</f>
        <v>7.4499999999999993</v>
      </c>
      <c r="CD264" s="301"/>
      <c r="CE264" s="301"/>
      <c r="CF264" s="104" t="s">
        <v>134</v>
      </c>
      <c r="CG264" s="27">
        <v>6</v>
      </c>
      <c r="CH264" s="27">
        <v>6</v>
      </c>
      <c r="CI264" s="27">
        <v>6</v>
      </c>
      <c r="CJ264" s="27">
        <f t="shared" si="59"/>
        <v>216</v>
      </c>
      <c r="CK264" s="27">
        <f t="shared" si="64"/>
        <v>318.2</v>
      </c>
      <c r="CL264" s="27" t="s">
        <v>139</v>
      </c>
      <c r="CM264" s="27" t="s">
        <v>136</v>
      </c>
      <c r="CN264" s="237"/>
      <c r="CO264" s="237"/>
      <c r="CP264" s="14"/>
      <c r="CQ264" s="14"/>
      <c r="CR264" s="14"/>
      <c r="CS264" s="14"/>
      <c r="CT264" s="14"/>
      <c r="CU264" s="14"/>
    </row>
    <row r="265" spans="1:99" s="105" customFormat="1" x14ac:dyDescent="0.25">
      <c r="A265" s="239">
        <v>41791</v>
      </c>
      <c r="B265" s="239"/>
      <c r="C265" s="213" t="s">
        <v>1076</v>
      </c>
      <c r="D265" s="211" t="s">
        <v>54</v>
      </c>
      <c r="E265" s="213" t="s">
        <v>1077</v>
      </c>
      <c r="F265" s="41" t="s">
        <v>1078</v>
      </c>
      <c r="G265" s="41"/>
      <c r="H265" s="41"/>
      <c r="I265" s="41"/>
      <c r="J265" s="222" t="s">
        <v>894</v>
      </c>
      <c r="K265" s="222"/>
      <c r="L265" s="222"/>
      <c r="M265" s="222"/>
      <c r="N265" s="222"/>
      <c r="O265" s="222"/>
      <c r="P265" s="222"/>
      <c r="Q265" s="222"/>
      <c r="R265" s="222"/>
      <c r="S265" s="222"/>
      <c r="T265" s="222"/>
      <c r="U265" s="222"/>
      <c r="V265" s="222"/>
      <c r="W265" s="222"/>
      <c r="X265" s="222"/>
      <c r="Y265" s="222"/>
      <c r="Z265" s="222"/>
      <c r="AA265" s="222"/>
      <c r="AB265" s="222"/>
      <c r="AC265" s="222"/>
      <c r="AD265" s="222"/>
      <c r="AE265" s="222"/>
      <c r="AF265" s="222"/>
      <c r="AG265" s="222"/>
      <c r="AH265" s="222"/>
      <c r="AI265" s="222"/>
      <c r="AJ265" s="222"/>
      <c r="AK265" s="222"/>
      <c r="AL265" s="222"/>
      <c r="AM265" s="222"/>
      <c r="AN265" s="222"/>
      <c r="AO265" s="222"/>
      <c r="AP265" s="222"/>
      <c r="AQ265" s="222"/>
      <c r="AR265" s="222"/>
      <c r="AS265" s="222"/>
      <c r="AT265" s="222"/>
      <c r="AU265" s="222"/>
      <c r="AV265" s="222"/>
      <c r="AW265" s="222"/>
      <c r="AX265" s="222"/>
      <c r="AY265" s="222"/>
      <c r="AZ265" s="222"/>
      <c r="BA265" s="222"/>
      <c r="BB265" s="222"/>
      <c r="BC265" s="222"/>
      <c r="BD265" s="222"/>
      <c r="BE265" s="222"/>
      <c r="BF265" s="222"/>
      <c r="BG265" s="222"/>
      <c r="BH265" s="222"/>
      <c r="BI265" s="222"/>
      <c r="BJ265" s="222"/>
      <c r="BK265" s="32">
        <v>95.66</v>
      </c>
      <c r="BL265" s="232" t="s">
        <v>1079</v>
      </c>
      <c r="BM265" s="232" t="s">
        <v>1080</v>
      </c>
      <c r="BN265" s="232"/>
      <c r="BO265" s="232"/>
      <c r="BP265" s="232"/>
      <c r="BQ265" s="232"/>
      <c r="BR265" s="232"/>
      <c r="BS265" s="232"/>
      <c r="BT265" s="598" t="s">
        <v>355</v>
      </c>
      <c r="BU265" s="598"/>
      <c r="BV265" s="598"/>
      <c r="BW265" s="598"/>
      <c r="BX265" s="598"/>
      <c r="BY265" s="93">
        <v>10.25</v>
      </c>
      <c r="BZ265" s="93">
        <v>7.75</v>
      </c>
      <c r="CA265" s="93">
        <v>10.5</v>
      </c>
      <c r="CB265" s="91">
        <f t="shared" si="58"/>
        <v>0.4826931423611111</v>
      </c>
      <c r="CC265" s="93">
        <f>1.32+1.54+1.04+1.25+0.4</f>
        <v>5.5500000000000007</v>
      </c>
      <c r="CD265" s="301"/>
      <c r="CE265" s="301"/>
      <c r="CF265" s="104" t="s">
        <v>134</v>
      </c>
      <c r="CG265" s="27">
        <v>1</v>
      </c>
      <c r="CH265" s="27">
        <v>22</v>
      </c>
      <c r="CI265" s="27">
        <v>4</v>
      </c>
      <c r="CJ265" s="27">
        <f>CG265*CH265*CI265</f>
        <v>88</v>
      </c>
      <c r="CK265" s="27">
        <f t="shared" si="64"/>
        <v>538.40000000000009</v>
      </c>
      <c r="CL265" s="27" t="s">
        <v>256</v>
      </c>
      <c r="CM265" s="27" t="s">
        <v>136</v>
      </c>
      <c r="CN265" s="237"/>
      <c r="CO265" s="237"/>
      <c r="CP265" s="14"/>
      <c r="CQ265" s="14"/>
      <c r="CR265" s="14"/>
      <c r="CS265" s="14"/>
      <c r="CT265" s="14"/>
      <c r="CU265" s="14"/>
    </row>
    <row r="266" spans="1:99" s="105" customFormat="1" ht="30" x14ac:dyDescent="0.25">
      <c r="A266" s="239">
        <v>41782</v>
      </c>
      <c r="B266" s="239"/>
      <c r="C266" s="222" t="s">
        <v>1081</v>
      </c>
      <c r="D266" s="211" t="s">
        <v>54</v>
      </c>
      <c r="E266" s="213" t="s">
        <v>486</v>
      </c>
      <c r="F266" s="46" t="s">
        <v>1082</v>
      </c>
      <c r="G266" s="46"/>
      <c r="H266" s="46"/>
      <c r="I266" s="46"/>
      <c r="J266" s="175" t="s">
        <v>705</v>
      </c>
      <c r="K266" s="31" t="s">
        <v>1083</v>
      </c>
      <c r="L266" s="31"/>
      <c r="M266" s="31"/>
      <c r="N266" s="25"/>
      <c r="O266" s="26"/>
      <c r="P266" s="236"/>
      <c r="Q266" s="236"/>
      <c r="R266" s="236"/>
      <c r="S266" s="236"/>
      <c r="T266" s="236"/>
      <c r="U266" s="236"/>
      <c r="V266" s="236"/>
      <c r="W266" s="236"/>
      <c r="X266" s="236"/>
      <c r="Y266" s="236"/>
      <c r="Z266" s="236"/>
      <c r="AA266" s="236"/>
      <c r="AB266" s="236"/>
      <c r="AC266" s="236"/>
      <c r="AD266" s="236"/>
      <c r="AE266" s="236"/>
      <c r="AF266" s="236"/>
      <c r="AG266" s="236"/>
      <c r="AH266" s="236"/>
      <c r="AI266" s="236"/>
      <c r="AJ266" s="236"/>
      <c r="AK266" s="236"/>
      <c r="AL266" s="236"/>
      <c r="AM266" s="236"/>
      <c r="AN266" s="255"/>
      <c r="AO266" s="255"/>
      <c r="AP266" s="25"/>
      <c r="AQ266" s="255"/>
      <c r="AR266" s="256"/>
      <c r="AS266" s="255"/>
      <c r="AT266" s="256"/>
      <c r="AU266" s="231"/>
      <c r="AV266" s="211"/>
      <c r="AW266" s="211"/>
      <c r="AX266" s="211"/>
      <c r="AY266" s="211"/>
      <c r="AZ266" s="211"/>
      <c r="BA266" s="211"/>
      <c r="BB266" s="211"/>
      <c r="BC266" s="211"/>
      <c r="BD266" s="222"/>
      <c r="BE266" s="211"/>
      <c r="BF266" s="211"/>
      <c r="BG266" s="211"/>
      <c r="BH266" s="211"/>
      <c r="BI266" s="211"/>
      <c r="BJ266" s="211"/>
      <c r="BK266" s="118">
        <v>78.75</v>
      </c>
      <c r="BL266" s="232" t="s">
        <v>1084</v>
      </c>
      <c r="BM266" s="232" t="s">
        <v>1085</v>
      </c>
      <c r="BN266" s="232"/>
      <c r="BO266" s="232"/>
      <c r="BP266" s="232"/>
      <c r="BQ266" s="232"/>
      <c r="BR266" s="232"/>
      <c r="BS266" s="232"/>
      <c r="BT266" s="92" t="s">
        <v>355</v>
      </c>
      <c r="BU266" s="92"/>
      <c r="BV266" s="92"/>
      <c r="BW266" s="92"/>
      <c r="BX266" s="92"/>
      <c r="BY266" s="93">
        <v>5.13</v>
      </c>
      <c r="BZ266" s="93">
        <v>5.13</v>
      </c>
      <c r="CA266" s="93">
        <v>9.25</v>
      </c>
      <c r="CB266" s="91">
        <f t="shared" si="58"/>
        <v>0.14087460937499999</v>
      </c>
      <c r="CC266" s="93">
        <f>0.9+0.25</f>
        <v>1.1499999999999999</v>
      </c>
      <c r="CD266" s="301"/>
      <c r="CE266" s="301"/>
      <c r="CF266" s="104" t="s">
        <v>134</v>
      </c>
      <c r="CG266" s="27">
        <v>1</v>
      </c>
      <c r="CH266" s="27">
        <v>48</v>
      </c>
      <c r="CI266" s="27">
        <v>3</v>
      </c>
      <c r="CJ266" s="27">
        <f t="shared" ref="CJ266:CJ272" si="65">CG266*CH266*CI266</f>
        <v>144</v>
      </c>
      <c r="CK266" s="27">
        <f t="shared" si="64"/>
        <v>215.6</v>
      </c>
      <c r="CL266" s="27" t="s">
        <v>256</v>
      </c>
      <c r="CM266" s="27"/>
      <c r="CN266" s="237"/>
      <c r="CO266" s="237"/>
      <c r="CP266" s="14"/>
      <c r="CQ266" s="14"/>
      <c r="CR266" s="14"/>
      <c r="CS266" s="14"/>
      <c r="CT266" s="14"/>
      <c r="CU266" s="14"/>
    </row>
    <row r="267" spans="1:99" s="105" customFormat="1" x14ac:dyDescent="0.25">
      <c r="A267" s="239">
        <v>41782</v>
      </c>
      <c r="B267" s="239"/>
      <c r="C267" s="222" t="s">
        <v>1086</v>
      </c>
      <c r="D267" s="211" t="s">
        <v>54</v>
      </c>
      <c r="E267" s="213" t="s">
        <v>486</v>
      </c>
      <c r="F267" s="46" t="s">
        <v>1087</v>
      </c>
      <c r="G267" s="46"/>
      <c r="H267" s="46"/>
      <c r="I267" s="46"/>
      <c r="J267" s="175" t="s">
        <v>1088</v>
      </c>
      <c r="K267" s="31">
        <v>230029</v>
      </c>
      <c r="L267" s="31"/>
      <c r="M267" s="31"/>
      <c r="N267" s="25"/>
      <c r="O267" s="26"/>
      <c r="P267" s="236"/>
      <c r="Q267" s="236"/>
      <c r="R267" s="236"/>
      <c r="S267" s="236"/>
      <c r="T267" s="236"/>
      <c r="U267" s="236"/>
      <c r="V267" s="236"/>
      <c r="W267" s="236"/>
      <c r="X267" s="236"/>
      <c r="Y267" s="236"/>
      <c r="Z267" s="236"/>
      <c r="AA267" s="236"/>
      <c r="AB267" s="236"/>
      <c r="AC267" s="236"/>
      <c r="AD267" s="236"/>
      <c r="AE267" s="236"/>
      <c r="AF267" s="236"/>
      <c r="AG267" s="236"/>
      <c r="AH267" s="236"/>
      <c r="AI267" s="236"/>
      <c r="AJ267" s="236"/>
      <c r="AK267" s="236"/>
      <c r="AL267" s="236"/>
      <c r="AM267" s="236"/>
      <c r="AN267" s="255"/>
      <c r="AO267" s="255"/>
      <c r="AP267" s="25"/>
      <c r="AQ267" s="255"/>
      <c r="AR267" s="256"/>
      <c r="AS267" s="255"/>
      <c r="AT267" s="256" t="s">
        <v>1089</v>
      </c>
      <c r="AU267" s="231"/>
      <c r="AV267" s="211"/>
      <c r="AW267" s="211"/>
      <c r="AX267" s="211"/>
      <c r="AY267" s="211"/>
      <c r="AZ267" s="211"/>
      <c r="BA267" s="211"/>
      <c r="BB267" s="211"/>
      <c r="BC267" s="211"/>
      <c r="BD267" s="222"/>
      <c r="BE267" s="211"/>
      <c r="BF267" s="211"/>
      <c r="BG267" s="211"/>
      <c r="BH267" s="211"/>
      <c r="BI267" s="211"/>
      <c r="BJ267" s="211"/>
      <c r="BK267" s="118">
        <v>20.190000000000001</v>
      </c>
      <c r="BL267" s="243" t="s">
        <v>1090</v>
      </c>
      <c r="BM267" s="243" t="s">
        <v>1091</v>
      </c>
      <c r="BN267" s="243"/>
      <c r="BO267" s="243"/>
      <c r="BP267" s="243"/>
      <c r="BQ267" s="243"/>
      <c r="BR267" s="243"/>
      <c r="BS267" s="243"/>
      <c r="BT267" s="93" t="s">
        <v>875</v>
      </c>
      <c r="BU267" s="94"/>
      <c r="BV267" s="94"/>
      <c r="BW267" s="94"/>
      <c r="BX267" s="94"/>
      <c r="BY267" s="93">
        <v>15.81</v>
      </c>
      <c r="BZ267" s="93">
        <v>11.93</v>
      </c>
      <c r="CA267" s="93">
        <v>5.0599999999999996</v>
      </c>
      <c r="CB267" s="91">
        <f t="shared" si="58"/>
        <v>0.55230514930555552</v>
      </c>
      <c r="CC267" s="93">
        <f>0.38*CG267+0.25</f>
        <v>4.8100000000000005</v>
      </c>
      <c r="CD267" s="301"/>
      <c r="CE267" s="301"/>
      <c r="CF267" s="104" t="s">
        <v>134</v>
      </c>
      <c r="CG267" s="27">
        <v>12</v>
      </c>
      <c r="CH267" s="27">
        <v>10</v>
      </c>
      <c r="CI267" s="27">
        <v>7</v>
      </c>
      <c r="CJ267" s="27">
        <f t="shared" si="65"/>
        <v>840</v>
      </c>
      <c r="CK267" s="27">
        <f t="shared" si="64"/>
        <v>386.70000000000005</v>
      </c>
      <c r="CL267" s="27" t="s">
        <v>256</v>
      </c>
      <c r="CM267" s="27" t="s">
        <v>136</v>
      </c>
      <c r="CN267" s="237"/>
      <c r="CO267" s="237"/>
      <c r="CP267" s="14"/>
      <c r="CQ267" s="14"/>
      <c r="CR267" s="14"/>
      <c r="CS267" s="14"/>
      <c r="CT267" s="14"/>
      <c r="CU267" s="14"/>
    </row>
    <row r="268" spans="1:99" s="105" customFormat="1" x14ac:dyDescent="0.25">
      <c r="A268" s="239">
        <v>41782</v>
      </c>
      <c r="B268" s="239"/>
      <c r="C268" s="213" t="s">
        <v>1092</v>
      </c>
      <c r="D268" s="211" t="s">
        <v>54</v>
      </c>
      <c r="E268" s="213" t="s">
        <v>1072</v>
      </c>
      <c r="F268" s="235" t="s">
        <v>1093</v>
      </c>
      <c r="G268" s="235"/>
      <c r="H268" s="235"/>
      <c r="I268" s="235"/>
      <c r="J268" s="31" t="s">
        <v>878</v>
      </c>
      <c r="K268" s="31">
        <v>300110625</v>
      </c>
      <c r="L268" s="31" t="s">
        <v>1094</v>
      </c>
      <c r="M268" s="31">
        <v>232006</v>
      </c>
      <c r="N268" s="25" t="s">
        <v>739</v>
      </c>
      <c r="O268" s="26">
        <v>23538565</v>
      </c>
      <c r="P268" s="236"/>
      <c r="Q268" s="236"/>
      <c r="R268" s="236"/>
      <c r="S268" s="236"/>
      <c r="T268" s="236"/>
      <c r="U268" s="236"/>
      <c r="V268" s="236"/>
      <c r="W268" s="236"/>
      <c r="X268" s="236"/>
      <c r="Y268" s="236"/>
      <c r="Z268" s="236"/>
      <c r="AA268" s="236"/>
      <c r="AB268" s="236"/>
      <c r="AC268" s="236"/>
      <c r="AD268" s="236"/>
      <c r="AE268" s="236"/>
      <c r="AF268" s="236"/>
      <c r="AG268" s="236"/>
      <c r="AH268" s="236"/>
      <c r="AI268" s="236"/>
      <c r="AJ268" s="236"/>
      <c r="AK268" s="236"/>
      <c r="AL268" s="236"/>
      <c r="AM268" s="236"/>
      <c r="AN268" s="255" t="s">
        <v>1095</v>
      </c>
      <c r="AO268" s="255"/>
      <c r="AP268" s="25">
        <v>86661</v>
      </c>
      <c r="AQ268" s="255"/>
      <c r="AR268" s="256" t="s">
        <v>1096</v>
      </c>
      <c r="AS268" s="255"/>
      <c r="AT268" s="256" t="s">
        <v>1097</v>
      </c>
      <c r="AU268" s="231" t="s">
        <v>1098</v>
      </c>
      <c r="AV268" s="211"/>
      <c r="AW268" s="211"/>
      <c r="AX268" s="211"/>
      <c r="AY268" s="211"/>
      <c r="AZ268" s="211"/>
      <c r="BA268" s="211"/>
      <c r="BB268" s="211"/>
      <c r="BC268" s="211"/>
      <c r="BD268" s="222">
        <v>3661</v>
      </c>
      <c r="BE268" s="211"/>
      <c r="BF268" s="211"/>
      <c r="BG268" s="211"/>
      <c r="BH268" s="211"/>
      <c r="BI268" s="211"/>
      <c r="BJ268" s="211">
        <v>33661</v>
      </c>
      <c r="BK268" s="118">
        <v>17.2</v>
      </c>
      <c r="BL268" s="232" t="s">
        <v>1099</v>
      </c>
      <c r="BM268" s="232" t="s">
        <v>1100</v>
      </c>
      <c r="BN268" s="232"/>
      <c r="BO268" s="232"/>
      <c r="BP268" s="232"/>
      <c r="BQ268" s="232"/>
      <c r="BR268" s="232"/>
      <c r="BS268" s="232"/>
      <c r="BT268" s="93">
        <v>3.8479999999999999</v>
      </c>
      <c r="BU268" s="93">
        <v>3.8479999999999999</v>
      </c>
      <c r="BV268" s="93">
        <v>5.4470000000000001</v>
      </c>
      <c r="BW268" s="91">
        <f>(BV268*BU268*BT268)/1728</f>
        <v>4.6674939518518511E-2</v>
      </c>
      <c r="BX268" s="93">
        <v>0.46200000000000002</v>
      </c>
      <c r="BY268" s="93">
        <v>15.81</v>
      </c>
      <c r="BZ268" s="93">
        <v>11.93</v>
      </c>
      <c r="CA268" s="93">
        <v>6</v>
      </c>
      <c r="CB268" s="91">
        <f t="shared" si="58"/>
        <v>0.65490729166666672</v>
      </c>
      <c r="CC268" s="93">
        <f>0.462*CG268+0.25</f>
        <v>5.7940000000000005</v>
      </c>
      <c r="CD268" s="301"/>
      <c r="CE268" s="301"/>
      <c r="CF268" s="104" t="s">
        <v>134</v>
      </c>
      <c r="CG268" s="27">
        <v>12</v>
      </c>
      <c r="CH268" s="27">
        <v>10</v>
      </c>
      <c r="CI268" s="27">
        <v>7</v>
      </c>
      <c r="CJ268" s="27">
        <f t="shared" si="65"/>
        <v>840</v>
      </c>
      <c r="CK268" s="27">
        <f t="shared" si="64"/>
        <v>455.58000000000004</v>
      </c>
      <c r="CL268" s="27" t="s">
        <v>256</v>
      </c>
      <c r="CM268" s="27" t="s">
        <v>136</v>
      </c>
      <c r="CN268" s="237"/>
      <c r="CO268" s="237"/>
      <c r="CP268" s="14"/>
      <c r="CQ268" s="14"/>
      <c r="CR268" s="14"/>
      <c r="CS268" s="14"/>
      <c r="CT268" s="14"/>
      <c r="CU268" s="14"/>
    </row>
    <row r="269" spans="1:99" s="105" customFormat="1" ht="30" x14ac:dyDescent="0.25">
      <c r="A269" s="239">
        <v>41782</v>
      </c>
      <c r="B269" s="239"/>
      <c r="C269" s="213" t="s">
        <v>1101</v>
      </c>
      <c r="D269" s="211" t="s">
        <v>54</v>
      </c>
      <c r="E269" s="213" t="s">
        <v>438</v>
      </c>
      <c r="F269" s="235" t="s">
        <v>1102</v>
      </c>
      <c r="G269" s="235"/>
      <c r="H269" s="235"/>
      <c r="I269" s="235"/>
      <c r="J269" s="31" t="s">
        <v>8</v>
      </c>
      <c r="K269" s="31" t="s">
        <v>1103</v>
      </c>
      <c r="L269" s="31"/>
      <c r="M269" s="31"/>
      <c r="N269" s="25"/>
      <c r="O269" s="26"/>
      <c r="P269" s="236"/>
      <c r="Q269" s="236"/>
      <c r="R269" s="236"/>
      <c r="S269" s="236"/>
      <c r="T269" s="236"/>
      <c r="U269" s="236"/>
      <c r="V269" s="236"/>
      <c r="W269" s="236"/>
      <c r="X269" s="236"/>
      <c r="Y269" s="236"/>
      <c r="Z269" s="236"/>
      <c r="AA269" s="236"/>
      <c r="AB269" s="236"/>
      <c r="AC269" s="236"/>
      <c r="AD269" s="236"/>
      <c r="AE269" s="236"/>
      <c r="AF269" s="236"/>
      <c r="AG269" s="236"/>
      <c r="AH269" s="236"/>
      <c r="AI269" s="236"/>
      <c r="AJ269" s="236"/>
      <c r="AK269" s="236"/>
      <c r="AL269" s="236"/>
      <c r="AM269" s="236"/>
      <c r="AN269" s="255"/>
      <c r="AO269" s="255"/>
      <c r="AP269" s="25"/>
      <c r="AQ269" s="255"/>
      <c r="AR269" s="256" t="s">
        <v>1103</v>
      </c>
      <c r="AS269" s="255"/>
      <c r="AT269" s="256"/>
      <c r="AU269" s="231"/>
      <c r="AV269" s="211"/>
      <c r="AW269" s="211"/>
      <c r="AX269" s="211"/>
      <c r="AY269" s="211"/>
      <c r="AZ269" s="211"/>
      <c r="BA269" s="211"/>
      <c r="BB269" s="211"/>
      <c r="BC269" s="211"/>
      <c r="BD269" s="222"/>
      <c r="BE269" s="211"/>
      <c r="BF269" s="211"/>
      <c r="BG269" s="211"/>
      <c r="BH269" s="211"/>
      <c r="BI269" s="211"/>
      <c r="BJ269" s="211"/>
      <c r="BK269" s="118">
        <v>290.89999999999998</v>
      </c>
      <c r="BL269" s="243" t="s">
        <v>1104</v>
      </c>
      <c r="BM269" s="243" t="s">
        <v>1105</v>
      </c>
      <c r="BN269" s="243"/>
      <c r="BO269" s="243"/>
      <c r="BP269" s="243"/>
      <c r="BQ269" s="243"/>
      <c r="BR269" s="243"/>
      <c r="BS269" s="243"/>
      <c r="BT269" s="92" t="s">
        <v>355</v>
      </c>
      <c r="BU269" s="92"/>
      <c r="BV269" s="92"/>
      <c r="BW269" s="92"/>
      <c r="BX269" s="92"/>
      <c r="BY269" s="93">
        <v>13.25</v>
      </c>
      <c r="BZ269" s="93">
        <v>13.25</v>
      </c>
      <c r="CA269" s="93">
        <v>26.59</v>
      </c>
      <c r="CB269" s="91">
        <f t="shared" si="58"/>
        <v>2.7015086082175923</v>
      </c>
      <c r="CC269" s="93">
        <f>10.92+0.25</f>
        <v>11.17</v>
      </c>
      <c r="CD269" s="301"/>
      <c r="CE269" s="301"/>
      <c r="CF269" s="104" t="s">
        <v>134</v>
      </c>
      <c r="CG269" s="27">
        <v>1</v>
      </c>
      <c r="CH269" s="27">
        <v>6</v>
      </c>
      <c r="CI269" s="27">
        <v>1</v>
      </c>
      <c r="CJ269" s="27">
        <f t="shared" si="65"/>
        <v>6</v>
      </c>
      <c r="CK269" s="27">
        <f t="shared" si="64"/>
        <v>117.02</v>
      </c>
      <c r="CL269" s="27" t="s">
        <v>256</v>
      </c>
      <c r="CM269" s="27" t="s">
        <v>136</v>
      </c>
      <c r="CN269" s="237"/>
      <c r="CO269" s="237"/>
      <c r="CP269" s="14"/>
      <c r="CQ269" s="14"/>
      <c r="CR269" s="14"/>
      <c r="CS269" s="14"/>
      <c r="CT269" s="14"/>
      <c r="CU269" s="14"/>
    </row>
    <row r="270" spans="1:99" s="105" customFormat="1" ht="30" x14ac:dyDescent="0.25">
      <c r="A270" s="239">
        <v>41782</v>
      </c>
      <c r="B270" s="239"/>
      <c r="C270" s="222" t="s">
        <v>1106</v>
      </c>
      <c r="D270" s="211" t="s">
        <v>54</v>
      </c>
      <c r="E270" s="213" t="s">
        <v>438</v>
      </c>
      <c r="F270" s="46" t="s">
        <v>1107</v>
      </c>
      <c r="G270" s="46"/>
      <c r="H270" s="46"/>
      <c r="I270" s="46"/>
      <c r="J270" s="175" t="s">
        <v>8</v>
      </c>
      <c r="K270" s="31" t="s">
        <v>1108</v>
      </c>
      <c r="L270" s="31"/>
      <c r="M270" s="31"/>
      <c r="N270" s="25"/>
      <c r="O270" s="26"/>
      <c r="P270" s="236"/>
      <c r="Q270" s="236"/>
      <c r="R270" s="236"/>
      <c r="S270" s="236"/>
      <c r="T270" s="236"/>
      <c r="U270" s="236"/>
      <c r="V270" s="236"/>
      <c r="W270" s="236"/>
      <c r="X270" s="236"/>
      <c r="Y270" s="236"/>
      <c r="Z270" s="236"/>
      <c r="AA270" s="236"/>
      <c r="AB270" s="236"/>
      <c r="AC270" s="236"/>
      <c r="AD270" s="236"/>
      <c r="AE270" s="236"/>
      <c r="AF270" s="236"/>
      <c r="AG270" s="236"/>
      <c r="AH270" s="236"/>
      <c r="AI270" s="236"/>
      <c r="AJ270" s="236"/>
      <c r="AK270" s="236"/>
      <c r="AL270" s="236"/>
      <c r="AM270" s="236"/>
      <c r="AN270" s="255"/>
      <c r="AO270" s="255"/>
      <c r="AP270" s="25"/>
      <c r="AQ270" s="255"/>
      <c r="AR270" s="31" t="s">
        <v>1108</v>
      </c>
      <c r="AS270" s="255"/>
      <c r="AT270" s="256"/>
      <c r="AU270" s="231"/>
      <c r="AV270" s="211"/>
      <c r="AW270" s="211"/>
      <c r="AX270" s="211"/>
      <c r="AY270" s="211"/>
      <c r="AZ270" s="211"/>
      <c r="BA270" s="211"/>
      <c r="BB270" s="211"/>
      <c r="BC270" s="211"/>
      <c r="BD270" s="222"/>
      <c r="BE270" s="211"/>
      <c r="BF270" s="211"/>
      <c r="BG270" s="211"/>
      <c r="BH270" s="211"/>
      <c r="BI270" s="211"/>
      <c r="BJ270" s="211"/>
      <c r="BK270" s="118">
        <v>347.53</v>
      </c>
      <c r="BL270" s="211"/>
      <c r="BM270" s="211"/>
      <c r="BN270" s="211"/>
      <c r="BO270" s="211"/>
      <c r="BP270" s="211"/>
      <c r="BQ270" s="211"/>
      <c r="BR270" s="211"/>
      <c r="BS270" s="211"/>
      <c r="BT270" s="92" t="s">
        <v>355</v>
      </c>
      <c r="BU270" s="92"/>
      <c r="BV270" s="92"/>
      <c r="BW270" s="92"/>
      <c r="BX270" s="92"/>
      <c r="BY270" s="93">
        <v>19.25</v>
      </c>
      <c r="BZ270" s="93">
        <v>8.6</v>
      </c>
      <c r="CA270" s="93">
        <v>12.5</v>
      </c>
      <c r="CB270" s="91">
        <f t="shared" si="58"/>
        <v>1.1975549768518519</v>
      </c>
      <c r="CC270" s="93">
        <f>5.51+0.25</f>
        <v>5.76</v>
      </c>
      <c r="CD270" s="301"/>
      <c r="CE270" s="301"/>
      <c r="CF270" s="104" t="s">
        <v>134</v>
      </c>
      <c r="CG270" s="27">
        <v>1</v>
      </c>
      <c r="CH270" s="27">
        <v>10</v>
      </c>
      <c r="CI270" s="27">
        <v>3</v>
      </c>
      <c r="CJ270" s="27">
        <f t="shared" si="65"/>
        <v>30</v>
      </c>
      <c r="CK270" s="27">
        <f t="shared" si="64"/>
        <v>222.79999999999998</v>
      </c>
      <c r="CL270" s="27" t="s">
        <v>256</v>
      </c>
      <c r="CM270" s="27"/>
      <c r="CN270" s="237"/>
      <c r="CO270" s="237"/>
      <c r="CP270" s="14"/>
      <c r="CQ270" s="14"/>
      <c r="CR270" s="14"/>
      <c r="CS270" s="14"/>
      <c r="CT270" s="14"/>
      <c r="CU270" s="14"/>
    </row>
    <row r="271" spans="1:99" s="105" customFormat="1" ht="30" x14ac:dyDescent="0.25">
      <c r="A271" s="239">
        <v>41782</v>
      </c>
      <c r="B271" s="239"/>
      <c r="C271" s="222" t="s">
        <v>73</v>
      </c>
      <c r="D271" s="211" t="s">
        <v>54</v>
      </c>
      <c r="E271" s="213" t="s">
        <v>438</v>
      </c>
      <c r="F271" s="46" t="s">
        <v>1109</v>
      </c>
      <c r="G271" s="46"/>
      <c r="H271" s="46"/>
      <c r="I271" s="46"/>
      <c r="J271" s="175" t="s">
        <v>8</v>
      </c>
      <c r="K271" s="31" t="s">
        <v>1110</v>
      </c>
      <c r="L271" s="31"/>
      <c r="M271" s="31"/>
      <c r="N271" s="25"/>
      <c r="O271" s="26"/>
      <c r="P271" s="236"/>
      <c r="Q271" s="236"/>
      <c r="R271" s="236"/>
      <c r="S271" s="236"/>
      <c r="T271" s="236"/>
      <c r="U271" s="236"/>
      <c r="V271" s="236"/>
      <c r="W271" s="236"/>
      <c r="X271" s="236"/>
      <c r="Y271" s="236"/>
      <c r="Z271" s="236"/>
      <c r="AA271" s="236"/>
      <c r="AB271" s="236"/>
      <c r="AC271" s="236"/>
      <c r="AD271" s="236"/>
      <c r="AE271" s="236"/>
      <c r="AF271" s="236"/>
      <c r="AG271" s="236"/>
      <c r="AH271" s="236"/>
      <c r="AI271" s="236"/>
      <c r="AJ271" s="236"/>
      <c r="AK271" s="236"/>
      <c r="AL271" s="236"/>
      <c r="AM271" s="236"/>
      <c r="AN271" s="255"/>
      <c r="AO271" s="255"/>
      <c r="AP271" s="25"/>
      <c r="AQ271" s="255"/>
      <c r="AR271" s="31" t="s">
        <v>1110</v>
      </c>
      <c r="AS271" s="255"/>
      <c r="AT271" s="256"/>
      <c r="AU271" s="231"/>
      <c r="AV271" s="211"/>
      <c r="AW271" s="211"/>
      <c r="AX271" s="211"/>
      <c r="AY271" s="211"/>
      <c r="AZ271" s="211"/>
      <c r="BA271" s="211"/>
      <c r="BB271" s="211"/>
      <c r="BC271" s="211"/>
      <c r="BD271" s="222"/>
      <c r="BE271" s="211"/>
      <c r="BF271" s="211"/>
      <c r="BG271" s="211"/>
      <c r="BH271" s="211"/>
      <c r="BI271" s="211"/>
      <c r="BJ271" s="211"/>
      <c r="BK271" s="118">
        <v>268.5</v>
      </c>
      <c r="BL271" s="232" t="s">
        <v>1111</v>
      </c>
      <c r="BM271" s="232" t="s">
        <v>1112</v>
      </c>
      <c r="BN271" s="232"/>
      <c r="BO271" s="232"/>
      <c r="BP271" s="232"/>
      <c r="BQ271" s="232"/>
      <c r="BR271" s="232"/>
      <c r="BS271" s="232"/>
      <c r="BT271" s="92" t="s">
        <v>355</v>
      </c>
      <c r="BU271" s="92"/>
      <c r="BV271" s="92"/>
      <c r="BW271" s="92"/>
      <c r="BX271" s="92"/>
      <c r="BY271" s="93">
        <v>11.505000000000001</v>
      </c>
      <c r="BZ271" s="93">
        <v>11.505000000000001</v>
      </c>
      <c r="CA271" s="93">
        <v>24.63</v>
      </c>
      <c r="CB271" s="91">
        <f t="shared" si="58"/>
        <v>1.8866612070312501</v>
      </c>
      <c r="CC271" s="93">
        <f>7.84+0.4</f>
        <v>8.24</v>
      </c>
      <c r="CD271" s="301"/>
      <c r="CE271" s="301"/>
      <c r="CF271" s="104" t="s">
        <v>134</v>
      </c>
      <c r="CG271" s="27">
        <v>1</v>
      </c>
      <c r="CH271" s="27">
        <v>6</v>
      </c>
      <c r="CI271" s="27">
        <v>1</v>
      </c>
      <c r="CJ271" s="27">
        <f t="shared" si="65"/>
        <v>6</v>
      </c>
      <c r="CK271" s="27">
        <f t="shared" si="64"/>
        <v>99.44</v>
      </c>
      <c r="CL271" s="27" t="s">
        <v>256</v>
      </c>
      <c r="CM271" s="27"/>
      <c r="CN271" s="237"/>
      <c r="CO271" s="237"/>
      <c r="CP271" s="14"/>
      <c r="CQ271" s="14"/>
      <c r="CR271" s="14"/>
      <c r="CS271" s="14"/>
      <c r="CT271" s="14"/>
      <c r="CU271" s="14"/>
    </row>
    <row r="272" spans="1:99" s="105" customFormat="1" ht="30" x14ac:dyDescent="0.25">
      <c r="A272" s="239">
        <v>41782</v>
      </c>
      <c r="B272" s="239"/>
      <c r="C272" s="212" t="s">
        <v>1113</v>
      </c>
      <c r="D272" s="211" t="s">
        <v>54</v>
      </c>
      <c r="E272" s="257" t="s">
        <v>1114</v>
      </c>
      <c r="F272" s="46" t="s">
        <v>1115</v>
      </c>
      <c r="G272" s="46"/>
      <c r="H272" s="46"/>
      <c r="I272" s="46"/>
      <c r="J272" s="222" t="s">
        <v>643</v>
      </c>
      <c r="K272" s="211">
        <v>925837</v>
      </c>
      <c r="L272" s="162" t="s">
        <v>1116</v>
      </c>
      <c r="M272" s="25">
        <v>757051</v>
      </c>
      <c r="N272" s="162" t="s">
        <v>1116</v>
      </c>
      <c r="O272" s="25">
        <v>7559101</v>
      </c>
      <c r="P272" s="25" t="s">
        <v>1117</v>
      </c>
      <c r="Q272" s="211" t="s">
        <v>1118</v>
      </c>
      <c r="R272" s="211" t="s">
        <v>643</v>
      </c>
      <c r="S272" s="211">
        <v>925836</v>
      </c>
      <c r="T272" s="236"/>
      <c r="U272" s="236"/>
      <c r="V272" s="236"/>
      <c r="W272" s="236"/>
      <c r="X272" s="236"/>
      <c r="Y272" s="236"/>
      <c r="Z272" s="236"/>
      <c r="AA272" s="236"/>
      <c r="AB272" s="236"/>
      <c r="AC272" s="236"/>
      <c r="AD272" s="236"/>
      <c r="AE272" s="236"/>
      <c r="AF272" s="236"/>
      <c r="AG272" s="236"/>
      <c r="AH272" s="236"/>
      <c r="AI272" s="236"/>
      <c r="AJ272" s="236"/>
      <c r="AK272" s="236"/>
      <c r="AL272" s="236"/>
      <c r="AM272" s="236"/>
      <c r="AN272" s="255" t="s">
        <v>1119</v>
      </c>
      <c r="AO272" s="255"/>
      <c r="AP272" s="25">
        <v>84888</v>
      </c>
      <c r="AQ272" s="255"/>
      <c r="AR272" s="256" t="s">
        <v>1120</v>
      </c>
      <c r="AS272" s="255"/>
      <c r="AT272" s="256" t="s">
        <v>1121</v>
      </c>
      <c r="AU272" s="231"/>
      <c r="AV272" s="211"/>
      <c r="AW272" s="211"/>
      <c r="AX272" s="211"/>
      <c r="AY272" s="211"/>
      <c r="AZ272" s="211"/>
      <c r="BA272" s="211"/>
      <c r="BB272" s="211"/>
      <c r="BC272" s="211"/>
      <c r="BD272" s="222">
        <v>7888</v>
      </c>
      <c r="BE272" s="211"/>
      <c r="BF272" s="211"/>
      <c r="BG272" s="211"/>
      <c r="BH272" s="211"/>
      <c r="BI272" s="211"/>
      <c r="BJ272" s="211">
        <v>57888</v>
      </c>
      <c r="BK272" s="118">
        <v>164.76</v>
      </c>
      <c r="BL272" s="243" t="s">
        <v>1122</v>
      </c>
      <c r="BM272" s="243" t="s">
        <v>1123</v>
      </c>
      <c r="BN272" s="243"/>
      <c r="BO272" s="243"/>
      <c r="BP272" s="243"/>
      <c r="BQ272" s="243"/>
      <c r="BR272" s="243"/>
      <c r="BS272" s="243"/>
      <c r="BT272" s="93" t="s">
        <v>875</v>
      </c>
      <c r="BU272" s="94"/>
      <c r="BV272" s="94"/>
      <c r="BW272" s="94"/>
      <c r="BX272" s="94"/>
      <c r="BY272" s="220">
        <v>3.5</v>
      </c>
      <c r="BZ272" s="220">
        <v>3.5</v>
      </c>
      <c r="CA272" s="220">
        <v>10.25</v>
      </c>
      <c r="CB272" s="91">
        <f t="shared" si="58"/>
        <v>7.2663483796296294E-2</v>
      </c>
      <c r="CC272" s="220">
        <f>0.8*CG272+0.4</f>
        <v>10.000000000000002</v>
      </c>
      <c r="CD272" s="302"/>
      <c r="CE272" s="302"/>
      <c r="CF272" s="211" t="s">
        <v>134</v>
      </c>
      <c r="CG272" s="212">
        <v>12</v>
      </c>
      <c r="CH272" s="212">
        <v>9</v>
      </c>
      <c r="CI272" s="212">
        <v>4</v>
      </c>
      <c r="CJ272" s="27">
        <f t="shared" si="65"/>
        <v>432</v>
      </c>
      <c r="CK272" s="27">
        <f t="shared" si="64"/>
        <v>410.00000000000006</v>
      </c>
      <c r="CL272" s="27" t="s">
        <v>256</v>
      </c>
      <c r="CM272" s="27" t="s">
        <v>136</v>
      </c>
      <c r="CN272" s="237"/>
      <c r="CO272" s="237"/>
      <c r="CP272" s="14"/>
      <c r="CQ272" s="14"/>
      <c r="CR272" s="14"/>
      <c r="CS272" s="14"/>
      <c r="CT272" s="14"/>
      <c r="CU272" s="14"/>
    </row>
    <row r="273" spans="1:99" s="105" customFormat="1" x14ac:dyDescent="0.25">
      <c r="A273" s="239">
        <v>41782</v>
      </c>
      <c r="B273" s="239"/>
      <c r="C273" s="213" t="s">
        <v>1124</v>
      </c>
      <c r="D273" s="211" t="s">
        <v>54</v>
      </c>
      <c r="E273" s="213" t="s">
        <v>1077</v>
      </c>
      <c r="F273" s="41" t="s">
        <v>1125</v>
      </c>
      <c r="G273" s="41"/>
      <c r="H273" s="41"/>
      <c r="I273" s="41"/>
      <c r="J273" s="175"/>
      <c r="K273" s="31"/>
      <c r="L273" s="31"/>
      <c r="M273" s="31"/>
      <c r="N273" s="25"/>
      <c r="O273" s="26"/>
      <c r="P273" s="236"/>
      <c r="Q273" s="236"/>
      <c r="R273" s="236"/>
      <c r="S273" s="236"/>
      <c r="T273" s="236"/>
      <c r="U273" s="236"/>
      <c r="V273" s="236"/>
      <c r="W273" s="236"/>
      <c r="X273" s="236"/>
      <c r="Y273" s="236"/>
      <c r="Z273" s="236"/>
      <c r="AA273" s="236"/>
      <c r="AB273" s="236"/>
      <c r="AC273" s="236"/>
      <c r="AD273" s="236"/>
      <c r="AE273" s="236"/>
      <c r="AF273" s="236"/>
      <c r="AG273" s="236"/>
      <c r="AH273" s="236"/>
      <c r="AI273" s="236"/>
      <c r="AJ273" s="236"/>
      <c r="AK273" s="236"/>
      <c r="AL273" s="236"/>
      <c r="AM273" s="236"/>
      <c r="AN273" s="255"/>
      <c r="AO273" s="255"/>
      <c r="AP273" s="25"/>
      <c r="AQ273" s="255"/>
      <c r="AR273" s="256"/>
      <c r="AS273" s="255"/>
      <c r="AT273" s="256"/>
      <c r="AU273" s="231"/>
      <c r="AV273" s="211"/>
      <c r="AW273" s="211"/>
      <c r="AX273" s="211"/>
      <c r="AY273" s="211"/>
      <c r="AZ273" s="211"/>
      <c r="BA273" s="211"/>
      <c r="BB273" s="211"/>
      <c r="BC273" s="211"/>
      <c r="BD273" s="222"/>
      <c r="BE273" s="211"/>
      <c r="BF273" s="211"/>
      <c r="BG273" s="211"/>
      <c r="BH273" s="211"/>
      <c r="BI273" s="211"/>
      <c r="BJ273" s="211"/>
      <c r="BK273" s="118">
        <v>34.520000000000003</v>
      </c>
      <c r="BL273" s="243" t="s">
        <v>1126</v>
      </c>
      <c r="BM273" s="243" t="s">
        <v>1127</v>
      </c>
      <c r="BN273" s="243"/>
      <c r="BO273" s="243"/>
      <c r="BP273" s="243"/>
      <c r="BQ273" s="243"/>
      <c r="BR273" s="243"/>
      <c r="BS273" s="243"/>
      <c r="BT273" s="93" t="s">
        <v>875</v>
      </c>
      <c r="BU273" s="94"/>
      <c r="BV273" s="94"/>
      <c r="BW273" s="94"/>
      <c r="BX273" s="94"/>
      <c r="BY273" s="93">
        <v>7.9950000000000001</v>
      </c>
      <c r="BZ273" s="93">
        <v>7.9950000000000001</v>
      </c>
      <c r="CA273" s="93">
        <v>11.5</v>
      </c>
      <c r="CB273" s="91">
        <f>(CA273*BZ273*BY273)/1728</f>
        <v>0.42539368489583329</v>
      </c>
      <c r="CC273" s="93">
        <v>5.23</v>
      </c>
      <c r="CD273" s="301"/>
      <c r="CE273" s="301"/>
      <c r="CF273" s="104" t="s">
        <v>134</v>
      </c>
      <c r="CG273" s="27">
        <v>1</v>
      </c>
      <c r="CH273" s="27">
        <v>30</v>
      </c>
      <c r="CI273" s="27">
        <v>3</v>
      </c>
      <c r="CJ273" s="27">
        <f>CG273*CH273*CI273</f>
        <v>90</v>
      </c>
      <c r="CK273" s="27">
        <f>(CC273*CH273*CI273)+50</f>
        <v>520.70000000000005</v>
      </c>
      <c r="CL273" s="27" t="s">
        <v>256</v>
      </c>
      <c r="CM273" s="27" t="s">
        <v>136</v>
      </c>
      <c r="CN273" s="237"/>
      <c r="CO273" s="237"/>
      <c r="CP273" s="14"/>
      <c r="CQ273" s="14"/>
      <c r="CR273" s="14"/>
      <c r="CS273" s="14"/>
      <c r="CT273" s="14"/>
      <c r="CU273" s="14"/>
    </row>
    <row r="274" spans="1:99" s="105" customFormat="1" x14ac:dyDescent="0.25">
      <c r="A274" s="239">
        <v>41782</v>
      </c>
      <c r="B274" s="239"/>
      <c r="C274" s="222" t="s">
        <v>1128</v>
      </c>
      <c r="D274" s="211" t="s">
        <v>54</v>
      </c>
      <c r="E274" s="213" t="s">
        <v>1129</v>
      </c>
      <c r="F274" s="41" t="s">
        <v>1130</v>
      </c>
      <c r="G274" s="41"/>
      <c r="H274" s="41"/>
      <c r="I274" s="41"/>
      <c r="J274" s="175"/>
      <c r="K274" s="31"/>
      <c r="L274" s="31"/>
      <c r="M274" s="31"/>
      <c r="N274" s="25"/>
      <c r="O274" s="26"/>
      <c r="P274" s="236"/>
      <c r="Q274" s="236"/>
      <c r="R274" s="236"/>
      <c r="S274" s="236"/>
      <c r="T274" s="236"/>
      <c r="U274" s="236"/>
      <c r="V274" s="236"/>
      <c r="W274" s="236"/>
      <c r="X274" s="236"/>
      <c r="Y274" s="236"/>
      <c r="Z274" s="236"/>
      <c r="AA274" s="236"/>
      <c r="AB274" s="236"/>
      <c r="AC274" s="236"/>
      <c r="AD274" s="236"/>
      <c r="AE274" s="236"/>
      <c r="AF274" s="236"/>
      <c r="AG274" s="236"/>
      <c r="AH274" s="236"/>
      <c r="AI274" s="236"/>
      <c r="AJ274" s="236"/>
      <c r="AK274" s="236"/>
      <c r="AL274" s="236"/>
      <c r="AM274" s="236"/>
      <c r="AN274" s="255"/>
      <c r="AO274" s="255"/>
      <c r="AP274" s="25"/>
      <c r="AQ274" s="255"/>
      <c r="AR274" s="256"/>
      <c r="AS274" s="255"/>
      <c r="AT274" s="256"/>
      <c r="AU274" s="231"/>
      <c r="AV274" s="211"/>
      <c r="AW274" s="211"/>
      <c r="AX274" s="211"/>
      <c r="AY274" s="211"/>
      <c r="AZ274" s="211"/>
      <c r="BA274" s="211"/>
      <c r="BB274" s="211"/>
      <c r="BC274" s="211"/>
      <c r="BD274" s="222"/>
      <c r="BE274" s="211"/>
      <c r="BF274" s="211"/>
      <c r="BG274" s="211"/>
      <c r="BH274" s="211"/>
      <c r="BI274" s="211"/>
      <c r="BJ274" s="211"/>
      <c r="BK274" s="118">
        <v>21.23</v>
      </c>
      <c r="BL274" s="232" t="s">
        <v>1131</v>
      </c>
      <c r="BM274" s="232" t="s">
        <v>1132</v>
      </c>
      <c r="BN274" s="232"/>
      <c r="BO274" s="232"/>
      <c r="BP274" s="232"/>
      <c r="BQ274" s="232"/>
      <c r="BR274" s="232"/>
      <c r="BS274" s="232"/>
      <c r="BT274" s="93" t="s">
        <v>1133</v>
      </c>
      <c r="BU274" s="94"/>
      <c r="BV274" s="94"/>
      <c r="BW274" s="94"/>
      <c r="BX274" s="94"/>
      <c r="BY274" s="93">
        <v>5.75</v>
      </c>
      <c r="BZ274" s="93">
        <v>5.25</v>
      </c>
      <c r="CA274" s="93">
        <v>3.63</v>
      </c>
      <c r="CB274" s="91">
        <f>(CA274*BZ274*BY274)/1728</f>
        <v>6.3414713541666667E-2</v>
      </c>
      <c r="CC274" s="211"/>
      <c r="CD274" s="211"/>
      <c r="CE274" s="211"/>
      <c r="CF274" s="104" t="s">
        <v>134</v>
      </c>
      <c r="CG274" s="27">
        <v>6</v>
      </c>
      <c r="CH274" s="27">
        <v>56</v>
      </c>
      <c r="CI274" s="27">
        <v>12</v>
      </c>
      <c r="CJ274" s="27">
        <f>CG274*CH274*CI274</f>
        <v>4032</v>
      </c>
      <c r="CK274" s="27">
        <f>(CC274*CH274*CI274)+50</f>
        <v>50</v>
      </c>
      <c r="CL274" s="27" t="s">
        <v>256</v>
      </c>
      <c r="CM274" s="27" t="s">
        <v>136</v>
      </c>
      <c r="CN274" s="237"/>
      <c r="CO274" s="237"/>
      <c r="CP274" s="14"/>
      <c r="CQ274" s="14"/>
      <c r="CR274" s="14"/>
      <c r="CS274" s="14"/>
      <c r="CT274" s="14"/>
      <c r="CU274" s="14"/>
    </row>
    <row r="275" spans="1:99" s="105" customFormat="1" x14ac:dyDescent="0.25">
      <c r="A275" s="239">
        <v>41782</v>
      </c>
      <c r="B275" s="239"/>
      <c r="C275" s="213" t="s">
        <v>1134</v>
      </c>
      <c r="D275" s="211" t="s">
        <v>54</v>
      </c>
      <c r="E275" s="213" t="s">
        <v>495</v>
      </c>
      <c r="F275" s="235" t="s">
        <v>1135</v>
      </c>
      <c r="G275" s="235"/>
      <c r="H275" s="235"/>
      <c r="I275" s="235"/>
      <c r="J275" s="31" t="s">
        <v>519</v>
      </c>
      <c r="K275" s="31" t="s">
        <v>1136</v>
      </c>
      <c r="L275" s="31"/>
      <c r="M275" s="31"/>
      <c r="N275" s="25"/>
      <c r="O275" s="26"/>
      <c r="P275" s="236"/>
      <c r="Q275" s="236"/>
      <c r="R275" s="236"/>
      <c r="S275" s="236"/>
      <c r="T275" s="236"/>
      <c r="U275" s="236"/>
      <c r="V275" s="236"/>
      <c r="W275" s="236"/>
      <c r="X275" s="236"/>
      <c r="Y275" s="236"/>
      <c r="Z275" s="236"/>
      <c r="AA275" s="236"/>
      <c r="AB275" s="236"/>
      <c r="AC275" s="236"/>
      <c r="AD275" s="236"/>
      <c r="AE275" s="236"/>
      <c r="AF275" s="236"/>
      <c r="AG275" s="236"/>
      <c r="AH275" s="236"/>
      <c r="AI275" s="236"/>
      <c r="AJ275" s="236"/>
      <c r="AK275" s="236"/>
      <c r="AL275" s="236"/>
      <c r="AM275" s="236"/>
      <c r="AN275" s="255"/>
      <c r="AO275" s="255"/>
      <c r="AP275" s="25"/>
      <c r="AQ275" s="255"/>
      <c r="AR275" s="256"/>
      <c r="AS275" s="255"/>
      <c r="AT275" s="256"/>
      <c r="AU275" s="231"/>
      <c r="AV275" s="211"/>
      <c r="AW275" s="211"/>
      <c r="AX275" s="211"/>
      <c r="AY275" s="211"/>
      <c r="AZ275" s="211"/>
      <c r="BA275" s="211" t="s">
        <v>1137</v>
      </c>
      <c r="BB275" s="211"/>
      <c r="BC275" s="211"/>
      <c r="BD275" s="222"/>
      <c r="BE275" s="211"/>
      <c r="BF275" s="211"/>
      <c r="BG275" s="211"/>
      <c r="BH275" s="211"/>
      <c r="BI275" s="211"/>
      <c r="BJ275" s="211">
        <v>57306</v>
      </c>
      <c r="BK275" s="118">
        <v>89.43</v>
      </c>
      <c r="BL275" s="243" t="s">
        <v>1138</v>
      </c>
      <c r="BM275" s="243" t="s">
        <v>1139</v>
      </c>
      <c r="BN275" s="243"/>
      <c r="BO275" s="243"/>
      <c r="BP275" s="243"/>
      <c r="BQ275" s="243"/>
      <c r="BR275" s="243"/>
      <c r="BS275" s="243"/>
      <c r="BT275" s="93">
        <v>4.7859999999999996</v>
      </c>
      <c r="BU275" s="93">
        <v>4.7859999999999996</v>
      </c>
      <c r="BV275" s="93">
        <v>8.1969999999999992</v>
      </c>
      <c r="BW275" s="91">
        <f>(BV275*BU275*BT275)/1728</f>
        <v>0.10865671864120367</v>
      </c>
      <c r="BX275" s="93">
        <v>0.79</v>
      </c>
      <c r="BY275" s="93">
        <v>14.805999999999999</v>
      </c>
      <c r="BZ275" s="93">
        <v>10.055999999999999</v>
      </c>
      <c r="CA275" s="93">
        <v>9.4819999999999993</v>
      </c>
      <c r="CB275" s="91">
        <f>(CA275*BZ275*BY275)/1728</f>
        <v>0.81699466872222215</v>
      </c>
      <c r="CC275" s="93">
        <f>BX275*CG275+0.25</f>
        <v>4.99</v>
      </c>
      <c r="CD275" s="301"/>
      <c r="CE275" s="301"/>
      <c r="CF275" s="104" t="s">
        <v>134</v>
      </c>
      <c r="CG275" s="27">
        <v>6</v>
      </c>
      <c r="CH275" s="27">
        <v>12</v>
      </c>
      <c r="CI275" s="27">
        <v>5</v>
      </c>
      <c r="CJ275" s="27">
        <f>CG275*CH275*CI275</f>
        <v>360</v>
      </c>
      <c r="CK275" s="27">
        <f>(CC275*CH275*CI275)+50</f>
        <v>349.40000000000003</v>
      </c>
      <c r="CL275" s="27" t="s">
        <v>1140</v>
      </c>
      <c r="CM275" s="27" t="s">
        <v>136</v>
      </c>
      <c r="CN275" s="237"/>
      <c r="CO275" s="237"/>
      <c r="CP275" s="14"/>
      <c r="CQ275" s="14"/>
      <c r="CR275" s="14"/>
      <c r="CS275" s="14"/>
      <c r="CT275" s="14"/>
      <c r="CU275" s="14"/>
    </row>
    <row r="276" spans="1:99" s="105" customFormat="1" x14ac:dyDescent="0.25">
      <c r="A276" s="239">
        <v>41760</v>
      </c>
      <c r="B276" s="239"/>
      <c r="C276" s="213" t="s">
        <v>1141</v>
      </c>
      <c r="D276" s="211" t="s">
        <v>54</v>
      </c>
      <c r="E276" s="213" t="s">
        <v>1077</v>
      </c>
      <c r="F276" s="41" t="s">
        <v>1142</v>
      </c>
      <c r="G276" s="41"/>
      <c r="H276" s="41"/>
      <c r="I276" s="41"/>
      <c r="J276" s="211"/>
      <c r="K276" s="211"/>
      <c r="L276" s="211"/>
      <c r="M276" s="211"/>
      <c r="N276" s="25"/>
      <c r="O276" s="26"/>
      <c r="P276" s="236"/>
      <c r="Q276" s="236"/>
      <c r="R276" s="236"/>
      <c r="S276" s="236"/>
      <c r="T276" s="236"/>
      <c r="U276" s="236"/>
      <c r="V276" s="236"/>
      <c r="W276" s="236"/>
      <c r="X276" s="236"/>
      <c r="Y276" s="236"/>
      <c r="Z276" s="236"/>
      <c r="AA276" s="236"/>
      <c r="AB276" s="236"/>
      <c r="AC276" s="236"/>
      <c r="AD276" s="236"/>
      <c r="AE276" s="236"/>
      <c r="AF276" s="236"/>
      <c r="AG276" s="236"/>
      <c r="AH276" s="236"/>
      <c r="AI276" s="236"/>
      <c r="AJ276" s="236"/>
      <c r="AK276" s="236"/>
      <c r="AL276" s="236"/>
      <c r="AM276" s="236"/>
      <c r="AN276" s="255"/>
      <c r="AO276" s="255"/>
      <c r="AP276" s="25"/>
      <c r="AQ276" s="255"/>
      <c r="AR276" s="256"/>
      <c r="AS276" s="255"/>
      <c r="AT276" s="256"/>
      <c r="AU276" s="231"/>
      <c r="AV276" s="211"/>
      <c r="AW276" s="211"/>
      <c r="AX276" s="211"/>
      <c r="AY276" s="211"/>
      <c r="AZ276" s="211"/>
      <c r="BA276" s="211"/>
      <c r="BB276" s="211"/>
      <c r="BC276" s="211"/>
      <c r="BD276" s="222"/>
      <c r="BE276" s="211"/>
      <c r="BF276" s="211"/>
      <c r="BG276" s="211"/>
      <c r="BH276" s="211"/>
      <c r="BI276" s="211"/>
      <c r="BJ276" s="211"/>
      <c r="BK276" s="118">
        <v>87.17</v>
      </c>
      <c r="BL276" s="243" t="s">
        <v>1143</v>
      </c>
      <c r="BM276" s="243" t="s">
        <v>1144</v>
      </c>
      <c r="BN276" s="243"/>
      <c r="BO276" s="243"/>
      <c r="BP276" s="243"/>
      <c r="BQ276" s="243"/>
      <c r="BR276" s="243"/>
      <c r="BS276" s="243"/>
      <c r="BT276" s="93" t="s">
        <v>875</v>
      </c>
      <c r="BU276" s="93"/>
      <c r="BV276" s="93"/>
      <c r="BW276" s="93"/>
      <c r="BX276" s="93"/>
      <c r="BY276" s="93">
        <v>10.25</v>
      </c>
      <c r="BZ276" s="93">
        <v>8</v>
      </c>
      <c r="CA276" s="93">
        <v>10.5</v>
      </c>
      <c r="CB276" s="91">
        <f t="shared" ref="CB276:CB291" si="66">(CA276*BZ276*BY276)/1728</f>
        <v>0.4982638888888889</v>
      </c>
      <c r="CC276" s="93">
        <v>5.97</v>
      </c>
      <c r="CD276" s="301"/>
      <c r="CE276" s="301"/>
      <c r="CF276" s="104" t="s">
        <v>134</v>
      </c>
      <c r="CG276" s="27">
        <v>1</v>
      </c>
      <c r="CH276" s="27">
        <v>22</v>
      </c>
      <c r="CI276" s="27">
        <v>4</v>
      </c>
      <c r="CJ276" s="27">
        <f t="shared" ref="CJ276:CJ291" si="67">CG276*CH276*CI276</f>
        <v>88</v>
      </c>
      <c r="CK276" s="27">
        <f t="shared" ref="CK276:CK291" si="68">(CC276*CH276*CI276)+50</f>
        <v>575.36</v>
      </c>
      <c r="CL276" s="27" t="s">
        <v>256</v>
      </c>
      <c r="CM276" s="27" t="s">
        <v>136</v>
      </c>
      <c r="CN276" s="237"/>
      <c r="CO276" s="237"/>
      <c r="CP276" s="14"/>
      <c r="CQ276" s="14"/>
      <c r="CR276" s="14"/>
      <c r="CS276" s="14"/>
      <c r="CT276" s="14"/>
      <c r="CU276" s="14"/>
    </row>
    <row r="277" spans="1:99" s="105" customFormat="1" x14ac:dyDescent="0.25">
      <c r="A277" s="239">
        <v>41760</v>
      </c>
      <c r="B277" s="239"/>
      <c r="C277" s="213" t="s">
        <v>1145</v>
      </c>
      <c r="D277" s="211" t="s">
        <v>54</v>
      </c>
      <c r="E277" s="213" t="s">
        <v>1077</v>
      </c>
      <c r="F277" s="31" t="s">
        <v>1146</v>
      </c>
      <c r="G277" s="31"/>
      <c r="H277" s="31"/>
      <c r="I277" s="31"/>
      <c r="J277" s="211"/>
      <c r="K277" s="211"/>
      <c r="L277" s="211"/>
      <c r="M277" s="211"/>
      <c r="N277" s="25"/>
      <c r="O277" s="26"/>
      <c r="P277" s="236"/>
      <c r="Q277" s="236"/>
      <c r="R277" s="236"/>
      <c r="S277" s="236"/>
      <c r="T277" s="236"/>
      <c r="U277" s="236"/>
      <c r="V277" s="236"/>
      <c r="W277" s="236"/>
      <c r="X277" s="236"/>
      <c r="Y277" s="236"/>
      <c r="Z277" s="236"/>
      <c r="AA277" s="236"/>
      <c r="AB277" s="236"/>
      <c r="AC277" s="236"/>
      <c r="AD277" s="236"/>
      <c r="AE277" s="236"/>
      <c r="AF277" s="236"/>
      <c r="AG277" s="236"/>
      <c r="AH277" s="236"/>
      <c r="AI277" s="236"/>
      <c r="AJ277" s="236"/>
      <c r="AK277" s="236"/>
      <c r="AL277" s="236"/>
      <c r="AM277" s="236"/>
      <c r="AN277" s="255"/>
      <c r="AO277" s="255"/>
      <c r="AP277" s="25"/>
      <c r="AQ277" s="255"/>
      <c r="AR277" s="256"/>
      <c r="AS277" s="255"/>
      <c r="AT277" s="256"/>
      <c r="AU277" s="231"/>
      <c r="AV277" s="211"/>
      <c r="AW277" s="211"/>
      <c r="AX277" s="211"/>
      <c r="AY277" s="211"/>
      <c r="AZ277" s="211"/>
      <c r="BA277" s="211"/>
      <c r="BB277" s="211"/>
      <c r="BC277" s="211"/>
      <c r="BD277" s="222"/>
      <c r="BE277" s="211"/>
      <c r="BF277" s="211"/>
      <c r="BG277" s="211"/>
      <c r="BH277" s="211"/>
      <c r="BI277" s="211"/>
      <c r="BJ277" s="211"/>
      <c r="BK277" s="118">
        <v>40.479999999999997</v>
      </c>
      <c r="BL277" s="243" t="s">
        <v>1147</v>
      </c>
      <c r="BM277" s="243" t="s">
        <v>1148</v>
      </c>
      <c r="BN277" s="243"/>
      <c r="BO277" s="243"/>
      <c r="BP277" s="243"/>
      <c r="BQ277" s="243"/>
      <c r="BR277" s="243"/>
      <c r="BS277" s="243"/>
      <c r="BT277" s="93" t="s">
        <v>875</v>
      </c>
      <c r="BU277" s="93"/>
      <c r="BV277" s="93"/>
      <c r="BW277" s="93"/>
      <c r="BX277" s="93"/>
      <c r="BY277" s="93">
        <v>9</v>
      </c>
      <c r="BZ277" s="93">
        <v>9</v>
      </c>
      <c r="CA277" s="93">
        <v>8.8699999999999992</v>
      </c>
      <c r="CB277" s="91">
        <f t="shared" si="66"/>
        <v>0.41578124999999999</v>
      </c>
      <c r="CC277" s="93">
        <v>3.16</v>
      </c>
      <c r="CD277" s="301"/>
      <c r="CE277" s="301"/>
      <c r="CF277" s="104" t="s">
        <v>134</v>
      </c>
      <c r="CG277" s="27">
        <v>1</v>
      </c>
      <c r="CH277" s="27">
        <v>20</v>
      </c>
      <c r="CI277" s="27">
        <v>5</v>
      </c>
      <c r="CJ277" s="27">
        <f t="shared" si="67"/>
        <v>100</v>
      </c>
      <c r="CK277" s="27">
        <f t="shared" si="68"/>
        <v>366</v>
      </c>
      <c r="CL277" s="27" t="s">
        <v>256</v>
      </c>
      <c r="CM277" s="27" t="s">
        <v>136</v>
      </c>
      <c r="CN277" s="237"/>
      <c r="CO277" s="237"/>
      <c r="CP277" s="14"/>
      <c r="CQ277" s="14"/>
      <c r="CR277" s="14"/>
      <c r="CS277" s="14"/>
      <c r="CT277" s="14"/>
      <c r="CU277" s="14"/>
    </row>
    <row r="278" spans="1:99" s="105" customFormat="1" x14ac:dyDescent="0.25">
      <c r="A278" s="239">
        <v>41760</v>
      </c>
      <c r="B278" s="239"/>
      <c r="C278" s="213" t="s">
        <v>1149</v>
      </c>
      <c r="D278" s="211" t="s">
        <v>54</v>
      </c>
      <c r="E278" s="213" t="s">
        <v>1077</v>
      </c>
      <c r="F278" s="31" t="s">
        <v>1150</v>
      </c>
      <c r="G278" s="31"/>
      <c r="H278" s="31"/>
      <c r="I278" s="31"/>
      <c r="J278" s="211"/>
      <c r="K278" s="211"/>
      <c r="L278" s="211"/>
      <c r="M278" s="211"/>
      <c r="N278" s="41"/>
      <c r="O278" s="46"/>
      <c r="P278" s="236"/>
      <c r="Q278" s="236"/>
      <c r="R278" s="236"/>
      <c r="S278" s="236"/>
      <c r="T278" s="236"/>
      <c r="U278" s="236"/>
      <c r="V278" s="236"/>
      <c r="W278" s="236"/>
      <c r="X278" s="236"/>
      <c r="Y278" s="236"/>
      <c r="Z278" s="236"/>
      <c r="AA278" s="236"/>
      <c r="AB278" s="236"/>
      <c r="AC278" s="236"/>
      <c r="AD278" s="236"/>
      <c r="AE278" s="236"/>
      <c r="AF278" s="236"/>
      <c r="AG278" s="236"/>
      <c r="AH278" s="236"/>
      <c r="AI278" s="236"/>
      <c r="AJ278" s="236"/>
      <c r="AK278" s="236"/>
      <c r="AL278" s="236"/>
      <c r="AM278" s="236"/>
      <c r="AN278" s="255"/>
      <c r="AO278" s="255"/>
      <c r="AP278" s="41"/>
      <c r="AQ278" s="255"/>
      <c r="AR278" s="119"/>
      <c r="AS278" s="255"/>
      <c r="AT278" s="119"/>
      <c r="AU278" s="231"/>
      <c r="AV278" s="211"/>
      <c r="AW278" s="211"/>
      <c r="AX278" s="211"/>
      <c r="AY278" s="211"/>
      <c r="AZ278" s="211"/>
      <c r="BA278" s="211"/>
      <c r="BB278" s="211"/>
      <c r="BC278" s="211"/>
      <c r="BD278" s="222"/>
      <c r="BE278" s="211"/>
      <c r="BF278" s="211"/>
      <c r="BG278" s="211"/>
      <c r="BH278" s="211"/>
      <c r="BI278" s="211"/>
      <c r="BJ278" s="211"/>
      <c r="BK278" s="118">
        <v>69.900000000000006</v>
      </c>
      <c r="BL278" s="232" t="s">
        <v>1151</v>
      </c>
      <c r="BM278" s="232" t="s">
        <v>1152</v>
      </c>
      <c r="BN278" s="232"/>
      <c r="BO278" s="232"/>
      <c r="BP278" s="232"/>
      <c r="BQ278" s="232"/>
      <c r="BR278" s="232"/>
      <c r="BS278" s="232"/>
      <c r="BT278" s="93" t="s">
        <v>875</v>
      </c>
      <c r="BU278" s="93"/>
      <c r="BV278" s="93"/>
      <c r="BW278" s="93"/>
      <c r="BX278" s="93"/>
      <c r="BY278" s="93">
        <v>8.5299999999999994</v>
      </c>
      <c r="BZ278" s="93">
        <v>7.25</v>
      </c>
      <c r="CA278" s="93">
        <v>8.7799999999999994</v>
      </c>
      <c r="CB278" s="91">
        <f t="shared" si="66"/>
        <v>0.31422288773148144</v>
      </c>
      <c r="CC278" s="93">
        <v>3.79</v>
      </c>
      <c r="CD278" s="301"/>
      <c r="CE278" s="301"/>
      <c r="CF278" s="43" t="s">
        <v>134</v>
      </c>
      <c r="CG278" s="27">
        <v>1</v>
      </c>
      <c r="CH278" s="27">
        <v>27</v>
      </c>
      <c r="CI278" s="27">
        <v>4</v>
      </c>
      <c r="CJ278" s="27">
        <f t="shared" si="67"/>
        <v>108</v>
      </c>
      <c r="CK278" s="27">
        <f t="shared" si="68"/>
        <v>459.32</v>
      </c>
      <c r="CL278" s="27" t="s">
        <v>256</v>
      </c>
      <c r="CM278" s="27" t="s">
        <v>136</v>
      </c>
      <c r="CN278" s="237"/>
      <c r="CO278" s="237"/>
      <c r="CP278" s="14"/>
      <c r="CQ278" s="14"/>
      <c r="CR278" s="14"/>
      <c r="CS278" s="14"/>
      <c r="CT278" s="14"/>
      <c r="CU278" s="14"/>
    </row>
    <row r="279" spans="1:99" s="105" customFormat="1" x14ac:dyDescent="0.25">
      <c r="A279" s="239">
        <v>41760</v>
      </c>
      <c r="B279" s="239"/>
      <c r="C279" s="213" t="s">
        <v>1153</v>
      </c>
      <c r="D279" s="211" t="s">
        <v>54</v>
      </c>
      <c r="E279" s="213" t="s">
        <v>1154</v>
      </c>
      <c r="F279" s="235" t="s">
        <v>1155</v>
      </c>
      <c r="G279" s="235"/>
      <c r="H279" s="235"/>
      <c r="I279" s="235"/>
      <c r="J279" s="211" t="s">
        <v>350</v>
      </c>
      <c r="K279" s="211" t="s">
        <v>1156</v>
      </c>
      <c r="L279" s="211"/>
      <c r="M279" s="211"/>
      <c r="N279" s="41"/>
      <c r="O279" s="46"/>
      <c r="P279" s="236"/>
      <c r="Q279" s="236"/>
      <c r="R279" s="236"/>
      <c r="S279" s="236"/>
      <c r="T279" s="236"/>
      <c r="U279" s="236"/>
      <c r="V279" s="236"/>
      <c r="W279" s="236"/>
      <c r="X279" s="236"/>
      <c r="Y279" s="236"/>
      <c r="Z279" s="236"/>
      <c r="AA279" s="236"/>
      <c r="AB279" s="236"/>
      <c r="AC279" s="236"/>
      <c r="AD279" s="236"/>
      <c r="AE279" s="236"/>
      <c r="AF279" s="236"/>
      <c r="AG279" s="236"/>
      <c r="AH279" s="236"/>
      <c r="AI279" s="236"/>
      <c r="AJ279" s="236"/>
      <c r="AK279" s="236"/>
      <c r="AL279" s="236"/>
      <c r="AM279" s="236"/>
      <c r="AN279" s="255" t="s">
        <v>1157</v>
      </c>
      <c r="AO279" s="255"/>
      <c r="AP279" s="41"/>
      <c r="AQ279" s="255"/>
      <c r="AR279" s="119" t="s">
        <v>1158</v>
      </c>
      <c r="AS279" s="255"/>
      <c r="AT279" s="119" t="s">
        <v>1159</v>
      </c>
      <c r="AU279" s="231"/>
      <c r="AV279" s="211"/>
      <c r="AW279" s="211"/>
      <c r="AX279" s="211"/>
      <c r="AY279" s="211"/>
      <c r="AZ279" s="211"/>
      <c r="BA279" s="211"/>
      <c r="BB279" s="211"/>
      <c r="BC279" s="211"/>
      <c r="BD279" s="222"/>
      <c r="BE279" s="211"/>
      <c r="BF279" s="211"/>
      <c r="BG279" s="211"/>
      <c r="BH279" s="211"/>
      <c r="BI279" s="211"/>
      <c r="BJ279" s="211">
        <v>57221</v>
      </c>
      <c r="BK279" s="118">
        <v>45.88</v>
      </c>
      <c r="BL279" s="232" t="s">
        <v>1160</v>
      </c>
      <c r="BM279" s="232" t="s">
        <v>1161</v>
      </c>
      <c r="BN279" s="232"/>
      <c r="BO279" s="232"/>
      <c r="BP279" s="232"/>
      <c r="BQ279" s="232"/>
      <c r="BR279" s="232"/>
      <c r="BS279" s="232"/>
      <c r="BT279" s="93">
        <v>4.3125</v>
      </c>
      <c r="BU279" s="93">
        <v>4.3129999999999997</v>
      </c>
      <c r="BV279" s="93">
        <v>6.75</v>
      </c>
      <c r="BW279" s="91">
        <f>(BV279*BU279*BT279)/1728</f>
        <v>7.2655517578124995E-2</v>
      </c>
      <c r="BX279" s="93">
        <v>2.37</v>
      </c>
      <c r="BY279" s="93">
        <v>13.680999999999999</v>
      </c>
      <c r="BZ279" s="93">
        <v>9.2434999999999992</v>
      </c>
      <c r="CA279" s="93">
        <v>7.6120000000000001</v>
      </c>
      <c r="CB279" s="91">
        <f t="shared" si="66"/>
        <v>0.55706943430671285</v>
      </c>
      <c r="CC279" s="93">
        <f>BX279*CG279+0.25</f>
        <v>14.47</v>
      </c>
      <c r="CD279" s="301"/>
      <c r="CE279" s="301"/>
      <c r="CF279" s="43" t="s">
        <v>134</v>
      </c>
      <c r="CG279" s="27">
        <v>6</v>
      </c>
      <c r="CH279" s="27">
        <v>13</v>
      </c>
      <c r="CI279" s="27">
        <v>6</v>
      </c>
      <c r="CJ279" s="27">
        <f t="shared" si="67"/>
        <v>468</v>
      </c>
      <c r="CK279" s="27">
        <f t="shared" si="68"/>
        <v>1178.6600000000001</v>
      </c>
      <c r="CL279" s="258" t="s">
        <v>256</v>
      </c>
      <c r="CM279" s="27" t="s">
        <v>136</v>
      </c>
      <c r="CN279" s="237"/>
      <c r="CO279" s="237"/>
      <c r="CP279" s="14"/>
      <c r="CQ279" s="14"/>
      <c r="CR279" s="14"/>
      <c r="CS279" s="14"/>
      <c r="CT279" s="14"/>
      <c r="CU279" s="14"/>
    </row>
    <row r="280" spans="1:99" s="105" customFormat="1" ht="30" x14ac:dyDescent="0.25">
      <c r="A280" s="239">
        <v>41760</v>
      </c>
      <c r="B280" s="239"/>
      <c r="C280" s="213" t="s">
        <v>1162</v>
      </c>
      <c r="D280" s="211" t="s">
        <v>54</v>
      </c>
      <c r="E280" s="213" t="s">
        <v>495</v>
      </c>
      <c r="F280" s="235" t="s">
        <v>1163</v>
      </c>
      <c r="G280" s="235"/>
      <c r="H280" s="235"/>
      <c r="I280" s="235"/>
      <c r="J280" s="211" t="s">
        <v>519</v>
      </c>
      <c r="K280" s="211" t="s">
        <v>1164</v>
      </c>
      <c r="L280" s="211" t="s">
        <v>519</v>
      </c>
      <c r="M280" s="211" t="s">
        <v>1165</v>
      </c>
      <c r="N280" s="41"/>
      <c r="O280" s="46"/>
      <c r="P280" s="236"/>
      <c r="Q280" s="236"/>
      <c r="R280" s="236"/>
      <c r="S280" s="236"/>
      <c r="T280" s="236"/>
      <c r="U280" s="236"/>
      <c r="V280" s="236"/>
      <c r="W280" s="236"/>
      <c r="X280" s="236"/>
      <c r="Y280" s="236"/>
      <c r="Z280" s="236"/>
      <c r="AA280" s="236"/>
      <c r="AB280" s="236"/>
      <c r="AC280" s="236"/>
      <c r="AD280" s="236"/>
      <c r="AE280" s="236"/>
      <c r="AF280" s="236"/>
      <c r="AG280" s="236"/>
      <c r="AH280" s="236"/>
      <c r="AI280" s="236"/>
      <c r="AJ280" s="236"/>
      <c r="AK280" s="236"/>
      <c r="AL280" s="236"/>
      <c r="AM280" s="236"/>
      <c r="AN280" s="255"/>
      <c r="AO280" s="255"/>
      <c r="AP280" s="41">
        <v>84669</v>
      </c>
      <c r="AQ280" s="255"/>
      <c r="AR280" s="119"/>
      <c r="AS280" s="255"/>
      <c r="AT280" s="119"/>
      <c r="AU280" s="231"/>
      <c r="AV280" s="211"/>
      <c r="AW280" s="211"/>
      <c r="AX280" s="211"/>
      <c r="AY280" s="211"/>
      <c r="AZ280" s="211"/>
      <c r="BA280" s="211"/>
      <c r="BB280" s="211"/>
      <c r="BC280" s="211"/>
      <c r="BD280" s="222">
        <v>7669</v>
      </c>
      <c r="BE280" s="211"/>
      <c r="BF280" s="211"/>
      <c r="BG280" s="211"/>
      <c r="BH280" s="211"/>
      <c r="BI280" s="211"/>
      <c r="BJ280" s="211">
        <v>57669</v>
      </c>
      <c r="BK280" s="118">
        <v>33.950000000000003</v>
      </c>
      <c r="BL280" s="243" t="s">
        <v>1166</v>
      </c>
      <c r="BM280" s="243" t="s">
        <v>1167</v>
      </c>
      <c r="BN280" s="243"/>
      <c r="BO280" s="243"/>
      <c r="BP280" s="243"/>
      <c r="BQ280" s="243"/>
      <c r="BR280" s="243"/>
      <c r="BS280" s="243"/>
      <c r="BT280" s="599" t="s">
        <v>875</v>
      </c>
      <c r="BU280" s="599"/>
      <c r="BV280" s="599"/>
      <c r="BW280" s="599"/>
      <c r="BX280" s="599"/>
      <c r="BY280" s="93">
        <v>19.125</v>
      </c>
      <c r="BZ280" s="93">
        <v>14.494999999999999</v>
      </c>
      <c r="CA280" s="93">
        <v>10.37</v>
      </c>
      <c r="CB280" s="91">
        <f t="shared" si="66"/>
        <v>1.6636221028645832</v>
      </c>
      <c r="CC280" s="93">
        <f>2.12*CG280+0.4</f>
        <v>25.84</v>
      </c>
      <c r="CD280" s="301"/>
      <c r="CE280" s="301"/>
      <c r="CF280" s="104" t="s">
        <v>134</v>
      </c>
      <c r="CG280" s="27">
        <v>12</v>
      </c>
      <c r="CH280" s="27">
        <v>6</v>
      </c>
      <c r="CI280" s="27">
        <v>4</v>
      </c>
      <c r="CJ280" s="27">
        <f t="shared" si="67"/>
        <v>288</v>
      </c>
      <c r="CK280" s="27">
        <f t="shared" si="68"/>
        <v>670.16</v>
      </c>
      <c r="CL280" s="27" t="s">
        <v>256</v>
      </c>
      <c r="CM280" s="27" t="s">
        <v>136</v>
      </c>
      <c r="CN280" s="237"/>
      <c r="CO280" s="237"/>
      <c r="CP280" s="14"/>
      <c r="CQ280" s="14"/>
      <c r="CR280" s="14"/>
      <c r="CS280" s="14"/>
      <c r="CT280" s="14"/>
      <c r="CU280" s="14"/>
    </row>
    <row r="281" spans="1:99" s="105" customFormat="1" x14ac:dyDescent="0.25">
      <c r="A281" s="239">
        <v>41760</v>
      </c>
      <c r="B281" s="239"/>
      <c r="C281" s="213" t="s">
        <v>1168</v>
      </c>
      <c r="D281" s="213" t="s">
        <v>105</v>
      </c>
      <c r="E281" s="213" t="s">
        <v>1169</v>
      </c>
      <c r="F281" s="235" t="s">
        <v>1170</v>
      </c>
      <c r="G281" s="235"/>
      <c r="H281" s="235"/>
      <c r="I281" s="235"/>
      <c r="J281" s="211" t="s">
        <v>412</v>
      </c>
      <c r="K281" s="211" t="s">
        <v>1171</v>
      </c>
      <c r="L281" s="211"/>
      <c r="M281" s="211"/>
      <c r="N281" s="41"/>
      <c r="O281" s="46"/>
      <c r="P281" s="236"/>
      <c r="Q281" s="236"/>
      <c r="R281" s="236"/>
      <c r="S281" s="236"/>
      <c r="T281" s="236"/>
      <c r="U281" s="236"/>
      <c r="V281" s="236"/>
      <c r="W281" s="236"/>
      <c r="X281" s="236"/>
      <c r="Y281" s="236"/>
      <c r="Z281" s="236"/>
      <c r="AA281" s="236"/>
      <c r="AB281" s="236"/>
      <c r="AC281" s="236"/>
      <c r="AD281" s="236"/>
      <c r="AE281" s="236"/>
      <c r="AF281" s="236"/>
      <c r="AG281" s="236"/>
      <c r="AH281" s="236"/>
      <c r="AI281" s="236"/>
      <c r="AJ281" s="236"/>
      <c r="AK281" s="236"/>
      <c r="AL281" s="236"/>
      <c r="AM281" s="236"/>
      <c r="AN281" s="255"/>
      <c r="AO281" s="255"/>
      <c r="AP281" s="41"/>
      <c r="AQ281" s="255"/>
      <c r="AR281" s="119"/>
      <c r="AS281" s="255"/>
      <c r="AT281" s="119"/>
      <c r="AU281" s="231" t="s">
        <v>1172</v>
      </c>
      <c r="AV281" s="211"/>
      <c r="AW281" s="211"/>
      <c r="AX281" s="211" t="s">
        <v>1173</v>
      </c>
      <c r="AY281" s="211"/>
      <c r="AZ281" s="211"/>
      <c r="BA281" s="211"/>
      <c r="BB281" s="211"/>
      <c r="BC281" s="211"/>
      <c r="BD281" s="222"/>
      <c r="BE281" s="211" t="s">
        <v>1174</v>
      </c>
      <c r="BF281" s="211"/>
      <c r="BG281" s="211" t="s">
        <v>1175</v>
      </c>
      <c r="BH281" s="211"/>
      <c r="BI281" s="211" t="s">
        <v>1176</v>
      </c>
      <c r="BJ281" s="211">
        <v>49008</v>
      </c>
      <c r="BK281" s="118">
        <v>33.97</v>
      </c>
      <c r="BL281" s="232" t="s">
        <v>1177</v>
      </c>
      <c r="BM281" s="232" t="s">
        <v>1178</v>
      </c>
      <c r="BN281" s="232"/>
      <c r="BO281" s="232"/>
      <c r="BP281" s="232"/>
      <c r="BQ281" s="232"/>
      <c r="BR281" s="232"/>
      <c r="BS281" s="232"/>
      <c r="BT281" s="93">
        <v>8.6560000000000006</v>
      </c>
      <c r="BU281" s="93">
        <v>2.286</v>
      </c>
      <c r="BV281" s="93">
        <v>13.942</v>
      </c>
      <c r="BW281" s="91">
        <f>(BV281*BU281*BT281)/1728</f>
        <v>0.15965216566666668</v>
      </c>
      <c r="BX281" s="93">
        <v>0.35</v>
      </c>
      <c r="BY281" s="93">
        <v>14.5</v>
      </c>
      <c r="BZ281" s="93">
        <v>9.25</v>
      </c>
      <c r="CA281" s="93">
        <v>7.5</v>
      </c>
      <c r="CB281" s="91">
        <f t="shared" si="66"/>
        <v>0.58213975694444442</v>
      </c>
      <c r="CC281" s="93">
        <f>BX281*CG281</f>
        <v>1.0499999999999998</v>
      </c>
      <c r="CD281" s="301"/>
      <c r="CE281" s="301"/>
      <c r="CF281" s="43" t="s">
        <v>134</v>
      </c>
      <c r="CG281" s="27">
        <v>3</v>
      </c>
      <c r="CH281" s="27">
        <v>13</v>
      </c>
      <c r="CI281" s="27">
        <v>5</v>
      </c>
      <c r="CJ281" s="27">
        <f t="shared" si="67"/>
        <v>195</v>
      </c>
      <c r="CK281" s="27">
        <f t="shared" si="68"/>
        <v>118.25</v>
      </c>
      <c r="CL281" s="258" t="s">
        <v>139</v>
      </c>
      <c r="CM281" s="27" t="s">
        <v>136</v>
      </c>
      <c r="CN281" s="237"/>
      <c r="CO281" s="237"/>
      <c r="CP281" s="14"/>
      <c r="CQ281" s="14"/>
      <c r="CR281" s="14"/>
      <c r="CS281" s="14"/>
      <c r="CT281" s="14"/>
      <c r="CU281" s="14"/>
    </row>
    <row r="282" spans="1:99" s="105" customFormat="1" x14ac:dyDescent="0.25">
      <c r="A282" s="239">
        <v>41760</v>
      </c>
      <c r="B282" s="239"/>
      <c r="C282" s="213" t="s">
        <v>1179</v>
      </c>
      <c r="D282" s="213" t="s">
        <v>105</v>
      </c>
      <c r="E282" s="213" t="s">
        <v>454</v>
      </c>
      <c r="F282" s="235" t="s">
        <v>1180</v>
      </c>
      <c r="G282" s="235"/>
      <c r="H282" s="235"/>
      <c r="I282" s="235"/>
      <c r="J282" s="211" t="s">
        <v>107</v>
      </c>
      <c r="K282" s="211">
        <v>92234714</v>
      </c>
      <c r="L282" s="211" t="s">
        <v>108</v>
      </c>
      <c r="M282" s="211" t="s">
        <v>1181</v>
      </c>
      <c r="N282" s="41"/>
      <c r="O282" s="46"/>
      <c r="P282" s="236"/>
      <c r="Q282" s="236"/>
      <c r="R282" s="236"/>
      <c r="S282" s="236"/>
      <c r="T282" s="236"/>
      <c r="U282" s="236"/>
      <c r="V282" s="236"/>
      <c r="W282" s="236"/>
      <c r="X282" s="236"/>
      <c r="Y282" s="236"/>
      <c r="Z282" s="236"/>
      <c r="AA282" s="236"/>
      <c r="AB282" s="236"/>
      <c r="AC282" s="236"/>
      <c r="AD282" s="236"/>
      <c r="AE282" s="236"/>
      <c r="AF282" s="236"/>
      <c r="AG282" s="236"/>
      <c r="AH282" s="236"/>
      <c r="AI282" s="236"/>
      <c r="AJ282" s="236"/>
      <c r="AK282" s="236"/>
      <c r="AL282" s="236"/>
      <c r="AM282" s="236"/>
      <c r="AN282" s="255"/>
      <c r="AO282" s="255"/>
      <c r="AP282" s="41"/>
      <c r="AQ282" s="255"/>
      <c r="AR282" s="119"/>
      <c r="AS282" s="255"/>
      <c r="AT282" s="119"/>
      <c r="AU282" s="231" t="s">
        <v>1182</v>
      </c>
      <c r="AV282" s="211"/>
      <c r="AW282" s="211"/>
      <c r="AX282" s="211"/>
      <c r="AY282" s="211"/>
      <c r="AZ282" s="211"/>
      <c r="BA282" s="211"/>
      <c r="BB282" s="211" t="s">
        <v>1183</v>
      </c>
      <c r="BC282" s="211"/>
      <c r="BD282" s="222"/>
      <c r="BE282" s="211" t="s">
        <v>1184</v>
      </c>
      <c r="BF282" s="211" t="s">
        <v>1183</v>
      </c>
      <c r="BG282" s="211" t="s">
        <v>1184</v>
      </c>
      <c r="BH282" s="211"/>
      <c r="BI282" s="211" t="s">
        <v>1185</v>
      </c>
      <c r="BJ282" s="211">
        <v>24014</v>
      </c>
      <c r="BK282" s="118">
        <v>22.46</v>
      </c>
      <c r="BL282" s="232" t="s">
        <v>1186</v>
      </c>
      <c r="BM282" s="232" t="s">
        <v>1187</v>
      </c>
      <c r="BN282" s="232"/>
      <c r="BO282" s="232"/>
      <c r="BP282" s="232"/>
      <c r="BQ282" s="232"/>
      <c r="BR282" s="232"/>
      <c r="BS282" s="232"/>
      <c r="BT282" s="93" t="s">
        <v>875</v>
      </c>
      <c r="BU282" s="93"/>
      <c r="BV282" s="93"/>
      <c r="BW282" s="93"/>
      <c r="BX282" s="93"/>
      <c r="BY282" s="93">
        <v>11.38</v>
      </c>
      <c r="BZ282" s="93">
        <v>10.5</v>
      </c>
      <c r="CA282" s="93">
        <v>6.13</v>
      </c>
      <c r="CB282" s="91">
        <f t="shared" si="66"/>
        <v>0.42388524305555558</v>
      </c>
      <c r="CC282" s="93">
        <f>0.72*CG282+0.25</f>
        <v>4.57</v>
      </c>
      <c r="CD282" s="301"/>
      <c r="CE282" s="301"/>
      <c r="CF282" s="43" t="s">
        <v>134</v>
      </c>
      <c r="CG282" s="27">
        <v>6</v>
      </c>
      <c r="CH282" s="27">
        <v>12</v>
      </c>
      <c r="CI282" s="27">
        <v>6</v>
      </c>
      <c r="CJ282" s="27">
        <f t="shared" si="67"/>
        <v>432</v>
      </c>
      <c r="CK282" s="27">
        <f t="shared" si="68"/>
        <v>379.04</v>
      </c>
      <c r="CL282" s="258" t="s">
        <v>139</v>
      </c>
      <c r="CM282" s="27" t="s">
        <v>136</v>
      </c>
      <c r="CN282" s="237"/>
      <c r="CO282" s="237"/>
      <c r="CP282" s="14"/>
      <c r="CQ282" s="14"/>
      <c r="CR282" s="14"/>
      <c r="CS282" s="14"/>
      <c r="CT282" s="14"/>
      <c r="CU282" s="14"/>
    </row>
    <row r="283" spans="1:99" s="105" customFormat="1" x14ac:dyDescent="0.25">
      <c r="A283" s="239">
        <v>41760</v>
      </c>
      <c r="B283" s="239"/>
      <c r="C283" s="213" t="s">
        <v>1188</v>
      </c>
      <c r="D283" s="213" t="s">
        <v>105</v>
      </c>
      <c r="E283" s="213" t="s">
        <v>1169</v>
      </c>
      <c r="F283" s="235" t="s">
        <v>1189</v>
      </c>
      <c r="G283" s="235"/>
      <c r="H283" s="235"/>
      <c r="I283" s="235"/>
      <c r="J283" s="211" t="s">
        <v>107</v>
      </c>
      <c r="K283" s="211">
        <v>20862288</v>
      </c>
      <c r="L283" s="211" t="s">
        <v>108</v>
      </c>
      <c r="M283" s="211" t="s">
        <v>1190</v>
      </c>
      <c r="N283" s="41"/>
      <c r="O283" s="46"/>
      <c r="P283" s="236"/>
      <c r="Q283" s="236"/>
      <c r="R283" s="236"/>
      <c r="S283" s="236"/>
      <c r="T283" s="236"/>
      <c r="U283" s="236"/>
      <c r="V283" s="236"/>
      <c r="W283" s="236"/>
      <c r="X283" s="236"/>
      <c r="Y283" s="236"/>
      <c r="Z283" s="236"/>
      <c r="AA283" s="236"/>
      <c r="AB283" s="236"/>
      <c r="AC283" s="236"/>
      <c r="AD283" s="236"/>
      <c r="AE283" s="236"/>
      <c r="AF283" s="236"/>
      <c r="AG283" s="236"/>
      <c r="AH283" s="236"/>
      <c r="AI283" s="236"/>
      <c r="AJ283" s="236"/>
      <c r="AK283" s="236"/>
      <c r="AL283" s="236"/>
      <c r="AM283" s="236"/>
      <c r="AN283" s="255" t="s">
        <v>1191</v>
      </c>
      <c r="AO283" s="255"/>
      <c r="AP283" s="41"/>
      <c r="AQ283" s="255"/>
      <c r="AR283" s="119"/>
      <c r="AS283" s="255"/>
      <c r="AT283" s="119"/>
      <c r="AU283" s="231" t="s">
        <v>1192</v>
      </c>
      <c r="AV283" s="211"/>
      <c r="AW283" s="211"/>
      <c r="AX283" s="211" t="s">
        <v>1193</v>
      </c>
      <c r="AY283" s="211"/>
      <c r="AZ283" s="211"/>
      <c r="BA283" s="211"/>
      <c r="BB283" s="211"/>
      <c r="BC283" s="211"/>
      <c r="BD283" s="222"/>
      <c r="BE283" s="211" t="s">
        <v>1194</v>
      </c>
      <c r="BF283" s="211" t="s">
        <v>1195</v>
      </c>
      <c r="BG283" s="211" t="s">
        <v>1196</v>
      </c>
      <c r="BH283" s="211"/>
      <c r="BI283" s="211" t="s">
        <v>1197</v>
      </c>
      <c r="BJ283" s="211">
        <v>49288</v>
      </c>
      <c r="BK283" s="118">
        <v>31.29</v>
      </c>
      <c r="BL283" s="232" t="s">
        <v>1198</v>
      </c>
      <c r="BM283" s="232" t="s">
        <v>1199</v>
      </c>
      <c r="BN283" s="232"/>
      <c r="BO283" s="232"/>
      <c r="BP283" s="232"/>
      <c r="BQ283" s="232"/>
      <c r="BR283" s="232"/>
      <c r="BS283" s="232"/>
      <c r="BT283" s="93">
        <v>7.7859999999999996</v>
      </c>
      <c r="BU283" s="93">
        <v>2.536</v>
      </c>
      <c r="BV283" s="93">
        <v>12.821999999999999</v>
      </c>
      <c r="BW283" s="91">
        <f>(BV283*BU283*BT283)/1728</f>
        <v>0.14651283872222221</v>
      </c>
      <c r="BX283" s="93">
        <v>0.56999999999999995</v>
      </c>
      <c r="BY283" s="93">
        <v>13.5</v>
      </c>
      <c r="BZ283" s="93">
        <v>8.25</v>
      </c>
      <c r="CA283" s="93">
        <v>8.5</v>
      </c>
      <c r="CB283" s="91">
        <f t="shared" si="66"/>
        <v>0.5478515625</v>
      </c>
      <c r="CC283" s="93">
        <f>BX283*CG283+0.25</f>
        <v>1.96</v>
      </c>
      <c r="CD283" s="301"/>
      <c r="CE283" s="301"/>
      <c r="CF283" s="43" t="s">
        <v>134</v>
      </c>
      <c r="CG283" s="27">
        <v>3</v>
      </c>
      <c r="CH283" s="27">
        <v>14</v>
      </c>
      <c r="CI283" s="27">
        <v>5</v>
      </c>
      <c r="CJ283" s="27">
        <f t="shared" si="67"/>
        <v>210</v>
      </c>
      <c r="CK283" s="27">
        <f t="shared" si="68"/>
        <v>187.2</v>
      </c>
      <c r="CL283" s="258" t="s">
        <v>256</v>
      </c>
      <c r="CM283" s="27" t="s">
        <v>136</v>
      </c>
      <c r="CN283" s="237"/>
      <c r="CO283" s="237"/>
      <c r="CP283" s="14"/>
      <c r="CQ283" s="14"/>
      <c r="CR283" s="14"/>
      <c r="CS283" s="14"/>
      <c r="CT283" s="14"/>
      <c r="CU283" s="14"/>
    </row>
    <row r="284" spans="1:99" s="105" customFormat="1" x14ac:dyDescent="0.25">
      <c r="A284" s="239">
        <v>41760</v>
      </c>
      <c r="B284" s="239"/>
      <c r="C284" s="213" t="s">
        <v>1200</v>
      </c>
      <c r="D284" s="211" t="s">
        <v>88</v>
      </c>
      <c r="E284" s="213" t="s">
        <v>1169</v>
      </c>
      <c r="F284" s="235" t="s">
        <v>1201</v>
      </c>
      <c r="G284" s="235"/>
      <c r="H284" s="235"/>
      <c r="I284" s="235"/>
      <c r="J284" s="222" t="s">
        <v>1202</v>
      </c>
      <c r="K284" s="211">
        <v>8970687830</v>
      </c>
      <c r="L284" s="211"/>
      <c r="M284" s="211"/>
      <c r="N284" s="41"/>
      <c r="O284" s="46"/>
      <c r="P284" s="236"/>
      <c r="Q284" s="236"/>
      <c r="R284" s="236"/>
      <c r="S284" s="236"/>
      <c r="T284" s="236"/>
      <c r="U284" s="236"/>
      <c r="V284" s="236"/>
      <c r="W284" s="236"/>
      <c r="X284" s="236"/>
      <c r="Y284" s="236"/>
      <c r="Z284" s="236"/>
      <c r="AA284" s="236"/>
      <c r="AB284" s="236"/>
      <c r="AC284" s="236"/>
      <c r="AD284" s="236"/>
      <c r="AE284" s="236"/>
      <c r="AF284" s="236"/>
      <c r="AG284" s="236"/>
      <c r="AH284" s="236"/>
      <c r="AI284" s="236"/>
      <c r="AJ284" s="236"/>
      <c r="AK284" s="236"/>
      <c r="AL284" s="236"/>
      <c r="AM284" s="236"/>
      <c r="AN284" s="255"/>
      <c r="AO284" s="255"/>
      <c r="AP284" s="41">
        <v>83211</v>
      </c>
      <c r="AQ284" s="255"/>
      <c r="AR284" s="119"/>
      <c r="AS284" s="255"/>
      <c r="AT284" s="119"/>
      <c r="AU284" s="231" t="s">
        <v>1203</v>
      </c>
      <c r="AV284" s="211"/>
      <c r="AW284" s="211"/>
      <c r="AX284" s="211" t="s">
        <v>1204</v>
      </c>
      <c r="AY284" s="211"/>
      <c r="AZ284" s="211"/>
      <c r="BA284" s="211"/>
      <c r="BB284" s="211"/>
      <c r="BC284" s="211"/>
      <c r="BD284" s="222">
        <v>9211</v>
      </c>
      <c r="BE284" s="211" t="s">
        <v>1205</v>
      </c>
      <c r="BF284" s="211"/>
      <c r="BG284" s="211" t="s">
        <v>1206</v>
      </c>
      <c r="BH284" s="211"/>
      <c r="BI284" s="211" t="s">
        <v>1207</v>
      </c>
      <c r="BJ284" s="211">
        <v>49211</v>
      </c>
      <c r="BK284" s="118">
        <v>19.98</v>
      </c>
      <c r="BL284" s="232" t="s">
        <v>1208</v>
      </c>
      <c r="BM284" s="232" t="s">
        <v>1209</v>
      </c>
      <c r="BN284" s="232"/>
      <c r="BO284" s="232"/>
      <c r="BP284" s="232"/>
      <c r="BQ284" s="232"/>
      <c r="BR284" s="232"/>
      <c r="BS284" s="232"/>
      <c r="BT284" s="93">
        <v>10.036</v>
      </c>
      <c r="BU284" s="93">
        <v>2.536</v>
      </c>
      <c r="BV284" s="93">
        <v>12.571999999999999</v>
      </c>
      <c r="BW284" s="91">
        <f>(BV284*BU284*BT284)/1728</f>
        <v>0.18516996140740738</v>
      </c>
      <c r="BX284" s="93">
        <v>0.88</v>
      </c>
      <c r="BY284" s="93">
        <v>13.25</v>
      </c>
      <c r="BZ284" s="93">
        <v>11</v>
      </c>
      <c r="CA284" s="93">
        <v>9</v>
      </c>
      <c r="CB284" s="91">
        <f t="shared" si="66"/>
        <v>0.75911458333333337</v>
      </c>
      <c r="CC284" s="93">
        <f>BX284*CG284+0.25</f>
        <v>2.89</v>
      </c>
      <c r="CD284" s="301"/>
      <c r="CE284" s="301"/>
      <c r="CF284" s="43" t="s">
        <v>134</v>
      </c>
      <c r="CG284" s="27">
        <v>3</v>
      </c>
      <c r="CH284" s="27">
        <v>12</v>
      </c>
      <c r="CI284" s="27">
        <v>4</v>
      </c>
      <c r="CJ284" s="27">
        <f t="shared" si="67"/>
        <v>144</v>
      </c>
      <c r="CK284" s="27">
        <f t="shared" si="68"/>
        <v>188.72</v>
      </c>
      <c r="CL284" s="27" t="s">
        <v>139</v>
      </c>
      <c r="CM284" s="27" t="s">
        <v>136</v>
      </c>
      <c r="CN284" s="237"/>
      <c r="CO284" s="237"/>
      <c r="CP284" s="14"/>
      <c r="CQ284" s="14"/>
      <c r="CR284" s="14"/>
      <c r="CS284" s="14"/>
      <c r="CT284" s="14"/>
      <c r="CU284" s="14"/>
    </row>
    <row r="285" spans="1:99" s="105" customFormat="1" x14ac:dyDescent="0.25">
      <c r="A285" s="239">
        <v>41760</v>
      </c>
      <c r="B285" s="239"/>
      <c r="C285" s="213" t="s">
        <v>1210</v>
      </c>
      <c r="D285" s="211" t="s">
        <v>88</v>
      </c>
      <c r="E285" s="213" t="s">
        <v>1169</v>
      </c>
      <c r="F285" s="235" t="s">
        <v>1211</v>
      </c>
      <c r="G285" s="235"/>
      <c r="H285" s="235"/>
      <c r="I285" s="235"/>
      <c r="J285" s="211" t="s">
        <v>377</v>
      </c>
      <c r="K285" s="211" t="s">
        <v>1212</v>
      </c>
      <c r="L285" s="211"/>
      <c r="M285" s="211"/>
      <c r="N285" s="25"/>
      <c r="O285" s="26"/>
      <c r="P285" s="236"/>
      <c r="Q285" s="236"/>
      <c r="R285" s="236"/>
      <c r="S285" s="236"/>
      <c r="T285" s="236"/>
      <c r="U285" s="236"/>
      <c r="V285" s="236"/>
      <c r="W285" s="236"/>
      <c r="X285" s="236"/>
      <c r="Y285" s="236"/>
      <c r="Z285" s="236"/>
      <c r="AA285" s="236"/>
      <c r="AB285" s="236"/>
      <c r="AC285" s="236"/>
      <c r="AD285" s="236"/>
      <c r="AE285" s="236"/>
      <c r="AF285" s="236"/>
      <c r="AG285" s="236"/>
      <c r="AH285" s="236"/>
      <c r="AI285" s="236"/>
      <c r="AJ285" s="236"/>
      <c r="AK285" s="236"/>
      <c r="AL285" s="236"/>
      <c r="AM285" s="236"/>
      <c r="AN285" s="255"/>
      <c r="AO285" s="255"/>
      <c r="AP285" s="25">
        <v>83048</v>
      </c>
      <c r="AQ285" s="255"/>
      <c r="AR285" s="256"/>
      <c r="AS285" s="255"/>
      <c r="AT285" s="256"/>
      <c r="AU285" s="231" t="s">
        <v>1213</v>
      </c>
      <c r="AV285" s="211" t="s">
        <v>1214</v>
      </c>
      <c r="AW285" s="211"/>
      <c r="AX285" s="211" t="s">
        <v>1215</v>
      </c>
      <c r="AY285" s="211"/>
      <c r="AZ285" s="211"/>
      <c r="BA285" s="211"/>
      <c r="BB285" s="211"/>
      <c r="BC285" s="211"/>
      <c r="BD285" s="222">
        <v>9048</v>
      </c>
      <c r="BE285" s="211" t="s">
        <v>1216</v>
      </c>
      <c r="BF285" s="211"/>
      <c r="BG285" s="211" t="s">
        <v>1217</v>
      </c>
      <c r="BH285" s="211"/>
      <c r="BI285" s="211" t="s">
        <v>1218</v>
      </c>
      <c r="BJ285" s="211">
        <v>49048</v>
      </c>
      <c r="BK285" s="118">
        <v>19.78</v>
      </c>
      <c r="BL285" s="232" t="s">
        <v>1219</v>
      </c>
      <c r="BM285" s="232" t="s">
        <v>1220</v>
      </c>
      <c r="BN285" s="232"/>
      <c r="BO285" s="232"/>
      <c r="BP285" s="232"/>
      <c r="BQ285" s="232"/>
      <c r="BR285" s="232"/>
      <c r="BS285" s="232"/>
      <c r="BT285" s="93">
        <v>7.0359999999999996</v>
      </c>
      <c r="BU285" s="93">
        <v>2.6560000000000001</v>
      </c>
      <c r="BV285" s="93">
        <v>15.321999999999999</v>
      </c>
      <c r="BW285" s="91">
        <f>(BV285*BU285*BT285)/1728</f>
        <v>0.16570118770370368</v>
      </c>
      <c r="BX285" s="93">
        <v>0.45</v>
      </c>
      <c r="BY285" s="93">
        <v>15.75</v>
      </c>
      <c r="BZ285" s="93">
        <v>7.5</v>
      </c>
      <c r="CA285" s="93">
        <v>8.8800000000000008</v>
      </c>
      <c r="CB285" s="91">
        <f t="shared" si="66"/>
        <v>0.60703125000000002</v>
      </c>
      <c r="CC285" s="93">
        <f>BX285*CG285+0.25</f>
        <v>1.6</v>
      </c>
      <c r="CD285" s="301"/>
      <c r="CE285" s="301"/>
      <c r="CF285" s="104" t="s">
        <v>134</v>
      </c>
      <c r="CG285" s="27">
        <v>3</v>
      </c>
      <c r="CH285" s="27">
        <v>15</v>
      </c>
      <c r="CI285" s="27">
        <v>5</v>
      </c>
      <c r="CJ285" s="27">
        <f t="shared" si="67"/>
        <v>225</v>
      </c>
      <c r="CK285" s="27">
        <f t="shared" si="68"/>
        <v>170</v>
      </c>
      <c r="CL285" s="27" t="s">
        <v>256</v>
      </c>
      <c r="CM285" s="27" t="s">
        <v>136</v>
      </c>
      <c r="CN285" s="237"/>
      <c r="CO285" s="237"/>
      <c r="CP285" s="14"/>
      <c r="CQ285" s="14"/>
      <c r="CR285" s="14"/>
      <c r="CS285" s="14"/>
      <c r="CT285" s="14"/>
      <c r="CU285" s="14"/>
    </row>
    <row r="286" spans="1:99" s="105" customFormat="1" x14ac:dyDescent="0.25">
      <c r="A286" s="239">
        <v>41730</v>
      </c>
      <c r="B286" s="239"/>
      <c r="C286" s="211" t="s">
        <v>1221</v>
      </c>
      <c r="D286" s="211" t="s">
        <v>54</v>
      </c>
      <c r="E286" s="213" t="s">
        <v>1154</v>
      </c>
      <c r="F286" s="235" t="s">
        <v>1222</v>
      </c>
      <c r="G286" s="235"/>
      <c r="H286" s="235"/>
      <c r="I286" s="235"/>
      <c r="J286" s="211" t="s">
        <v>206</v>
      </c>
      <c r="K286" s="211" t="s">
        <v>1223</v>
      </c>
      <c r="L286" s="211" t="s">
        <v>350</v>
      </c>
      <c r="M286" s="211" t="s">
        <v>1224</v>
      </c>
      <c r="N286" s="211"/>
      <c r="O286" s="211"/>
      <c r="P286" s="211"/>
      <c r="Q286" s="211"/>
      <c r="R286" s="211"/>
      <c r="S286" s="211"/>
      <c r="T286" s="236"/>
      <c r="U286" s="236"/>
      <c r="V286" s="236"/>
      <c r="W286" s="236"/>
      <c r="X286" s="236"/>
      <c r="Y286" s="236"/>
      <c r="Z286" s="236"/>
      <c r="AA286" s="236"/>
      <c r="AB286" s="236"/>
      <c r="AC286" s="236"/>
      <c r="AD286" s="236"/>
      <c r="AE286" s="236"/>
      <c r="AF286" s="236"/>
      <c r="AG286" s="236"/>
      <c r="AH286" s="236"/>
      <c r="AI286" s="236"/>
      <c r="AJ286" s="236"/>
      <c r="AK286" s="236"/>
      <c r="AL286" s="236"/>
      <c r="AM286" s="236"/>
      <c r="AN286" s="255" t="s">
        <v>1225</v>
      </c>
      <c r="AO286" s="255"/>
      <c r="AP286" s="25"/>
      <c r="AQ286" s="255"/>
      <c r="AR286" s="256" t="s">
        <v>1226</v>
      </c>
      <c r="AS286" s="255"/>
      <c r="AT286" s="256" t="s">
        <v>1227</v>
      </c>
      <c r="AU286" s="231"/>
      <c r="AV286" s="211"/>
      <c r="AW286" s="211"/>
      <c r="AX286" s="211"/>
      <c r="AY286" s="211"/>
      <c r="AZ286" s="211"/>
      <c r="BA286" s="211"/>
      <c r="BB286" s="211"/>
      <c r="BC286" s="211"/>
      <c r="BD286" s="222"/>
      <c r="BE286" s="211"/>
      <c r="BF286" s="211"/>
      <c r="BG286" s="211"/>
      <c r="BH286" s="211"/>
      <c r="BI286" s="211"/>
      <c r="BJ286" s="211"/>
      <c r="BK286" s="118">
        <v>319.89</v>
      </c>
      <c r="BL286" s="243" t="s">
        <v>1228</v>
      </c>
      <c r="BM286" s="243" t="s">
        <v>1229</v>
      </c>
      <c r="BN286" s="243"/>
      <c r="BO286" s="243"/>
      <c r="BP286" s="243"/>
      <c r="BQ286" s="243"/>
      <c r="BR286" s="243"/>
      <c r="BS286" s="243"/>
      <c r="BT286" s="597" t="s">
        <v>355</v>
      </c>
      <c r="BU286" s="597"/>
      <c r="BV286" s="597"/>
      <c r="BW286" s="597"/>
      <c r="BX286" s="597"/>
      <c r="BY286" s="93">
        <v>21.25</v>
      </c>
      <c r="BZ286" s="93">
        <v>5.25</v>
      </c>
      <c r="CA286" s="93">
        <v>7.12</v>
      </c>
      <c r="CB286" s="91">
        <f t="shared" si="66"/>
        <v>0.4596788194444445</v>
      </c>
      <c r="CC286" s="93">
        <v>5.4</v>
      </c>
      <c r="CD286" s="301"/>
      <c r="CE286" s="301"/>
      <c r="CF286" s="104" t="s">
        <v>134</v>
      </c>
      <c r="CG286" s="27">
        <v>1</v>
      </c>
      <c r="CH286" s="27">
        <v>45</v>
      </c>
      <c r="CI286" s="27">
        <v>2</v>
      </c>
      <c r="CJ286" s="27">
        <f t="shared" si="67"/>
        <v>90</v>
      </c>
      <c r="CK286" s="27">
        <f t="shared" si="68"/>
        <v>536</v>
      </c>
      <c r="CL286" s="254" t="s">
        <v>256</v>
      </c>
      <c r="CM286" s="27" t="s">
        <v>136</v>
      </c>
      <c r="CN286" s="237"/>
      <c r="CO286" s="237"/>
      <c r="CP286" s="14"/>
      <c r="CQ286" s="14"/>
      <c r="CR286" s="14"/>
      <c r="CS286" s="14"/>
      <c r="CT286" s="14"/>
      <c r="CU286" s="14"/>
    </row>
    <row r="287" spans="1:99" s="105" customFormat="1" x14ac:dyDescent="0.25">
      <c r="A287" s="239">
        <v>41730</v>
      </c>
      <c r="B287" s="239"/>
      <c r="C287" s="211" t="s">
        <v>1230</v>
      </c>
      <c r="D287" s="211" t="s">
        <v>105</v>
      </c>
      <c r="E287" s="213" t="s">
        <v>1231</v>
      </c>
      <c r="F287" s="235" t="s">
        <v>1232</v>
      </c>
      <c r="G287" s="235"/>
      <c r="H287" s="235"/>
      <c r="I287" s="235"/>
      <c r="J287" s="211" t="s">
        <v>1233</v>
      </c>
      <c r="K287" s="211" t="s">
        <v>1234</v>
      </c>
      <c r="L287" s="162" t="s">
        <v>903</v>
      </c>
      <c r="M287" s="25" t="s">
        <v>1235</v>
      </c>
      <c r="N287" s="25"/>
      <c r="O287" s="26"/>
      <c r="P287" s="236"/>
      <c r="Q287" s="236"/>
      <c r="R287" s="236"/>
      <c r="S287" s="236"/>
      <c r="T287" s="236"/>
      <c r="U287" s="236"/>
      <c r="V287" s="236"/>
      <c r="W287" s="236"/>
      <c r="X287" s="236"/>
      <c r="Y287" s="236"/>
      <c r="Z287" s="236"/>
      <c r="AA287" s="236"/>
      <c r="AB287" s="236"/>
      <c r="AC287" s="236"/>
      <c r="AD287" s="236"/>
      <c r="AE287" s="236"/>
      <c r="AF287" s="236"/>
      <c r="AG287" s="236"/>
      <c r="AH287" s="236"/>
      <c r="AI287" s="236"/>
      <c r="AJ287" s="236"/>
      <c r="AK287" s="236"/>
      <c r="AL287" s="236"/>
      <c r="AM287" s="236"/>
      <c r="AN287" s="255"/>
      <c r="AO287" s="255"/>
      <c r="AP287" s="25">
        <v>84262</v>
      </c>
      <c r="AQ287" s="255"/>
      <c r="AR287" s="256"/>
      <c r="AS287" s="255"/>
      <c r="AT287" s="256"/>
      <c r="AU287" s="231" t="s">
        <v>1236</v>
      </c>
      <c r="AV287" s="211" t="s">
        <v>1237</v>
      </c>
      <c r="AW287" s="211" t="s">
        <v>1238</v>
      </c>
      <c r="AX287" s="211"/>
      <c r="AY287" s="211"/>
      <c r="AZ287" s="211"/>
      <c r="BA287" s="211" t="s">
        <v>1239</v>
      </c>
      <c r="BB287" s="211"/>
      <c r="BC287" s="211"/>
      <c r="BD287" s="222">
        <v>7262</v>
      </c>
      <c r="BE287" s="211" t="s">
        <v>1240</v>
      </c>
      <c r="BF287" s="211"/>
      <c r="BG287" s="211" t="s">
        <v>1241</v>
      </c>
      <c r="BH287" s="211"/>
      <c r="BI287" s="211" t="s">
        <v>1242</v>
      </c>
      <c r="BJ287" s="211">
        <v>57262</v>
      </c>
      <c r="BK287" s="118">
        <v>16.87</v>
      </c>
      <c r="BL287" s="232" t="s">
        <v>1243</v>
      </c>
      <c r="BM287" s="232" t="s">
        <v>1244</v>
      </c>
      <c r="BN287" s="232"/>
      <c r="BO287" s="232"/>
      <c r="BP287" s="232"/>
      <c r="BQ287" s="232"/>
      <c r="BR287" s="232"/>
      <c r="BS287" s="232"/>
      <c r="BT287" s="93">
        <v>3.8479999999999999</v>
      </c>
      <c r="BU287" s="93">
        <v>3.8479999999999999</v>
      </c>
      <c r="BV287" s="93">
        <v>4.4470000000000001</v>
      </c>
      <c r="BW287" s="91">
        <f t="shared" ref="BW287:BW288" si="69">(BV287*BU287*BT287)/1728</f>
        <v>3.8106013592592587E-2</v>
      </c>
      <c r="BX287" s="93">
        <v>0.4</v>
      </c>
      <c r="BY287" s="93">
        <v>11.936999999999999</v>
      </c>
      <c r="BZ287" s="93">
        <v>8</v>
      </c>
      <c r="CA287" s="93">
        <v>5</v>
      </c>
      <c r="CB287" s="91">
        <f t="shared" si="66"/>
        <v>0.2763194444444444</v>
      </c>
      <c r="CC287" s="93">
        <f>BX287*CG287+0.25</f>
        <v>2.6500000000000004</v>
      </c>
      <c r="CD287" s="301"/>
      <c r="CE287" s="301"/>
      <c r="CF287" s="43" t="s">
        <v>134</v>
      </c>
      <c r="CG287" s="27">
        <v>6</v>
      </c>
      <c r="CH287" s="27">
        <v>20</v>
      </c>
      <c r="CI287" s="27">
        <v>9</v>
      </c>
      <c r="CJ287" s="27">
        <f t="shared" si="67"/>
        <v>1080</v>
      </c>
      <c r="CK287" s="27">
        <f t="shared" si="68"/>
        <v>527</v>
      </c>
      <c r="CL287" s="258" t="s">
        <v>256</v>
      </c>
      <c r="CM287" s="27" t="s">
        <v>136</v>
      </c>
      <c r="CN287" s="237"/>
      <c r="CO287" s="237"/>
      <c r="CP287" s="14"/>
      <c r="CQ287" s="14"/>
      <c r="CR287" s="14"/>
      <c r="CS287" s="14"/>
      <c r="CT287" s="14"/>
      <c r="CU287" s="14"/>
    </row>
    <row r="288" spans="1:99" s="105" customFormat="1" x14ac:dyDescent="0.25">
      <c r="A288" s="239">
        <v>41730</v>
      </c>
      <c r="B288" s="239"/>
      <c r="C288" s="211" t="s">
        <v>1245</v>
      </c>
      <c r="D288" s="211" t="s">
        <v>105</v>
      </c>
      <c r="E288" s="213" t="s">
        <v>1231</v>
      </c>
      <c r="F288" s="235" t="s">
        <v>1246</v>
      </c>
      <c r="G288" s="235"/>
      <c r="H288" s="235"/>
      <c r="I288" s="235"/>
      <c r="J288" s="211" t="s">
        <v>124</v>
      </c>
      <c r="K288" s="211">
        <v>11427583220</v>
      </c>
      <c r="L288" s="162" t="s">
        <v>903</v>
      </c>
      <c r="M288" s="25" t="s">
        <v>1247</v>
      </c>
      <c r="N288" s="25"/>
      <c r="O288" s="26"/>
      <c r="P288" s="236"/>
      <c r="Q288" s="236"/>
      <c r="R288" s="236"/>
      <c r="S288" s="236"/>
      <c r="T288" s="236"/>
      <c r="U288" s="236"/>
      <c r="V288" s="236"/>
      <c r="W288" s="236"/>
      <c r="X288" s="236"/>
      <c r="Y288" s="236"/>
      <c r="Z288" s="236"/>
      <c r="AA288" s="236"/>
      <c r="AB288" s="236"/>
      <c r="AC288" s="236"/>
      <c r="AD288" s="236"/>
      <c r="AE288" s="236"/>
      <c r="AF288" s="236"/>
      <c r="AG288" s="236"/>
      <c r="AH288" s="236"/>
      <c r="AI288" s="236"/>
      <c r="AJ288" s="236"/>
      <c r="AK288" s="236"/>
      <c r="AL288" s="236"/>
      <c r="AM288" s="236"/>
      <c r="AN288" s="255"/>
      <c r="AO288" s="255"/>
      <c r="AP288" s="25">
        <v>84189</v>
      </c>
      <c r="AQ288" s="255"/>
      <c r="AR288" s="256"/>
      <c r="AS288" s="255"/>
      <c r="AT288" s="256"/>
      <c r="AU288" s="231" t="s">
        <v>1248</v>
      </c>
      <c r="AV288" s="211" t="s">
        <v>1249</v>
      </c>
      <c r="AW288" s="211"/>
      <c r="AX288" s="211"/>
      <c r="AY288" s="211"/>
      <c r="AZ288" s="211"/>
      <c r="BA288" s="211" t="s">
        <v>1250</v>
      </c>
      <c r="BB288" s="211"/>
      <c r="BC288" s="211"/>
      <c r="BD288" s="222">
        <v>7189</v>
      </c>
      <c r="BE288" s="211" t="s">
        <v>1251</v>
      </c>
      <c r="BF288" s="211" t="s">
        <v>1252</v>
      </c>
      <c r="BG288" s="211" t="s">
        <v>1253</v>
      </c>
      <c r="BH288" s="211"/>
      <c r="BI288" s="211" t="s">
        <v>1254</v>
      </c>
      <c r="BJ288" s="211">
        <v>57189</v>
      </c>
      <c r="BK288" s="118">
        <v>34.04</v>
      </c>
      <c r="BL288" s="232" t="s">
        <v>1255</v>
      </c>
      <c r="BM288" s="232" t="s">
        <v>1256</v>
      </c>
      <c r="BN288" s="232"/>
      <c r="BO288" s="232"/>
      <c r="BP288" s="232"/>
      <c r="BQ288" s="232"/>
      <c r="BR288" s="232"/>
      <c r="BS288" s="232"/>
      <c r="BT288" s="93">
        <v>3.1859999999999999</v>
      </c>
      <c r="BU288" s="93">
        <v>3.1920000000000002</v>
      </c>
      <c r="BV288" s="93">
        <v>4.9420000000000002</v>
      </c>
      <c r="BW288" s="91">
        <f t="shared" si="69"/>
        <v>2.9084905500000001E-2</v>
      </c>
      <c r="BX288" s="93">
        <v>0.31</v>
      </c>
      <c r="BY288" s="93">
        <v>10</v>
      </c>
      <c r="BZ288" s="93">
        <v>6.75</v>
      </c>
      <c r="CA288" s="93">
        <v>5.5</v>
      </c>
      <c r="CB288" s="91">
        <f t="shared" si="66"/>
        <v>0.21484375</v>
      </c>
      <c r="CC288" s="93">
        <f>BX288*CG288+0.25</f>
        <v>2.11</v>
      </c>
      <c r="CD288" s="301"/>
      <c r="CE288" s="301"/>
      <c r="CF288" s="43" t="s">
        <v>134</v>
      </c>
      <c r="CG288" s="27">
        <v>6</v>
      </c>
      <c r="CH288" s="27">
        <v>26</v>
      </c>
      <c r="CI288" s="27">
        <v>8</v>
      </c>
      <c r="CJ288" s="27">
        <f t="shared" si="67"/>
        <v>1248</v>
      </c>
      <c r="CK288" s="27">
        <f t="shared" si="68"/>
        <v>488.88</v>
      </c>
      <c r="CL288" s="258" t="s">
        <v>256</v>
      </c>
      <c r="CM288" s="27" t="s">
        <v>136</v>
      </c>
      <c r="CN288" s="237"/>
      <c r="CO288" s="237"/>
      <c r="CP288" s="14"/>
      <c r="CQ288" s="14"/>
      <c r="CR288" s="14"/>
      <c r="CS288" s="14"/>
      <c r="CT288" s="14"/>
      <c r="CU288" s="14"/>
    </row>
    <row r="289" spans="1:99" s="105" customFormat="1" x14ac:dyDescent="0.25">
      <c r="A289" s="239">
        <v>41730</v>
      </c>
      <c r="B289" s="239"/>
      <c r="C289" s="211" t="s">
        <v>1183</v>
      </c>
      <c r="D289" s="211" t="s">
        <v>105</v>
      </c>
      <c r="E289" s="213" t="s">
        <v>1257</v>
      </c>
      <c r="F289" s="211" t="s">
        <v>1258</v>
      </c>
      <c r="G289" s="211"/>
      <c r="H289" s="211"/>
      <c r="I289" s="211"/>
      <c r="J289" s="211" t="s">
        <v>107</v>
      </c>
      <c r="K289" s="211">
        <v>92234714</v>
      </c>
      <c r="L289" s="162" t="s">
        <v>1259</v>
      </c>
      <c r="M289" s="25" t="s">
        <v>1181</v>
      </c>
      <c r="N289" s="25"/>
      <c r="O289" s="26"/>
      <c r="P289" s="236"/>
      <c r="Q289" s="236"/>
      <c r="R289" s="236"/>
      <c r="S289" s="236"/>
      <c r="T289" s="236"/>
      <c r="U289" s="236"/>
      <c r="V289" s="236"/>
      <c r="W289" s="236"/>
      <c r="X289" s="236"/>
      <c r="Y289" s="236"/>
      <c r="Z289" s="236"/>
      <c r="AA289" s="236"/>
      <c r="AB289" s="236"/>
      <c r="AC289" s="236"/>
      <c r="AD289" s="236"/>
      <c r="AE289" s="236"/>
      <c r="AF289" s="236"/>
      <c r="AG289" s="236"/>
      <c r="AH289" s="236"/>
      <c r="AI289" s="236"/>
      <c r="AJ289" s="236"/>
      <c r="AK289" s="236"/>
      <c r="AL289" s="236"/>
      <c r="AM289" s="236"/>
      <c r="AN289" s="255"/>
      <c r="AO289" s="255"/>
      <c r="AP289" s="25">
        <v>89014</v>
      </c>
      <c r="AQ289" s="255"/>
      <c r="AR289" s="256"/>
      <c r="AS289" s="255"/>
      <c r="AT289" s="256"/>
      <c r="AU289" s="231" t="s">
        <v>1182</v>
      </c>
      <c r="AV289" s="211" t="s">
        <v>1260</v>
      </c>
      <c r="AW289" s="211"/>
      <c r="AX289" s="211"/>
      <c r="AY289" s="211"/>
      <c r="AZ289" s="211"/>
      <c r="BA289" s="211"/>
      <c r="BB289" s="211"/>
      <c r="BC289" s="211"/>
      <c r="BD289" s="222">
        <v>4014</v>
      </c>
      <c r="BE289" s="211" t="s">
        <v>1184</v>
      </c>
      <c r="BF289" s="211" t="s">
        <v>1183</v>
      </c>
      <c r="BG289" s="211" t="s">
        <v>1184</v>
      </c>
      <c r="BH289" s="211"/>
      <c r="BI289" s="211" t="s">
        <v>1185</v>
      </c>
      <c r="BJ289" s="211">
        <v>24014</v>
      </c>
      <c r="BK289" s="118">
        <v>29.69</v>
      </c>
      <c r="BL289" s="232" t="s">
        <v>1261</v>
      </c>
      <c r="BM289" s="232" t="s">
        <v>1262</v>
      </c>
      <c r="BN289" s="232"/>
      <c r="BO289" s="232"/>
      <c r="BP289" s="232"/>
      <c r="BQ289" s="232"/>
      <c r="BR289" s="232"/>
      <c r="BS289" s="232"/>
      <c r="BT289" s="599" t="s">
        <v>875</v>
      </c>
      <c r="BU289" s="599"/>
      <c r="BV289" s="599"/>
      <c r="BW289" s="599"/>
      <c r="BX289" s="599"/>
      <c r="BY289" s="93">
        <v>12</v>
      </c>
      <c r="BZ289" s="93">
        <v>10.37</v>
      </c>
      <c r="CA289" s="93">
        <v>10.62</v>
      </c>
      <c r="CB289" s="91">
        <f t="shared" si="66"/>
        <v>0.76478749999999995</v>
      </c>
      <c r="CC289" s="93">
        <f>0.83*CG289+0.25</f>
        <v>5.2299999999999995</v>
      </c>
      <c r="CD289" s="301"/>
      <c r="CE289" s="301"/>
      <c r="CF289" s="43" t="s">
        <v>134</v>
      </c>
      <c r="CG289" s="27">
        <v>6</v>
      </c>
      <c r="CH289" s="27">
        <v>12</v>
      </c>
      <c r="CI289" s="27">
        <v>4</v>
      </c>
      <c r="CJ289" s="27">
        <f t="shared" si="67"/>
        <v>288</v>
      </c>
      <c r="CK289" s="27">
        <f t="shared" si="68"/>
        <v>301.03999999999996</v>
      </c>
      <c r="CL289" s="258" t="s">
        <v>256</v>
      </c>
      <c r="CM289" s="27" t="s">
        <v>136</v>
      </c>
      <c r="CN289" s="237"/>
      <c r="CO289" s="237"/>
      <c r="CP289" s="14"/>
      <c r="CQ289" s="14"/>
      <c r="CR289" s="14"/>
      <c r="CS289" s="14"/>
      <c r="CT289" s="14"/>
      <c r="CU289" s="14"/>
    </row>
    <row r="290" spans="1:99" s="105" customFormat="1" x14ac:dyDescent="0.25">
      <c r="A290" s="239">
        <v>41730</v>
      </c>
      <c r="B290" s="239"/>
      <c r="C290" s="211" t="s">
        <v>1263</v>
      </c>
      <c r="D290" s="211" t="s">
        <v>105</v>
      </c>
      <c r="E290" s="213" t="s">
        <v>1257</v>
      </c>
      <c r="F290" s="211" t="s">
        <v>1264</v>
      </c>
      <c r="G290" s="211"/>
      <c r="H290" s="211"/>
      <c r="I290" s="211"/>
      <c r="J290" s="222" t="s">
        <v>627</v>
      </c>
      <c r="K290" s="211" t="s">
        <v>1265</v>
      </c>
      <c r="L290" s="162"/>
      <c r="M290" s="25"/>
      <c r="N290" s="162"/>
      <c r="O290" s="25"/>
      <c r="P290" s="25"/>
      <c r="Q290" s="211"/>
      <c r="R290" s="211"/>
      <c r="S290" s="211"/>
      <c r="T290" s="236"/>
      <c r="U290" s="236"/>
      <c r="V290" s="236"/>
      <c r="W290" s="236"/>
      <c r="X290" s="236"/>
      <c r="Y290" s="236"/>
      <c r="Z290" s="236"/>
      <c r="AA290" s="236"/>
      <c r="AB290" s="236"/>
      <c r="AC290" s="236"/>
      <c r="AD290" s="236"/>
      <c r="AE290" s="236"/>
      <c r="AF290" s="236"/>
      <c r="AG290" s="236"/>
      <c r="AH290" s="236"/>
      <c r="AI290" s="236"/>
      <c r="AJ290" s="236"/>
      <c r="AK290" s="236"/>
      <c r="AL290" s="236"/>
      <c r="AM290" s="236"/>
      <c r="AN290" s="255"/>
      <c r="AO290" s="255"/>
      <c r="AP290" s="25"/>
      <c r="AQ290" s="255"/>
      <c r="AR290" s="256"/>
      <c r="AS290" s="255"/>
      <c r="AT290" s="256"/>
      <c r="AU290" s="231" t="s">
        <v>1266</v>
      </c>
      <c r="AV290" s="211"/>
      <c r="AW290" s="211"/>
      <c r="AX290" s="211"/>
      <c r="AY290" s="211"/>
      <c r="AZ290" s="211"/>
      <c r="BA290" s="211"/>
      <c r="BB290" s="211"/>
      <c r="BC290" s="211"/>
      <c r="BD290" s="222"/>
      <c r="BE290" s="211" t="s">
        <v>1267</v>
      </c>
      <c r="BF290" s="211" t="s">
        <v>1263</v>
      </c>
      <c r="BG290" s="211" t="s">
        <v>1267</v>
      </c>
      <c r="BH290" s="211"/>
      <c r="BI290" s="211" t="s">
        <v>1268</v>
      </c>
      <c r="BJ290" s="211">
        <v>24600</v>
      </c>
      <c r="BK290" s="118">
        <v>19.21</v>
      </c>
      <c r="BL290" s="232" t="s">
        <v>1269</v>
      </c>
      <c r="BM290" s="232" t="s">
        <v>1270</v>
      </c>
      <c r="BN290" s="232"/>
      <c r="BO290" s="232"/>
      <c r="BP290" s="232"/>
      <c r="BQ290" s="232"/>
      <c r="BR290" s="232"/>
      <c r="BS290" s="232"/>
      <c r="BT290" s="599" t="s">
        <v>875</v>
      </c>
      <c r="BU290" s="599"/>
      <c r="BV290" s="599"/>
      <c r="BW290" s="599"/>
      <c r="BX290" s="599"/>
      <c r="BY290" s="93">
        <v>11</v>
      </c>
      <c r="BZ290" s="93">
        <v>8</v>
      </c>
      <c r="CA290" s="93">
        <v>8.6199999999999992</v>
      </c>
      <c r="CB290" s="91">
        <f t="shared" si="66"/>
        <v>0.43898148148148147</v>
      </c>
      <c r="CC290" s="93">
        <f>0.06*CG290+0.4</f>
        <v>0.76</v>
      </c>
      <c r="CD290" s="301"/>
      <c r="CE290" s="301"/>
      <c r="CF290" s="43" t="s">
        <v>134</v>
      </c>
      <c r="CG290" s="27">
        <v>6</v>
      </c>
      <c r="CH290" s="27">
        <v>20</v>
      </c>
      <c r="CI290" s="27">
        <v>4</v>
      </c>
      <c r="CJ290" s="27">
        <f t="shared" si="67"/>
        <v>480</v>
      </c>
      <c r="CK290" s="27">
        <f t="shared" si="68"/>
        <v>110.8</v>
      </c>
      <c r="CL290" s="258" t="s">
        <v>256</v>
      </c>
      <c r="CM290" s="27" t="s">
        <v>136</v>
      </c>
      <c r="CN290" s="237"/>
      <c r="CO290" s="237"/>
      <c r="CP290" s="14"/>
      <c r="CQ290" s="14"/>
      <c r="CR290" s="14"/>
      <c r="CS290" s="14"/>
      <c r="CT290" s="14"/>
      <c r="CU290" s="14"/>
    </row>
    <row r="291" spans="1:99" s="105" customFormat="1" x14ac:dyDescent="0.25">
      <c r="A291" s="239">
        <v>41730</v>
      </c>
      <c r="B291" s="239"/>
      <c r="C291" s="211" t="s">
        <v>1271</v>
      </c>
      <c r="D291" s="211" t="s">
        <v>105</v>
      </c>
      <c r="E291" s="213" t="s">
        <v>1257</v>
      </c>
      <c r="F291" s="211" t="s">
        <v>1272</v>
      </c>
      <c r="G291" s="211"/>
      <c r="H291" s="211"/>
      <c r="I291" s="211"/>
      <c r="J291" s="222" t="s">
        <v>293</v>
      </c>
      <c r="K291" s="211" t="s">
        <v>1273</v>
      </c>
      <c r="L291" s="162"/>
      <c r="M291" s="25"/>
      <c r="N291" s="162"/>
      <c r="O291" s="25"/>
      <c r="P291" s="25"/>
      <c r="Q291" s="211"/>
      <c r="R291" s="211"/>
      <c r="S291" s="211"/>
      <c r="T291" s="236"/>
      <c r="U291" s="236"/>
      <c r="V291" s="236"/>
      <c r="W291" s="236"/>
      <c r="X291" s="236"/>
      <c r="Y291" s="236"/>
      <c r="Z291" s="236"/>
      <c r="AA291" s="236"/>
      <c r="AB291" s="236"/>
      <c r="AC291" s="236"/>
      <c r="AD291" s="236"/>
      <c r="AE291" s="236"/>
      <c r="AF291" s="236"/>
      <c r="AG291" s="236"/>
      <c r="AH291" s="236"/>
      <c r="AI291" s="236"/>
      <c r="AJ291" s="236"/>
      <c r="AK291" s="236"/>
      <c r="AL291" s="236"/>
      <c r="AM291" s="236"/>
      <c r="AN291" s="255"/>
      <c r="AO291" s="255"/>
      <c r="AP291" s="25"/>
      <c r="AQ291" s="255"/>
      <c r="AR291" s="256"/>
      <c r="AS291" s="255"/>
      <c r="AT291" s="256"/>
      <c r="AU291" s="231" t="s">
        <v>1274</v>
      </c>
      <c r="AV291" s="211"/>
      <c r="AW291" s="211"/>
      <c r="AX291" s="211"/>
      <c r="AY291" s="211"/>
      <c r="AZ291" s="211"/>
      <c r="BA291" s="211"/>
      <c r="BB291" s="211"/>
      <c r="BC291" s="211"/>
      <c r="BD291" s="222"/>
      <c r="BE291" s="211" t="s">
        <v>1275</v>
      </c>
      <c r="BF291" s="211" t="s">
        <v>1271</v>
      </c>
      <c r="BG291" s="211" t="s">
        <v>1275</v>
      </c>
      <c r="BH291" s="211"/>
      <c r="BI291" s="211" t="s">
        <v>1276</v>
      </c>
      <c r="BJ291" s="211">
        <v>24579</v>
      </c>
      <c r="BK291" s="118">
        <v>13.15</v>
      </c>
      <c r="BL291" s="232" t="s">
        <v>1277</v>
      </c>
      <c r="BM291" s="232" t="s">
        <v>1278</v>
      </c>
      <c r="BN291" s="232"/>
      <c r="BO291" s="232"/>
      <c r="BP291" s="232"/>
      <c r="BQ291" s="232"/>
      <c r="BR291" s="232"/>
      <c r="BS291" s="232"/>
      <c r="BT291" s="599" t="s">
        <v>875</v>
      </c>
      <c r="BU291" s="599"/>
      <c r="BV291" s="599"/>
      <c r="BW291" s="599"/>
      <c r="BX291" s="599"/>
      <c r="BY291" s="93">
        <v>11</v>
      </c>
      <c r="BZ291" s="93">
        <v>8</v>
      </c>
      <c r="CA291" s="93">
        <v>9.25</v>
      </c>
      <c r="CB291" s="91">
        <f t="shared" si="66"/>
        <v>0.47106481481481483</v>
      </c>
      <c r="CC291" s="93">
        <f>0.08*CG291+0.4</f>
        <v>0.88</v>
      </c>
      <c r="CD291" s="301"/>
      <c r="CE291" s="301"/>
      <c r="CF291" s="43" t="s">
        <v>134</v>
      </c>
      <c r="CG291" s="27">
        <v>6</v>
      </c>
      <c r="CH291" s="27">
        <v>18</v>
      </c>
      <c r="CI291" s="27">
        <v>4</v>
      </c>
      <c r="CJ291" s="27">
        <f t="shared" si="67"/>
        <v>432</v>
      </c>
      <c r="CK291" s="27">
        <f t="shared" si="68"/>
        <v>113.36</v>
      </c>
      <c r="CL291" s="258" t="s">
        <v>256</v>
      </c>
      <c r="CM291" s="27" t="s">
        <v>136</v>
      </c>
      <c r="CN291" s="237"/>
      <c r="CO291" s="237"/>
      <c r="CP291" s="14"/>
      <c r="CQ291" s="14"/>
      <c r="CR291" s="14"/>
      <c r="CS291" s="14"/>
      <c r="CT291" s="14"/>
      <c r="CU291" s="14"/>
    </row>
    <row r="292" spans="1:99" s="105" customFormat="1" x14ac:dyDescent="0.25">
      <c r="A292" s="239">
        <v>41730</v>
      </c>
      <c r="B292" s="239"/>
      <c r="C292" s="211" t="s">
        <v>1279</v>
      </c>
      <c r="D292" s="211" t="s">
        <v>105</v>
      </c>
      <c r="E292" s="213" t="s">
        <v>1257</v>
      </c>
      <c r="F292" s="119" t="s">
        <v>1280</v>
      </c>
      <c r="G292" s="119"/>
      <c r="H292" s="119"/>
      <c r="I292" s="119"/>
      <c r="J292" s="222" t="s">
        <v>269</v>
      </c>
      <c r="K292" s="211" t="s">
        <v>1281</v>
      </c>
      <c r="L292" s="162"/>
      <c r="M292" s="25"/>
      <c r="N292" s="162"/>
      <c r="O292" s="25"/>
      <c r="P292" s="25"/>
      <c r="Q292" s="211"/>
      <c r="R292" s="211"/>
      <c r="S292" s="211"/>
      <c r="T292" s="236"/>
      <c r="U292" s="236"/>
      <c r="V292" s="236"/>
      <c r="W292" s="236"/>
      <c r="X292" s="236"/>
      <c r="Y292" s="236"/>
      <c r="Z292" s="236"/>
      <c r="AA292" s="236"/>
      <c r="AB292" s="236"/>
      <c r="AC292" s="236"/>
      <c r="AD292" s="236"/>
      <c r="AE292" s="236"/>
      <c r="AF292" s="236"/>
      <c r="AG292" s="236"/>
      <c r="AH292" s="236"/>
      <c r="AI292" s="236"/>
      <c r="AJ292" s="236"/>
      <c r="AK292" s="236"/>
      <c r="AL292" s="236"/>
      <c r="AM292" s="236"/>
      <c r="AN292" s="255"/>
      <c r="AO292" s="255"/>
      <c r="AP292" s="25"/>
      <c r="AQ292" s="255"/>
      <c r="AR292" s="256"/>
      <c r="AS292" s="255"/>
      <c r="AT292" s="256"/>
      <c r="AU292" s="231" t="s">
        <v>1282</v>
      </c>
      <c r="AV292" s="211"/>
      <c r="AW292" s="211"/>
      <c r="AX292" s="211"/>
      <c r="AY292" s="211"/>
      <c r="AZ292" s="211"/>
      <c r="BA292" s="211"/>
      <c r="BB292" s="211"/>
      <c r="BC292" s="211"/>
      <c r="BD292" s="222"/>
      <c r="BE292" s="211" t="s">
        <v>1283</v>
      </c>
      <c r="BF292" s="211" t="s">
        <v>1279</v>
      </c>
      <c r="BG292" s="211" t="s">
        <v>1283</v>
      </c>
      <c r="BH292" s="211"/>
      <c r="BI292" s="211" t="s">
        <v>1284</v>
      </c>
      <c r="BJ292" s="211">
        <v>24761</v>
      </c>
      <c r="BK292" s="118">
        <v>28.2</v>
      </c>
      <c r="BL292" s="232" t="s">
        <v>1285</v>
      </c>
      <c r="BM292" s="232" t="s">
        <v>1286</v>
      </c>
      <c r="BN292" s="232"/>
      <c r="BO292" s="232"/>
      <c r="BP292" s="232"/>
      <c r="BQ292" s="232"/>
      <c r="BR292" s="232"/>
      <c r="BS292" s="232"/>
      <c r="BT292" s="599" t="s">
        <v>875</v>
      </c>
      <c r="BU292" s="599"/>
      <c r="BV292" s="599"/>
      <c r="BW292" s="599"/>
      <c r="BX292" s="599"/>
      <c r="BY292" s="93">
        <v>10.5</v>
      </c>
      <c r="BZ292" s="93">
        <v>8.75</v>
      </c>
      <c r="CA292" s="93">
        <v>9.75</v>
      </c>
      <c r="CB292" s="91">
        <f>(CA292*BZ292*BY292)/1728</f>
        <v>0.51839192708333337</v>
      </c>
      <c r="CC292" s="93">
        <f>0.07*CG292+0.4</f>
        <v>0.82000000000000006</v>
      </c>
      <c r="CD292" s="301"/>
      <c r="CE292" s="301"/>
      <c r="CF292" s="43" t="s">
        <v>134</v>
      </c>
      <c r="CG292" s="27">
        <v>6</v>
      </c>
      <c r="CH292" s="27">
        <v>18</v>
      </c>
      <c r="CI292" s="27">
        <v>4</v>
      </c>
      <c r="CJ292" s="27">
        <f>CG292*CH292*CI292</f>
        <v>432</v>
      </c>
      <c r="CK292" s="27">
        <f>(CC292*CH292*CI292)+50</f>
        <v>109.04</v>
      </c>
      <c r="CL292" s="258" t="s">
        <v>256</v>
      </c>
      <c r="CM292" s="27" t="s">
        <v>136</v>
      </c>
      <c r="CN292" s="237"/>
      <c r="CO292" s="237"/>
      <c r="CP292" s="14"/>
      <c r="CQ292" s="14"/>
      <c r="CR292" s="14"/>
      <c r="CS292" s="14"/>
      <c r="CT292" s="14"/>
      <c r="CU292" s="14"/>
    </row>
    <row r="293" spans="1:99" s="105" customFormat="1" x14ac:dyDescent="0.25">
      <c r="A293" s="239">
        <v>41713</v>
      </c>
      <c r="B293" s="239"/>
      <c r="C293" s="212" t="s">
        <v>1287</v>
      </c>
      <c r="D293" s="211" t="s">
        <v>105</v>
      </c>
      <c r="E293" s="257" t="s">
        <v>1257</v>
      </c>
      <c r="F293" s="235" t="s">
        <v>1288</v>
      </c>
      <c r="G293" s="235"/>
      <c r="H293" s="235"/>
      <c r="I293" s="235"/>
      <c r="J293" s="222" t="s">
        <v>107</v>
      </c>
      <c r="K293" s="235">
        <v>20958479</v>
      </c>
      <c r="L293" s="162" t="s">
        <v>108</v>
      </c>
      <c r="M293" s="25" t="s">
        <v>1289</v>
      </c>
      <c r="N293" s="25"/>
      <c r="O293" s="26"/>
      <c r="P293" s="236"/>
      <c r="Q293" s="236"/>
      <c r="R293" s="236"/>
      <c r="S293" s="236"/>
      <c r="T293" s="236"/>
      <c r="U293" s="236"/>
      <c r="V293" s="236"/>
      <c r="W293" s="236"/>
      <c r="X293" s="236"/>
      <c r="Y293" s="236"/>
      <c r="Z293" s="236"/>
      <c r="AA293" s="236"/>
      <c r="AB293" s="236"/>
      <c r="AC293" s="236"/>
      <c r="AD293" s="236"/>
      <c r="AE293" s="236"/>
      <c r="AF293" s="236"/>
      <c r="AG293" s="236"/>
      <c r="AH293" s="236"/>
      <c r="AI293" s="236"/>
      <c r="AJ293" s="236"/>
      <c r="AK293" s="236"/>
      <c r="AL293" s="236"/>
      <c r="AM293" s="236"/>
      <c r="AN293" s="255"/>
      <c r="AO293" s="255"/>
      <c r="AP293" s="25"/>
      <c r="AQ293" s="255"/>
      <c r="AR293" s="256"/>
      <c r="AS293" s="255"/>
      <c r="AT293" s="256"/>
      <c r="AU293" s="25" t="s">
        <v>1290</v>
      </c>
      <c r="AV293" s="211"/>
      <c r="AW293" s="211"/>
      <c r="AX293" s="211"/>
      <c r="AY293" s="211"/>
      <c r="AZ293" s="211"/>
      <c r="BA293" s="211"/>
      <c r="BB293" s="211"/>
      <c r="BC293" s="211"/>
      <c r="BD293" s="222"/>
      <c r="BE293" s="211" t="s">
        <v>1291</v>
      </c>
      <c r="BF293" s="211"/>
      <c r="BG293" s="211" t="s">
        <v>1292</v>
      </c>
      <c r="BH293" s="211"/>
      <c r="BI293" s="211" t="s">
        <v>1293</v>
      </c>
      <c r="BJ293" s="211" t="s">
        <v>1294</v>
      </c>
      <c r="BK293" s="118">
        <v>24.28</v>
      </c>
      <c r="BL293" s="243" t="s">
        <v>1295</v>
      </c>
      <c r="BM293" s="243" t="s">
        <v>1296</v>
      </c>
      <c r="BN293" s="243"/>
      <c r="BO293" s="243"/>
      <c r="BP293" s="243"/>
      <c r="BQ293" s="243"/>
      <c r="BR293" s="243"/>
      <c r="BS293" s="243"/>
      <c r="BT293" s="599" t="s">
        <v>875</v>
      </c>
      <c r="BU293" s="599"/>
      <c r="BV293" s="599"/>
      <c r="BW293" s="599"/>
      <c r="BX293" s="599"/>
      <c r="BY293" s="220">
        <v>9.68</v>
      </c>
      <c r="BZ293" s="220">
        <v>7.93</v>
      </c>
      <c r="CA293" s="220">
        <v>5.75</v>
      </c>
      <c r="CB293" s="91">
        <f t="shared" ref="CB293:CB343" si="70">(CA293*BZ293*BY293)/1728</f>
        <v>0.25543043981481478</v>
      </c>
      <c r="CC293" s="220">
        <v>4.1500000000000004</v>
      </c>
      <c r="CD293" s="302"/>
      <c r="CE293" s="302"/>
      <c r="CF293" s="211" t="s">
        <v>134</v>
      </c>
      <c r="CG293" s="212">
        <v>6</v>
      </c>
      <c r="CH293" s="212">
        <v>24</v>
      </c>
      <c r="CI293" s="212">
        <v>7</v>
      </c>
      <c r="CJ293" s="27">
        <f t="shared" ref="CJ293:CJ343" si="71">CG293*CH293*CI293</f>
        <v>1008</v>
      </c>
      <c r="CK293" s="27">
        <f t="shared" ref="CK293:CK343" si="72">(CC293*CH293*CI293)+50</f>
        <v>747.2</v>
      </c>
      <c r="CL293" s="27" t="s">
        <v>139</v>
      </c>
      <c r="CM293" s="27" t="s">
        <v>136</v>
      </c>
      <c r="CN293" s="237"/>
      <c r="CO293" s="237"/>
      <c r="CP293" s="14"/>
      <c r="CQ293" s="14"/>
      <c r="CR293" s="14"/>
      <c r="CS293" s="14"/>
      <c r="CT293" s="14"/>
      <c r="CU293" s="14"/>
    </row>
    <row r="294" spans="1:99" s="105" customFormat="1" x14ac:dyDescent="0.25">
      <c r="A294" s="239">
        <v>41713</v>
      </c>
      <c r="B294" s="239"/>
      <c r="C294" s="211" t="s">
        <v>499</v>
      </c>
      <c r="D294" s="212" t="s">
        <v>105</v>
      </c>
      <c r="E294" s="257" t="s">
        <v>1231</v>
      </c>
      <c r="F294" s="235" t="s">
        <v>1297</v>
      </c>
      <c r="G294" s="235"/>
      <c r="H294" s="235"/>
      <c r="I294" s="235"/>
      <c r="J294" s="211" t="s">
        <v>107</v>
      </c>
      <c r="K294" s="211">
        <v>96985730</v>
      </c>
      <c r="L294" s="162"/>
      <c r="M294" s="25"/>
      <c r="N294" s="25"/>
      <c r="O294" s="26"/>
      <c r="P294" s="236"/>
      <c r="Q294" s="236"/>
      <c r="R294" s="236"/>
      <c r="S294" s="236"/>
      <c r="T294" s="236"/>
      <c r="U294" s="236"/>
      <c r="V294" s="236"/>
      <c r="W294" s="236"/>
      <c r="X294" s="236"/>
      <c r="Y294" s="236"/>
      <c r="Z294" s="236"/>
      <c r="AA294" s="236"/>
      <c r="AB294" s="236"/>
      <c r="AC294" s="236"/>
      <c r="AD294" s="236"/>
      <c r="AE294" s="236"/>
      <c r="AF294" s="236"/>
      <c r="AG294" s="236"/>
      <c r="AH294" s="236"/>
      <c r="AI294" s="236"/>
      <c r="AJ294" s="236"/>
      <c r="AK294" s="236"/>
      <c r="AL294" s="236"/>
      <c r="AM294" s="236"/>
      <c r="AN294" s="255"/>
      <c r="AO294" s="255"/>
      <c r="AP294" s="25"/>
      <c r="AQ294" s="255"/>
      <c r="AR294" s="256"/>
      <c r="AS294" s="255"/>
      <c r="AT294" s="256"/>
      <c r="AU294" s="231" t="s">
        <v>500</v>
      </c>
      <c r="AV294" s="211"/>
      <c r="AW294" s="211"/>
      <c r="AX294" s="211"/>
      <c r="AY294" s="211"/>
      <c r="AZ294" s="211"/>
      <c r="BA294" s="211"/>
      <c r="BB294" s="211"/>
      <c r="BC294" s="211"/>
      <c r="BD294" s="222"/>
      <c r="BE294" s="211" t="s">
        <v>1298</v>
      </c>
      <c r="BF294" s="211"/>
      <c r="BG294" s="211" t="s">
        <v>501</v>
      </c>
      <c r="BH294" s="211"/>
      <c r="BI294" s="211" t="s">
        <v>502</v>
      </c>
      <c r="BJ294" s="211"/>
      <c r="BK294" s="118">
        <v>10.89</v>
      </c>
      <c r="BL294" s="243" t="s">
        <v>1299</v>
      </c>
      <c r="BM294" s="243" t="s">
        <v>1300</v>
      </c>
      <c r="BN294" s="243"/>
      <c r="BO294" s="243"/>
      <c r="BP294" s="243"/>
      <c r="BQ294" s="243"/>
      <c r="BR294" s="243"/>
      <c r="BS294" s="243"/>
      <c r="BT294" s="220">
        <v>2.786</v>
      </c>
      <c r="BU294" s="220">
        <v>2.786</v>
      </c>
      <c r="BV294" s="220">
        <v>2.7589999999999999</v>
      </c>
      <c r="BW294" s="91">
        <f>(BV294*BU294*BT294)/1728</f>
        <v>1.2392821275462963E-2</v>
      </c>
      <c r="BX294" s="93">
        <v>0.5</v>
      </c>
      <c r="BY294" s="93">
        <v>6.3620000000000001</v>
      </c>
      <c r="BZ294" s="93">
        <v>3.056</v>
      </c>
      <c r="CA294" s="93">
        <v>8.8059999999999992</v>
      </c>
      <c r="CB294" s="91">
        <f t="shared" si="70"/>
        <v>9.9079078259259268E-2</v>
      </c>
      <c r="CC294" s="220">
        <f>BX294*CG294+0.25</f>
        <v>3.25</v>
      </c>
      <c r="CD294" s="302"/>
      <c r="CE294" s="302"/>
      <c r="CF294" s="211" t="s">
        <v>134</v>
      </c>
      <c r="CG294" s="211">
        <v>6</v>
      </c>
      <c r="CH294" s="212">
        <v>32</v>
      </c>
      <c r="CI294" s="212">
        <v>12</v>
      </c>
      <c r="CJ294" s="27">
        <f t="shared" si="71"/>
        <v>2304</v>
      </c>
      <c r="CK294" s="27">
        <f t="shared" si="72"/>
        <v>1298</v>
      </c>
      <c r="CL294" s="27" t="s">
        <v>256</v>
      </c>
      <c r="CM294" s="27" t="s">
        <v>136</v>
      </c>
      <c r="CN294" s="237"/>
      <c r="CO294" s="237"/>
      <c r="CP294" s="14"/>
      <c r="CQ294" s="14"/>
      <c r="CR294" s="14"/>
      <c r="CS294" s="14"/>
      <c r="CT294" s="14"/>
      <c r="CU294" s="14"/>
    </row>
    <row r="295" spans="1:99" s="105" customFormat="1" x14ac:dyDescent="0.25">
      <c r="A295" s="239">
        <v>41713</v>
      </c>
      <c r="B295" s="239"/>
      <c r="C295" s="211" t="s">
        <v>1301</v>
      </c>
      <c r="D295" s="211" t="s">
        <v>105</v>
      </c>
      <c r="E295" s="252" t="s">
        <v>1302</v>
      </c>
      <c r="F295" s="235" t="s">
        <v>1303</v>
      </c>
      <c r="G295" s="235"/>
      <c r="H295" s="235"/>
      <c r="I295" s="235"/>
      <c r="J295" s="211" t="s">
        <v>673</v>
      </c>
      <c r="K295" s="211" t="s">
        <v>1304</v>
      </c>
      <c r="L295" s="211" t="s">
        <v>673</v>
      </c>
      <c r="M295" s="211" t="s">
        <v>1305</v>
      </c>
      <c r="N295" s="25"/>
      <c r="O295" s="26"/>
      <c r="P295" s="236"/>
      <c r="Q295" s="236"/>
      <c r="R295" s="236"/>
      <c r="S295" s="236"/>
      <c r="T295" s="236"/>
      <c r="U295" s="236"/>
      <c r="V295" s="236"/>
      <c r="W295" s="236"/>
      <c r="X295" s="236"/>
      <c r="Y295" s="236"/>
      <c r="Z295" s="236"/>
      <c r="AA295" s="236"/>
      <c r="AB295" s="236"/>
      <c r="AC295" s="236"/>
      <c r="AD295" s="236"/>
      <c r="AE295" s="236"/>
      <c r="AF295" s="236"/>
      <c r="AG295" s="236"/>
      <c r="AH295" s="236"/>
      <c r="AI295" s="236"/>
      <c r="AJ295" s="236"/>
      <c r="AK295" s="236"/>
      <c r="AL295" s="236"/>
      <c r="AM295" s="236"/>
      <c r="AN295" s="255"/>
      <c r="AO295" s="255"/>
      <c r="AP295" s="25">
        <v>89756</v>
      </c>
      <c r="AQ295" s="255"/>
      <c r="AR295" s="256"/>
      <c r="AS295" s="255"/>
      <c r="AT295" s="256"/>
      <c r="AU295" s="231" t="s">
        <v>1306</v>
      </c>
      <c r="AV295" s="211" t="s">
        <v>1307</v>
      </c>
      <c r="AW295" s="211" t="s">
        <v>1308</v>
      </c>
      <c r="AX295" s="211"/>
      <c r="AY295" s="211"/>
      <c r="AZ295" s="211"/>
      <c r="BA295" s="211" t="s">
        <v>1309</v>
      </c>
      <c r="BB295" s="211"/>
      <c r="BC295" s="211"/>
      <c r="BD295" s="222">
        <v>4756</v>
      </c>
      <c r="BE295" s="211" t="s">
        <v>1310</v>
      </c>
      <c r="BF295" s="211"/>
      <c r="BG295" s="211" t="s">
        <v>1311</v>
      </c>
      <c r="BH295" s="211"/>
      <c r="BI295" s="211" t="s">
        <v>1312</v>
      </c>
      <c r="BJ295" s="211">
        <v>24756</v>
      </c>
      <c r="BK295" s="118">
        <v>36.049999999999997</v>
      </c>
      <c r="BL295" s="243" t="s">
        <v>1313</v>
      </c>
      <c r="BM295" s="243" t="s">
        <v>1314</v>
      </c>
      <c r="BN295" s="243"/>
      <c r="BO295" s="243"/>
      <c r="BP295" s="243"/>
      <c r="BQ295" s="243"/>
      <c r="BR295" s="243"/>
      <c r="BS295" s="243"/>
      <c r="BT295" s="599" t="s">
        <v>875</v>
      </c>
      <c r="BU295" s="599"/>
      <c r="BV295" s="599"/>
      <c r="BW295" s="599"/>
      <c r="BX295" s="599"/>
      <c r="BY295" s="93">
        <v>18.25</v>
      </c>
      <c r="BZ295" s="93">
        <v>10.25</v>
      </c>
      <c r="CA295" s="93">
        <v>9.75</v>
      </c>
      <c r="CB295" s="91">
        <f t="shared" si="70"/>
        <v>1.0554741753472223</v>
      </c>
      <c r="CC295" s="93">
        <f>0.56*CG295+0.25</f>
        <v>3.6100000000000003</v>
      </c>
      <c r="CD295" s="301"/>
      <c r="CE295" s="301"/>
      <c r="CF295" s="211" t="s">
        <v>134</v>
      </c>
      <c r="CG295" s="211">
        <v>6</v>
      </c>
      <c r="CH295" s="211">
        <v>9</v>
      </c>
      <c r="CI295" s="211">
        <v>4</v>
      </c>
      <c r="CJ295" s="27">
        <f t="shared" si="71"/>
        <v>216</v>
      </c>
      <c r="CK295" s="27">
        <f t="shared" si="72"/>
        <v>179.96</v>
      </c>
      <c r="CL295" s="27" t="s">
        <v>139</v>
      </c>
      <c r="CM295" s="27" t="s">
        <v>136</v>
      </c>
      <c r="CN295" s="237"/>
      <c r="CO295" s="237"/>
      <c r="CP295" s="14"/>
      <c r="CQ295" s="14"/>
      <c r="CR295" s="14"/>
      <c r="CS295" s="14"/>
      <c r="CT295" s="14"/>
      <c r="CU295" s="14"/>
    </row>
    <row r="296" spans="1:99" s="105" customFormat="1" ht="30" x14ac:dyDescent="0.25">
      <c r="A296" s="239">
        <v>41713</v>
      </c>
      <c r="B296" s="239"/>
      <c r="C296" s="211" t="s">
        <v>1315</v>
      </c>
      <c r="D296" s="211" t="s">
        <v>54</v>
      </c>
      <c r="E296" s="252" t="s">
        <v>1316</v>
      </c>
      <c r="F296" s="235" t="s">
        <v>1317</v>
      </c>
      <c r="G296" s="235"/>
      <c r="H296" s="235"/>
      <c r="I296" s="235"/>
      <c r="J296" s="211" t="s">
        <v>519</v>
      </c>
      <c r="K296" s="211" t="s">
        <v>1318</v>
      </c>
      <c r="L296" s="211" t="s">
        <v>519</v>
      </c>
      <c r="M296" s="211" t="s">
        <v>1319</v>
      </c>
      <c r="N296" s="211" t="s">
        <v>519</v>
      </c>
      <c r="O296" s="211" t="s">
        <v>1320</v>
      </c>
      <c r="P296" s="211" t="s">
        <v>519</v>
      </c>
      <c r="Q296" s="211" t="s">
        <v>1321</v>
      </c>
      <c r="R296" s="211" t="s">
        <v>848</v>
      </c>
      <c r="S296" s="211" t="s">
        <v>1322</v>
      </c>
      <c r="T296" s="236"/>
      <c r="U296" s="236"/>
      <c r="V296" s="236"/>
      <c r="W296" s="236"/>
      <c r="X296" s="236"/>
      <c r="Y296" s="236"/>
      <c r="Z296" s="236"/>
      <c r="AA296" s="236"/>
      <c r="AB296" s="236"/>
      <c r="AC296" s="236"/>
      <c r="AD296" s="236"/>
      <c r="AE296" s="236"/>
      <c r="AF296" s="236"/>
      <c r="AG296" s="236"/>
      <c r="AH296" s="236"/>
      <c r="AI296" s="236"/>
      <c r="AJ296" s="236"/>
      <c r="AK296" s="236"/>
      <c r="AL296" s="236"/>
      <c r="AM296" s="236"/>
      <c r="AN296" s="255" t="s">
        <v>1323</v>
      </c>
      <c r="AO296" s="255"/>
      <c r="AP296" s="25"/>
      <c r="AQ296" s="255"/>
      <c r="AR296" s="256"/>
      <c r="AS296" s="255"/>
      <c r="AT296" s="256"/>
      <c r="AU296" s="231"/>
      <c r="AV296" s="211"/>
      <c r="AW296" s="211"/>
      <c r="AX296" s="211"/>
      <c r="AY296" s="211"/>
      <c r="AZ296" s="211"/>
      <c r="BA296" s="211"/>
      <c r="BB296" s="211"/>
      <c r="BC296" s="211"/>
      <c r="BD296" s="222"/>
      <c r="BE296" s="211"/>
      <c r="BF296" s="211"/>
      <c r="BG296" s="211"/>
      <c r="BH296" s="211"/>
      <c r="BI296" s="211"/>
      <c r="BJ296" s="211"/>
      <c r="BK296" s="118">
        <v>85</v>
      </c>
      <c r="BL296" s="243" t="s">
        <v>1324</v>
      </c>
      <c r="BM296" s="243" t="s">
        <v>1325</v>
      </c>
      <c r="BN296" s="243"/>
      <c r="BO296" s="243"/>
      <c r="BP296" s="243"/>
      <c r="BQ296" s="243"/>
      <c r="BR296" s="243"/>
      <c r="BS296" s="243"/>
      <c r="BT296" s="93">
        <v>8.4239999999999995</v>
      </c>
      <c r="BU296" s="93">
        <v>4.5439999999999996</v>
      </c>
      <c r="BV296" s="211">
        <v>6.7779999999999996</v>
      </c>
      <c r="BW296" s="91">
        <f>(BT296*BU296*BV296)/1728</f>
        <v>0.15014625599999998</v>
      </c>
      <c r="BX296" s="93">
        <f>0.91+0.1</f>
        <v>1.01</v>
      </c>
      <c r="BY296" s="93">
        <v>17.495999999999999</v>
      </c>
      <c r="BZ296" s="93">
        <v>14.305999999999999</v>
      </c>
      <c r="CA296" s="93">
        <v>7.492</v>
      </c>
      <c r="CB296" s="91">
        <f t="shared" si="70"/>
        <v>1.0852030889999997</v>
      </c>
      <c r="CC296" s="93">
        <f>BX296*CG296+0.25</f>
        <v>6.3100000000000005</v>
      </c>
      <c r="CD296" s="301"/>
      <c r="CE296" s="301"/>
      <c r="CF296" s="211" t="s">
        <v>134</v>
      </c>
      <c r="CG296" s="211">
        <v>6</v>
      </c>
      <c r="CH296" s="211">
        <v>6</v>
      </c>
      <c r="CI296" s="211">
        <v>5</v>
      </c>
      <c r="CJ296" s="27">
        <f t="shared" si="71"/>
        <v>180</v>
      </c>
      <c r="CK296" s="27">
        <f t="shared" si="72"/>
        <v>239.3</v>
      </c>
      <c r="CL296" s="27" t="s">
        <v>256</v>
      </c>
      <c r="CM296" s="27" t="s">
        <v>136</v>
      </c>
      <c r="CN296" s="237"/>
      <c r="CO296" s="237"/>
      <c r="CP296" s="14"/>
      <c r="CQ296" s="14"/>
      <c r="CR296" s="14"/>
      <c r="CS296" s="14"/>
      <c r="CT296" s="14"/>
      <c r="CU296" s="14"/>
    </row>
    <row r="297" spans="1:99" s="105" customFormat="1" ht="30" x14ac:dyDescent="0.25">
      <c r="A297" s="239">
        <v>41713</v>
      </c>
      <c r="B297" s="239"/>
      <c r="C297" s="212" t="s">
        <v>1326</v>
      </c>
      <c r="D297" s="212" t="s">
        <v>54</v>
      </c>
      <c r="E297" s="257" t="s">
        <v>1316</v>
      </c>
      <c r="F297" s="235" t="s">
        <v>1327</v>
      </c>
      <c r="G297" s="235"/>
      <c r="H297" s="235"/>
      <c r="I297" s="235"/>
      <c r="J297" s="211" t="s">
        <v>739</v>
      </c>
      <c r="K297" s="211" t="s">
        <v>1328</v>
      </c>
      <c r="L297" s="162"/>
      <c r="M297" s="25"/>
      <c r="N297" s="25"/>
      <c r="O297" s="26"/>
      <c r="P297" s="236"/>
      <c r="Q297" s="236"/>
      <c r="R297" s="236"/>
      <c r="S297" s="236"/>
      <c r="T297" s="236"/>
      <c r="U297" s="236"/>
      <c r="V297" s="236"/>
      <c r="W297" s="236"/>
      <c r="X297" s="236"/>
      <c r="Y297" s="236"/>
      <c r="Z297" s="236"/>
      <c r="AA297" s="236"/>
      <c r="AB297" s="236"/>
      <c r="AC297" s="236"/>
      <c r="AD297" s="236"/>
      <c r="AE297" s="236"/>
      <c r="AF297" s="236"/>
      <c r="AG297" s="236"/>
      <c r="AH297" s="236"/>
      <c r="AI297" s="236"/>
      <c r="AJ297" s="236"/>
      <c r="AK297" s="236"/>
      <c r="AL297" s="236"/>
      <c r="AM297" s="236"/>
      <c r="AN297" s="255"/>
      <c r="AO297" s="255"/>
      <c r="AP297" s="25"/>
      <c r="AQ297" s="255"/>
      <c r="AR297" s="256"/>
      <c r="AS297" s="255"/>
      <c r="AT297" s="256"/>
      <c r="AU297" s="231" t="s">
        <v>1329</v>
      </c>
      <c r="AV297" s="211"/>
      <c r="AW297" s="211"/>
      <c r="AX297" s="211"/>
      <c r="AY297" s="211"/>
      <c r="AZ297" s="211"/>
      <c r="BA297" s="211"/>
      <c r="BB297" s="211"/>
      <c r="BC297" s="211"/>
      <c r="BD297" s="222"/>
      <c r="BE297" s="211"/>
      <c r="BF297" s="211"/>
      <c r="BG297" s="211"/>
      <c r="BH297" s="211"/>
      <c r="BI297" s="211"/>
      <c r="BJ297" s="211"/>
      <c r="BK297" s="118">
        <v>87.38</v>
      </c>
      <c r="BL297" s="243" t="s">
        <v>1330</v>
      </c>
      <c r="BM297" s="243" t="s">
        <v>1331</v>
      </c>
      <c r="BN297" s="243"/>
      <c r="BO297" s="243"/>
      <c r="BP297" s="243"/>
      <c r="BQ297" s="243"/>
      <c r="BR297" s="243"/>
      <c r="BS297" s="243"/>
      <c r="BT297" s="220">
        <v>3.992</v>
      </c>
      <c r="BU297" s="220">
        <v>3.992</v>
      </c>
      <c r="BV297" s="212">
        <v>8.234</v>
      </c>
      <c r="BW297" s="91">
        <f>(BT297*BU297*BV297)/1728</f>
        <v>7.5936082740740748E-2</v>
      </c>
      <c r="BX297" s="220">
        <v>0.8</v>
      </c>
      <c r="BY297" s="220">
        <v>16.556000000000001</v>
      </c>
      <c r="BZ297" s="220">
        <v>12.555999999999999</v>
      </c>
      <c r="CA297" s="220">
        <v>8.8620000000000001</v>
      </c>
      <c r="CB297" s="91">
        <f t="shared" si="70"/>
        <v>1.0660921176111111</v>
      </c>
      <c r="CC297" s="93">
        <f>BX297*CG297+0.25</f>
        <v>9.8500000000000014</v>
      </c>
      <c r="CD297" s="301"/>
      <c r="CE297" s="301"/>
      <c r="CF297" s="211" t="s">
        <v>134</v>
      </c>
      <c r="CG297" s="212">
        <v>12</v>
      </c>
      <c r="CH297" s="212">
        <v>8</v>
      </c>
      <c r="CI297" s="212">
        <v>4</v>
      </c>
      <c r="CJ297" s="27">
        <f t="shared" si="71"/>
        <v>384</v>
      </c>
      <c r="CK297" s="27">
        <f t="shared" si="72"/>
        <v>365.20000000000005</v>
      </c>
      <c r="CL297" s="27" t="s">
        <v>256</v>
      </c>
      <c r="CM297" s="27" t="s">
        <v>136</v>
      </c>
      <c r="CN297" s="237"/>
      <c r="CO297" s="237"/>
      <c r="CP297" s="14"/>
      <c r="CQ297" s="14"/>
      <c r="CR297" s="14"/>
      <c r="CS297" s="14"/>
      <c r="CT297" s="14"/>
      <c r="CU297" s="14"/>
    </row>
    <row r="298" spans="1:99" s="261" customFormat="1" x14ac:dyDescent="0.25">
      <c r="A298" s="239">
        <v>41713</v>
      </c>
      <c r="B298" s="239"/>
      <c r="C298" s="212" t="s">
        <v>1332</v>
      </c>
      <c r="D298" s="211" t="s">
        <v>105</v>
      </c>
      <c r="E298" s="257" t="s">
        <v>1302</v>
      </c>
      <c r="F298" s="235" t="s">
        <v>1333</v>
      </c>
      <c r="G298" s="235"/>
      <c r="H298" s="235"/>
      <c r="I298" s="235"/>
      <c r="J298" s="211" t="s">
        <v>333</v>
      </c>
      <c r="K298" s="211" t="s">
        <v>1334</v>
      </c>
      <c r="L298" s="162"/>
      <c r="M298" s="25"/>
      <c r="N298" s="25"/>
      <c r="O298" s="26"/>
      <c r="P298" s="236"/>
      <c r="Q298" s="236"/>
      <c r="R298" s="236"/>
      <c r="S298" s="236"/>
      <c r="T298" s="236"/>
      <c r="U298" s="236"/>
      <c r="V298" s="236"/>
      <c r="W298" s="236"/>
      <c r="X298" s="236"/>
      <c r="Y298" s="236"/>
      <c r="Z298" s="236"/>
      <c r="AA298" s="236"/>
      <c r="AB298" s="236"/>
      <c r="AC298" s="236"/>
      <c r="AD298" s="236"/>
      <c r="AE298" s="236"/>
      <c r="AF298" s="236"/>
      <c r="AG298" s="236"/>
      <c r="AH298" s="236"/>
      <c r="AI298" s="236"/>
      <c r="AJ298" s="236"/>
      <c r="AK298" s="236"/>
      <c r="AL298" s="236"/>
      <c r="AM298" s="236"/>
      <c r="AN298" s="255"/>
      <c r="AO298" s="255"/>
      <c r="AP298" s="25"/>
      <c r="AQ298" s="255"/>
      <c r="AR298" s="256"/>
      <c r="AS298" s="255"/>
      <c r="AT298" s="256"/>
      <c r="AU298" s="231" t="s">
        <v>1335</v>
      </c>
      <c r="AV298" s="211"/>
      <c r="AW298" s="211"/>
      <c r="AX298" s="211" t="s">
        <v>1336</v>
      </c>
      <c r="AY298" s="211"/>
      <c r="AZ298" s="211"/>
      <c r="BA298" s="211"/>
      <c r="BB298" s="211"/>
      <c r="BC298" s="211"/>
      <c r="BD298" s="222"/>
      <c r="BE298" s="211" t="s">
        <v>1337</v>
      </c>
      <c r="BF298" s="211" t="s">
        <v>1338</v>
      </c>
      <c r="BG298" s="211" t="s">
        <v>1339</v>
      </c>
      <c r="BH298" s="211"/>
      <c r="BI298" s="211" t="s">
        <v>1340</v>
      </c>
      <c r="BJ298" s="211">
        <v>49049</v>
      </c>
      <c r="BK298" s="118">
        <v>25.95</v>
      </c>
      <c r="BL298" s="243" t="s">
        <v>1341</v>
      </c>
      <c r="BM298" s="243" t="s">
        <v>1342</v>
      </c>
      <c r="BN298" s="243"/>
      <c r="BO298" s="243"/>
      <c r="BP298" s="243"/>
      <c r="BQ298" s="243"/>
      <c r="BR298" s="243"/>
      <c r="BS298" s="243"/>
      <c r="BT298" s="220">
        <v>9.7859999999999996</v>
      </c>
      <c r="BU298" s="220">
        <v>2.3460000000000001</v>
      </c>
      <c r="BV298" s="212">
        <v>9.8219999999999992</v>
      </c>
      <c r="BW298" s="91">
        <f>(BT298*BU298*BV298)/1728</f>
        <v>0.13049365962499998</v>
      </c>
      <c r="BX298" s="220">
        <v>0.56000000000000005</v>
      </c>
      <c r="BY298" s="220">
        <v>10.25</v>
      </c>
      <c r="BZ298" s="220">
        <v>7.75</v>
      </c>
      <c r="CA298" s="220">
        <v>10.5</v>
      </c>
      <c r="CB298" s="91">
        <f t="shared" si="70"/>
        <v>0.4826931423611111</v>
      </c>
      <c r="CC298" s="93">
        <f>BX298*CG298+0.25</f>
        <v>1.9300000000000002</v>
      </c>
      <c r="CD298" s="301"/>
      <c r="CE298" s="301"/>
      <c r="CF298" s="211" t="s">
        <v>134</v>
      </c>
      <c r="CG298" s="212">
        <v>3</v>
      </c>
      <c r="CH298" s="212">
        <v>22</v>
      </c>
      <c r="CI298" s="212">
        <v>4</v>
      </c>
      <c r="CJ298" s="27">
        <f t="shared" si="71"/>
        <v>264</v>
      </c>
      <c r="CK298" s="27">
        <f t="shared" si="72"/>
        <v>219.84</v>
      </c>
      <c r="CL298" s="27" t="s">
        <v>256</v>
      </c>
      <c r="CM298" s="27" t="s">
        <v>136</v>
      </c>
      <c r="CN298" s="14"/>
      <c r="CO298" s="14"/>
      <c r="CP298" s="260"/>
      <c r="CQ298" s="260"/>
      <c r="CR298" s="260"/>
      <c r="CS298" s="260"/>
      <c r="CT298" s="260"/>
      <c r="CU298" s="260"/>
    </row>
    <row r="299" spans="1:99" s="261" customFormat="1" x14ac:dyDescent="0.25">
      <c r="A299" s="239">
        <v>41713</v>
      </c>
      <c r="B299" s="239"/>
      <c r="C299" s="212" t="s">
        <v>1343</v>
      </c>
      <c r="D299" s="212" t="s">
        <v>105</v>
      </c>
      <c r="E299" s="257" t="s">
        <v>1344</v>
      </c>
      <c r="F299" s="235" t="s">
        <v>1345</v>
      </c>
      <c r="G299" s="235"/>
      <c r="H299" s="235"/>
      <c r="I299" s="235"/>
      <c r="J299" s="211" t="s">
        <v>1346</v>
      </c>
      <c r="K299" s="211" t="s">
        <v>1347</v>
      </c>
      <c r="L299" s="162"/>
      <c r="M299" s="25"/>
      <c r="N299" s="25"/>
      <c r="O299" s="26"/>
      <c r="P299" s="236"/>
      <c r="Q299" s="236"/>
      <c r="R299" s="236"/>
      <c r="S299" s="236"/>
      <c r="T299" s="236"/>
      <c r="U299" s="236"/>
      <c r="V299" s="236"/>
      <c r="W299" s="236"/>
      <c r="X299" s="236"/>
      <c r="Y299" s="236"/>
      <c r="Z299" s="236"/>
      <c r="AA299" s="236"/>
      <c r="AB299" s="236"/>
      <c r="AC299" s="236"/>
      <c r="AD299" s="236"/>
      <c r="AE299" s="236"/>
      <c r="AF299" s="236"/>
      <c r="AG299" s="236"/>
      <c r="AH299" s="236"/>
      <c r="AI299" s="236"/>
      <c r="AJ299" s="236"/>
      <c r="AK299" s="236"/>
      <c r="AL299" s="236"/>
      <c r="AM299" s="236"/>
      <c r="AN299" s="255"/>
      <c r="AO299" s="255"/>
      <c r="AP299" s="25"/>
      <c r="AQ299" s="255"/>
      <c r="AR299" s="256"/>
      <c r="AS299" s="255"/>
      <c r="AT299" s="256"/>
      <c r="AU299" s="231" t="s">
        <v>1348</v>
      </c>
      <c r="AV299" s="211"/>
      <c r="AW299" s="211"/>
      <c r="AX299" s="211"/>
      <c r="AY299" s="211"/>
      <c r="AZ299" s="211"/>
      <c r="BA299" s="211"/>
      <c r="BB299" s="211"/>
      <c r="BC299" s="211"/>
      <c r="BD299" s="222"/>
      <c r="BE299" s="211"/>
      <c r="BF299" s="211" t="s">
        <v>1349</v>
      </c>
      <c r="BG299" s="211" t="s">
        <v>1350</v>
      </c>
      <c r="BH299" s="211"/>
      <c r="BI299" s="211"/>
      <c r="BJ299" s="211">
        <v>57070</v>
      </c>
      <c r="BK299" s="118">
        <v>34.99</v>
      </c>
      <c r="BL299" s="243" t="s">
        <v>1351</v>
      </c>
      <c r="BM299" s="243" t="s">
        <v>1352</v>
      </c>
      <c r="BN299" s="243"/>
      <c r="BO299" s="243"/>
      <c r="BP299" s="243"/>
      <c r="BQ299" s="243"/>
      <c r="BR299" s="243"/>
      <c r="BS299" s="243"/>
      <c r="BT299" s="93">
        <v>3.1859999999999999</v>
      </c>
      <c r="BU299" s="93">
        <v>3.1859999999999999</v>
      </c>
      <c r="BV299" s="212">
        <v>6.0720000000000001</v>
      </c>
      <c r="BW299" s="91">
        <f>(BT299*BU299*BV299)/1728</f>
        <v>3.5668066499999998E-2</v>
      </c>
      <c r="BX299" s="93">
        <v>0.27</v>
      </c>
      <c r="BY299" s="220">
        <v>10</v>
      </c>
      <c r="BZ299" s="220">
        <v>6.75</v>
      </c>
      <c r="CA299" s="220">
        <v>6.62</v>
      </c>
      <c r="CB299" s="91">
        <f t="shared" si="70"/>
        <v>0.25859375000000001</v>
      </c>
      <c r="CC299" s="220">
        <f>BX299*CG299+0.25</f>
        <v>1.87</v>
      </c>
      <c r="CD299" s="302"/>
      <c r="CE299" s="302"/>
      <c r="CF299" s="211" t="s">
        <v>134</v>
      </c>
      <c r="CG299" s="212">
        <v>6</v>
      </c>
      <c r="CH299" s="212">
        <v>26</v>
      </c>
      <c r="CI299" s="212">
        <v>6</v>
      </c>
      <c r="CJ299" s="27">
        <f t="shared" si="71"/>
        <v>936</v>
      </c>
      <c r="CK299" s="27">
        <f t="shared" si="72"/>
        <v>341.72</v>
      </c>
      <c r="CL299" s="27" t="s">
        <v>316</v>
      </c>
      <c r="CM299" s="27" t="s">
        <v>136</v>
      </c>
      <c r="CN299" s="14"/>
      <c r="CO299" s="14"/>
      <c r="CP299" s="260"/>
      <c r="CQ299" s="260"/>
      <c r="CR299" s="260"/>
      <c r="CS299" s="260"/>
      <c r="CT299" s="260"/>
      <c r="CU299" s="260"/>
    </row>
    <row r="300" spans="1:99" s="261" customFormat="1" x14ac:dyDescent="0.25">
      <c r="A300" s="239">
        <v>41699</v>
      </c>
      <c r="B300" s="239"/>
      <c r="C300" s="211" t="s">
        <v>1353</v>
      </c>
      <c r="D300" s="211" t="s">
        <v>105</v>
      </c>
      <c r="E300" s="257" t="s">
        <v>1354</v>
      </c>
      <c r="F300" s="231" t="s">
        <v>1355</v>
      </c>
      <c r="G300" s="231"/>
      <c r="H300" s="231"/>
      <c r="I300" s="231"/>
      <c r="J300" s="222" t="s">
        <v>168</v>
      </c>
      <c r="K300" s="257" t="s">
        <v>1356</v>
      </c>
      <c r="L300" s="25"/>
      <c r="M300" s="25"/>
      <c r="N300" s="25"/>
      <c r="O300" s="26"/>
      <c r="P300" s="222"/>
      <c r="Q300" s="222"/>
      <c r="R300" s="222"/>
      <c r="S300" s="222"/>
      <c r="T300" s="222"/>
      <c r="U300" s="222"/>
      <c r="V300" s="222"/>
      <c r="W300" s="222"/>
      <c r="X300" s="222"/>
      <c r="Y300" s="222"/>
      <c r="Z300" s="222"/>
      <c r="AA300" s="222"/>
      <c r="AB300" s="222"/>
      <c r="AC300" s="222"/>
      <c r="AD300" s="222"/>
      <c r="AE300" s="222"/>
      <c r="AF300" s="222"/>
      <c r="AG300" s="222"/>
      <c r="AH300" s="222"/>
      <c r="AI300" s="222"/>
      <c r="AJ300" s="222"/>
      <c r="AK300" s="222"/>
      <c r="AL300" s="222"/>
      <c r="AM300" s="222"/>
      <c r="AN300" s="255"/>
      <c r="AO300" s="255"/>
      <c r="AP300" s="25"/>
      <c r="AQ300" s="255"/>
      <c r="AR300" s="256"/>
      <c r="AS300" s="255"/>
      <c r="AT300" s="256"/>
      <c r="AU300" s="211"/>
      <c r="AV300" s="211"/>
      <c r="AW300" s="211"/>
      <c r="AX300" s="211"/>
      <c r="AY300" s="211"/>
      <c r="AZ300" s="211"/>
      <c r="BA300" s="211"/>
      <c r="BB300" s="211"/>
      <c r="BC300" s="211"/>
      <c r="BD300" s="222"/>
      <c r="BE300" s="211"/>
      <c r="BF300" s="211"/>
      <c r="BG300" s="211"/>
      <c r="BH300" s="211"/>
      <c r="BI300" s="211"/>
      <c r="BJ300" s="241"/>
      <c r="BK300" s="118">
        <v>23.39</v>
      </c>
      <c r="BL300" s="243" t="s">
        <v>1357</v>
      </c>
      <c r="BM300" s="243" t="s">
        <v>1358</v>
      </c>
      <c r="BN300" s="243"/>
      <c r="BO300" s="243"/>
      <c r="BP300" s="243"/>
      <c r="BQ300" s="243"/>
      <c r="BR300" s="243"/>
      <c r="BS300" s="243"/>
      <c r="BT300" s="599" t="s">
        <v>875</v>
      </c>
      <c r="BU300" s="603"/>
      <c r="BV300" s="603"/>
      <c r="BW300" s="603"/>
      <c r="BX300" s="603"/>
      <c r="BY300" s="93">
        <v>11.75</v>
      </c>
      <c r="BZ300" s="93">
        <v>10.5</v>
      </c>
      <c r="CA300" s="93">
        <v>7.375</v>
      </c>
      <c r="CB300" s="91">
        <f t="shared" si="70"/>
        <v>0.52655707465277779</v>
      </c>
      <c r="CC300" s="93">
        <v>2.35</v>
      </c>
      <c r="CD300" s="301"/>
      <c r="CE300" s="301"/>
      <c r="CF300" s="211" t="s">
        <v>134</v>
      </c>
      <c r="CG300" s="211">
        <v>6</v>
      </c>
      <c r="CH300" s="211">
        <v>12</v>
      </c>
      <c r="CI300" s="211">
        <v>6</v>
      </c>
      <c r="CJ300" s="27">
        <f t="shared" si="71"/>
        <v>432</v>
      </c>
      <c r="CK300" s="27">
        <f t="shared" si="72"/>
        <v>219.20000000000002</v>
      </c>
      <c r="CL300" s="27" t="s">
        <v>139</v>
      </c>
      <c r="CM300" s="27" t="s">
        <v>136</v>
      </c>
      <c r="CN300" s="14"/>
      <c r="CO300" s="14"/>
      <c r="CP300" s="260"/>
      <c r="CQ300" s="260"/>
      <c r="CR300" s="260"/>
      <c r="CS300" s="260"/>
      <c r="CT300" s="260"/>
      <c r="CU300" s="260"/>
    </row>
    <row r="301" spans="1:99" s="261" customFormat="1" x14ac:dyDescent="0.25">
      <c r="A301" s="239">
        <v>41699</v>
      </c>
      <c r="B301" s="239"/>
      <c r="C301" s="212" t="s">
        <v>1359</v>
      </c>
      <c r="D301" s="212" t="s">
        <v>105</v>
      </c>
      <c r="E301" s="257" t="s">
        <v>1257</v>
      </c>
      <c r="F301" s="235" t="s">
        <v>1360</v>
      </c>
      <c r="G301" s="235"/>
      <c r="H301" s="235"/>
      <c r="I301" s="235"/>
      <c r="J301" s="235" t="s">
        <v>168</v>
      </c>
      <c r="K301" s="235" t="s">
        <v>1361</v>
      </c>
      <c r="L301" s="162"/>
      <c r="M301" s="25"/>
      <c r="N301" s="25"/>
      <c r="O301" s="26"/>
      <c r="P301" s="222"/>
      <c r="Q301" s="222"/>
      <c r="R301" s="222"/>
      <c r="S301" s="222"/>
      <c r="T301" s="222"/>
      <c r="U301" s="222"/>
      <c r="V301" s="222"/>
      <c r="W301" s="222"/>
      <c r="X301" s="222"/>
      <c r="Y301" s="222"/>
      <c r="Z301" s="222"/>
      <c r="AA301" s="222"/>
      <c r="AB301" s="222"/>
      <c r="AC301" s="222"/>
      <c r="AD301" s="222"/>
      <c r="AE301" s="222"/>
      <c r="AF301" s="222"/>
      <c r="AG301" s="222"/>
      <c r="AH301" s="222"/>
      <c r="AI301" s="222"/>
      <c r="AJ301" s="222"/>
      <c r="AK301" s="222"/>
      <c r="AL301" s="222"/>
      <c r="AM301" s="222"/>
      <c r="AN301" s="255"/>
      <c r="AO301" s="255"/>
      <c r="AP301" s="25">
        <v>83570</v>
      </c>
      <c r="AQ301" s="255"/>
      <c r="AR301" s="256"/>
      <c r="AS301" s="255"/>
      <c r="AT301" s="256"/>
      <c r="AU301" s="231" t="s">
        <v>1362</v>
      </c>
      <c r="AV301" s="211" t="s">
        <v>1363</v>
      </c>
      <c r="AW301" s="211"/>
      <c r="AX301" s="211" t="s">
        <v>1364</v>
      </c>
      <c r="AY301" s="211"/>
      <c r="AZ301" s="211"/>
      <c r="BA301" s="211"/>
      <c r="BB301" s="211"/>
      <c r="BC301" s="211"/>
      <c r="BD301" s="222">
        <v>9570</v>
      </c>
      <c r="BE301" s="211" t="s">
        <v>1365</v>
      </c>
      <c r="BF301" s="211"/>
      <c r="BG301" s="211" t="s">
        <v>1366</v>
      </c>
      <c r="BH301" s="211"/>
      <c r="BI301" s="211" t="s">
        <v>1367</v>
      </c>
      <c r="BJ301" s="119" t="s">
        <v>1368</v>
      </c>
      <c r="BK301" s="118">
        <v>20.96</v>
      </c>
      <c r="BL301" s="243" t="s">
        <v>1369</v>
      </c>
      <c r="BM301" s="243" t="s">
        <v>1370</v>
      </c>
      <c r="BN301" s="243"/>
      <c r="BO301" s="243"/>
      <c r="BP301" s="243"/>
      <c r="BQ301" s="243"/>
      <c r="BR301" s="243"/>
      <c r="BS301" s="243"/>
      <c r="BT301" s="220">
        <v>7.7859999999999996</v>
      </c>
      <c r="BU301" s="220">
        <v>2.536</v>
      </c>
      <c r="BV301" s="220">
        <v>9.0719999999999992</v>
      </c>
      <c r="BW301" s="91">
        <f>(BV301*BU301*BT301)/1728</f>
        <v>0.10366280399999998</v>
      </c>
      <c r="BX301" s="220">
        <v>0.3</v>
      </c>
      <c r="BY301" s="220">
        <v>9.75</v>
      </c>
      <c r="BZ301" s="220">
        <v>8.18</v>
      </c>
      <c r="CA301" s="220">
        <v>8.5</v>
      </c>
      <c r="CB301" s="91">
        <f t="shared" si="70"/>
        <v>0.39231336805555556</v>
      </c>
      <c r="CC301" s="93">
        <f>BX301*CG301+0.25</f>
        <v>1.1499999999999999</v>
      </c>
      <c r="CD301" s="301"/>
      <c r="CE301" s="301"/>
      <c r="CF301" s="211" t="s">
        <v>134</v>
      </c>
      <c r="CG301" s="212">
        <v>3</v>
      </c>
      <c r="CH301" s="212">
        <v>20</v>
      </c>
      <c r="CI301" s="212">
        <v>5</v>
      </c>
      <c r="CJ301" s="27">
        <f t="shared" si="71"/>
        <v>300</v>
      </c>
      <c r="CK301" s="27">
        <f t="shared" si="72"/>
        <v>165</v>
      </c>
      <c r="CL301" s="27" t="s">
        <v>139</v>
      </c>
      <c r="CM301" s="27" t="s">
        <v>136</v>
      </c>
      <c r="CN301" s="14"/>
      <c r="CO301" s="14"/>
      <c r="CP301" s="260"/>
      <c r="CQ301" s="260"/>
      <c r="CR301" s="260"/>
      <c r="CS301" s="260"/>
      <c r="CT301" s="260"/>
      <c r="CU301" s="260"/>
    </row>
    <row r="302" spans="1:99" s="261" customFormat="1" x14ac:dyDescent="0.25">
      <c r="A302" s="239">
        <v>41699</v>
      </c>
      <c r="B302" s="239"/>
      <c r="C302" s="212" t="s">
        <v>1371</v>
      </c>
      <c r="D302" s="212" t="s">
        <v>105</v>
      </c>
      <c r="E302" s="257" t="s">
        <v>1257</v>
      </c>
      <c r="F302" s="235" t="s">
        <v>1372</v>
      </c>
      <c r="G302" s="235"/>
      <c r="H302" s="235"/>
      <c r="I302" s="235"/>
      <c r="J302" s="235" t="s">
        <v>399</v>
      </c>
      <c r="K302" s="235" t="s">
        <v>1373</v>
      </c>
      <c r="L302" s="162" t="s">
        <v>903</v>
      </c>
      <c r="M302" s="25" t="s">
        <v>1374</v>
      </c>
      <c r="N302" s="25"/>
      <c r="O302" s="26"/>
      <c r="P302" s="222"/>
      <c r="Q302" s="222"/>
      <c r="R302" s="222"/>
      <c r="S302" s="222"/>
      <c r="T302" s="222"/>
      <c r="U302" s="222"/>
      <c r="V302" s="222"/>
      <c r="W302" s="222"/>
      <c r="X302" s="222"/>
      <c r="Y302" s="222"/>
      <c r="Z302" s="222"/>
      <c r="AA302" s="222"/>
      <c r="AB302" s="222"/>
      <c r="AC302" s="222"/>
      <c r="AD302" s="222"/>
      <c r="AE302" s="222"/>
      <c r="AF302" s="222"/>
      <c r="AG302" s="222"/>
      <c r="AH302" s="222"/>
      <c r="AI302" s="222"/>
      <c r="AJ302" s="222"/>
      <c r="AK302" s="222"/>
      <c r="AL302" s="222"/>
      <c r="AM302" s="222"/>
      <c r="AN302" s="255"/>
      <c r="AO302" s="255"/>
      <c r="AP302" s="25">
        <v>83740</v>
      </c>
      <c r="AQ302" s="255"/>
      <c r="AR302" s="256"/>
      <c r="AS302" s="255"/>
      <c r="AT302" s="256"/>
      <c r="AU302" s="231" t="s">
        <v>1375</v>
      </c>
      <c r="AV302" s="211" t="s">
        <v>1376</v>
      </c>
      <c r="AW302" s="211" t="s">
        <v>1377</v>
      </c>
      <c r="AX302" s="211" t="s">
        <v>1378</v>
      </c>
      <c r="AY302" s="211"/>
      <c r="AZ302" s="211"/>
      <c r="BA302" s="211"/>
      <c r="BB302" s="211"/>
      <c r="BC302" s="211"/>
      <c r="BD302" s="222">
        <v>9740</v>
      </c>
      <c r="BE302" s="211" t="s">
        <v>1379</v>
      </c>
      <c r="BF302" s="211" t="s">
        <v>1380</v>
      </c>
      <c r="BG302" s="211" t="s">
        <v>1381</v>
      </c>
      <c r="BH302" s="211"/>
      <c r="BI302" s="211" t="s">
        <v>1382</v>
      </c>
      <c r="BJ302" s="119">
        <v>49740</v>
      </c>
      <c r="BK302" s="118">
        <v>17.04</v>
      </c>
      <c r="BL302" s="243" t="s">
        <v>1383</v>
      </c>
      <c r="BM302" s="243" t="s">
        <v>1384</v>
      </c>
      <c r="BN302" s="243"/>
      <c r="BO302" s="243"/>
      <c r="BP302" s="243"/>
      <c r="BQ302" s="243"/>
      <c r="BR302" s="243"/>
      <c r="BS302" s="243"/>
      <c r="BT302" s="220">
        <v>6.5359999999999996</v>
      </c>
      <c r="BU302" s="220">
        <v>1.786</v>
      </c>
      <c r="BV302" s="220">
        <v>13.321999999999999</v>
      </c>
      <c r="BW302" s="91">
        <f>(BV302*BU302*BT302)/1728</f>
        <v>8.9995167425925907E-2</v>
      </c>
      <c r="BX302" s="93">
        <f>0.404</f>
        <v>0.40400000000000003</v>
      </c>
      <c r="BY302" s="93">
        <v>14</v>
      </c>
      <c r="BZ302" s="93">
        <v>7.75</v>
      </c>
      <c r="CA302" s="93">
        <v>6.5</v>
      </c>
      <c r="CB302" s="91">
        <f t="shared" si="70"/>
        <v>0.40813078703703703</v>
      </c>
      <c r="CC302" s="220">
        <f>BX302*CG302+0.25</f>
        <v>1.4620000000000002</v>
      </c>
      <c r="CD302" s="302"/>
      <c r="CE302" s="302"/>
      <c r="CF302" s="212" t="s">
        <v>134</v>
      </c>
      <c r="CG302" s="212">
        <v>3</v>
      </c>
      <c r="CH302" s="212">
        <v>15</v>
      </c>
      <c r="CI302" s="212">
        <v>6</v>
      </c>
      <c r="CJ302" s="27">
        <f t="shared" si="71"/>
        <v>270</v>
      </c>
      <c r="CK302" s="27">
        <f t="shared" si="72"/>
        <v>181.58</v>
      </c>
      <c r="CL302" s="211" t="s">
        <v>149</v>
      </c>
      <c r="CM302" s="27" t="s">
        <v>136</v>
      </c>
      <c r="CN302" s="14"/>
      <c r="CO302" s="14"/>
      <c r="CP302" s="260"/>
      <c r="CQ302" s="260"/>
      <c r="CR302" s="260"/>
      <c r="CS302" s="260"/>
      <c r="CT302" s="260"/>
      <c r="CU302" s="260"/>
    </row>
    <row r="303" spans="1:99" s="261" customFormat="1" x14ac:dyDescent="0.25">
      <c r="A303" s="239">
        <v>41699</v>
      </c>
      <c r="B303" s="239"/>
      <c r="C303" s="212" t="s">
        <v>1385</v>
      </c>
      <c r="D303" s="211" t="s">
        <v>105</v>
      </c>
      <c r="E303" s="257" t="s">
        <v>1257</v>
      </c>
      <c r="F303" s="235" t="s">
        <v>1386</v>
      </c>
      <c r="G303" s="235"/>
      <c r="H303" s="235"/>
      <c r="I303" s="235"/>
      <c r="J303" s="222" t="s">
        <v>168</v>
      </c>
      <c r="K303" s="235" t="s">
        <v>1387</v>
      </c>
      <c r="L303" s="162"/>
      <c r="M303" s="25"/>
      <c r="N303" s="25"/>
      <c r="O303" s="26"/>
      <c r="P303" s="222"/>
      <c r="Q303" s="222"/>
      <c r="R303" s="222"/>
      <c r="S303" s="222"/>
      <c r="T303" s="222"/>
      <c r="U303" s="222"/>
      <c r="V303" s="222"/>
      <c r="W303" s="222"/>
      <c r="X303" s="222"/>
      <c r="Y303" s="222"/>
      <c r="Z303" s="222"/>
      <c r="AA303" s="222"/>
      <c r="AB303" s="222"/>
      <c r="AC303" s="222"/>
      <c r="AD303" s="222"/>
      <c r="AE303" s="222"/>
      <c r="AF303" s="222"/>
      <c r="AG303" s="222"/>
      <c r="AH303" s="222"/>
      <c r="AI303" s="222"/>
      <c r="AJ303" s="222"/>
      <c r="AK303" s="222"/>
      <c r="AL303" s="222"/>
      <c r="AM303" s="222"/>
      <c r="AN303" s="25" t="s">
        <v>1388</v>
      </c>
      <c r="AO303" s="255"/>
      <c r="AP303" s="25">
        <v>83038</v>
      </c>
      <c r="AQ303" s="255"/>
      <c r="AR303" s="256"/>
      <c r="AS303" s="255"/>
      <c r="AT303" s="256"/>
      <c r="AU303" s="231" t="s">
        <v>1389</v>
      </c>
      <c r="AV303" s="119" t="s">
        <v>1390</v>
      </c>
      <c r="AW303" s="211"/>
      <c r="AX303" s="25" t="s">
        <v>559</v>
      </c>
      <c r="AY303" s="25"/>
      <c r="AZ303" s="211"/>
      <c r="BA303" s="211"/>
      <c r="BB303" s="211"/>
      <c r="BC303" s="211"/>
      <c r="BD303" s="25" t="s">
        <v>1391</v>
      </c>
      <c r="BE303" s="211" t="s">
        <v>1392</v>
      </c>
      <c r="BF303" s="25" t="s">
        <v>1393</v>
      </c>
      <c r="BG303" s="211" t="s">
        <v>1394</v>
      </c>
      <c r="BH303" s="211"/>
      <c r="BI303" s="211" t="s">
        <v>1395</v>
      </c>
      <c r="BJ303" s="119" t="s">
        <v>1396</v>
      </c>
      <c r="BK303" s="118">
        <v>11.96</v>
      </c>
      <c r="BL303" s="243" t="s">
        <v>1397</v>
      </c>
      <c r="BM303" s="243" t="s">
        <v>1398</v>
      </c>
      <c r="BN303" s="243"/>
      <c r="BO303" s="243"/>
      <c r="BP303" s="243"/>
      <c r="BQ303" s="243"/>
      <c r="BR303" s="243"/>
      <c r="BS303" s="243"/>
      <c r="BT303" s="220">
        <v>6.5359999999999996</v>
      </c>
      <c r="BU303" s="220">
        <v>1.6559999999999999</v>
      </c>
      <c r="BV303" s="220">
        <v>11.071999999999999</v>
      </c>
      <c r="BW303" s="91">
        <f>(BV303*BU303*BT303)/1728</f>
        <v>6.9351317333333315E-2</v>
      </c>
      <c r="BX303" s="220">
        <v>0.31</v>
      </c>
      <c r="BY303" s="220">
        <v>11.93</v>
      </c>
      <c r="BZ303" s="220">
        <v>8</v>
      </c>
      <c r="CA303" s="220">
        <v>6</v>
      </c>
      <c r="CB303" s="91">
        <f t="shared" si="70"/>
        <v>0.3313888888888889</v>
      </c>
      <c r="CC303" s="93">
        <f>BX303*CG303+0.25</f>
        <v>1.18</v>
      </c>
      <c r="CD303" s="301"/>
      <c r="CE303" s="301"/>
      <c r="CF303" s="211" t="s">
        <v>134</v>
      </c>
      <c r="CG303" s="212">
        <v>3</v>
      </c>
      <c r="CH303" s="212">
        <v>20</v>
      </c>
      <c r="CI303" s="212">
        <v>7</v>
      </c>
      <c r="CJ303" s="27">
        <f t="shared" si="71"/>
        <v>420</v>
      </c>
      <c r="CK303" s="27">
        <f t="shared" si="72"/>
        <v>215.2</v>
      </c>
      <c r="CL303" s="27" t="s">
        <v>135</v>
      </c>
      <c r="CM303" s="27" t="s">
        <v>136</v>
      </c>
      <c r="CN303" s="14"/>
      <c r="CO303" s="14"/>
      <c r="CP303" s="260"/>
      <c r="CQ303" s="260"/>
      <c r="CR303" s="260"/>
      <c r="CS303" s="260"/>
      <c r="CT303" s="260"/>
      <c r="CU303" s="260"/>
    </row>
    <row r="304" spans="1:99" s="261" customFormat="1" x14ac:dyDescent="0.25">
      <c r="A304" s="239">
        <v>41699</v>
      </c>
      <c r="B304" s="239"/>
      <c r="C304" s="212" t="s">
        <v>1399</v>
      </c>
      <c r="D304" s="212" t="s">
        <v>105</v>
      </c>
      <c r="E304" s="257" t="s">
        <v>1354</v>
      </c>
      <c r="F304" s="231" t="s">
        <v>1400</v>
      </c>
      <c r="G304" s="231"/>
      <c r="H304" s="231"/>
      <c r="I304" s="231"/>
      <c r="J304" s="222" t="s">
        <v>418</v>
      </c>
      <c r="K304" s="235" t="s">
        <v>1401</v>
      </c>
      <c r="L304" s="162"/>
      <c r="M304" s="25"/>
      <c r="N304" s="25"/>
      <c r="O304" s="26"/>
      <c r="P304" s="222"/>
      <c r="Q304" s="222"/>
      <c r="R304" s="222"/>
      <c r="S304" s="222"/>
      <c r="T304" s="222"/>
      <c r="U304" s="222"/>
      <c r="V304" s="222"/>
      <c r="W304" s="222"/>
      <c r="X304" s="222"/>
      <c r="Y304" s="222"/>
      <c r="Z304" s="222"/>
      <c r="AA304" s="222"/>
      <c r="AB304" s="222"/>
      <c r="AC304" s="222"/>
      <c r="AD304" s="222"/>
      <c r="AE304" s="222"/>
      <c r="AF304" s="222"/>
      <c r="AG304" s="222"/>
      <c r="AH304" s="222"/>
      <c r="AI304" s="222"/>
      <c r="AJ304" s="222"/>
      <c r="AK304" s="222"/>
      <c r="AL304" s="222"/>
      <c r="AM304" s="222"/>
      <c r="AN304" s="255"/>
      <c r="AO304" s="255"/>
      <c r="AP304" s="25">
        <v>83369</v>
      </c>
      <c r="AQ304" s="255"/>
      <c r="AR304" s="256"/>
      <c r="AS304" s="255"/>
      <c r="AT304" s="256"/>
      <c r="AU304" s="211"/>
      <c r="AV304" s="119" t="s">
        <v>1402</v>
      </c>
      <c r="AW304" s="211"/>
      <c r="AX304" s="211"/>
      <c r="AY304" s="211"/>
      <c r="AZ304" s="211"/>
      <c r="BA304" s="211" t="s">
        <v>1403</v>
      </c>
      <c r="BB304" s="211"/>
      <c r="BC304" s="211"/>
      <c r="BD304" s="222"/>
      <c r="BE304" s="211"/>
      <c r="BF304" s="211" t="s">
        <v>1399</v>
      </c>
      <c r="BG304" s="211"/>
      <c r="BH304" s="211"/>
      <c r="BI304" s="211"/>
      <c r="BJ304" s="211" t="s">
        <v>1404</v>
      </c>
      <c r="BK304" s="118">
        <v>17.37</v>
      </c>
      <c r="BL304" s="243" t="s">
        <v>1405</v>
      </c>
      <c r="BM304" s="243" t="s">
        <v>1406</v>
      </c>
      <c r="BN304" s="243"/>
      <c r="BO304" s="243"/>
      <c r="BP304" s="243"/>
      <c r="BQ304" s="243"/>
      <c r="BR304" s="243"/>
      <c r="BS304" s="243"/>
      <c r="BT304" s="599" t="s">
        <v>875</v>
      </c>
      <c r="BU304" s="603"/>
      <c r="BV304" s="603"/>
      <c r="BW304" s="603"/>
      <c r="BX304" s="603"/>
      <c r="BY304" s="220">
        <v>12.25</v>
      </c>
      <c r="BZ304" s="220">
        <v>9</v>
      </c>
      <c r="CA304" s="220">
        <v>7.88</v>
      </c>
      <c r="CB304" s="91">
        <f t="shared" si="70"/>
        <v>0.50276041666666671</v>
      </c>
      <c r="CC304" s="220">
        <v>2.71</v>
      </c>
      <c r="CD304" s="302"/>
      <c r="CE304" s="302"/>
      <c r="CF304" s="211" t="s">
        <v>134</v>
      </c>
      <c r="CG304" s="212">
        <v>6</v>
      </c>
      <c r="CH304" s="212">
        <v>16</v>
      </c>
      <c r="CI304" s="212">
        <v>5</v>
      </c>
      <c r="CJ304" s="27">
        <f t="shared" si="71"/>
        <v>480</v>
      </c>
      <c r="CK304" s="27">
        <f t="shared" si="72"/>
        <v>266.8</v>
      </c>
      <c r="CL304" s="27" t="s">
        <v>139</v>
      </c>
      <c r="CM304" s="27" t="s">
        <v>136</v>
      </c>
      <c r="CN304" s="14"/>
      <c r="CO304" s="14"/>
      <c r="CP304" s="260"/>
      <c r="CQ304" s="260"/>
      <c r="CR304" s="260"/>
      <c r="CS304" s="260"/>
      <c r="CT304" s="260"/>
      <c r="CU304" s="260"/>
    </row>
    <row r="305" spans="1:99" s="261" customFormat="1" x14ac:dyDescent="0.25">
      <c r="A305" s="239">
        <v>41699</v>
      </c>
      <c r="B305" s="239"/>
      <c r="C305" s="212" t="s">
        <v>1407</v>
      </c>
      <c r="D305" s="211" t="s">
        <v>105</v>
      </c>
      <c r="E305" s="257" t="s">
        <v>1354</v>
      </c>
      <c r="F305" s="231" t="s">
        <v>1408</v>
      </c>
      <c r="G305" s="231"/>
      <c r="H305" s="231"/>
      <c r="I305" s="231"/>
      <c r="J305" s="235" t="s">
        <v>333</v>
      </c>
      <c r="K305" s="211" t="s">
        <v>1409</v>
      </c>
      <c r="L305" s="235" t="s">
        <v>333</v>
      </c>
      <c r="M305" s="25" t="s">
        <v>1410</v>
      </c>
      <c r="N305" s="25"/>
      <c r="O305" s="26"/>
      <c r="P305" s="222"/>
      <c r="Q305" s="222"/>
      <c r="R305" s="222"/>
      <c r="S305" s="222"/>
      <c r="T305" s="222"/>
      <c r="U305" s="222"/>
      <c r="V305" s="222"/>
      <c r="W305" s="222"/>
      <c r="X305" s="222"/>
      <c r="Y305" s="222"/>
      <c r="Z305" s="222"/>
      <c r="AA305" s="222"/>
      <c r="AB305" s="222"/>
      <c r="AC305" s="222"/>
      <c r="AD305" s="222"/>
      <c r="AE305" s="222"/>
      <c r="AF305" s="222"/>
      <c r="AG305" s="222"/>
      <c r="AH305" s="222"/>
      <c r="AI305" s="222"/>
      <c r="AJ305" s="222"/>
      <c r="AK305" s="222"/>
      <c r="AL305" s="222"/>
      <c r="AM305" s="222"/>
      <c r="AN305" s="255"/>
      <c r="AO305" s="255"/>
      <c r="AP305" s="25"/>
      <c r="AQ305" s="255"/>
      <c r="AR305" s="256"/>
      <c r="AS305" s="255"/>
      <c r="AT305" s="256"/>
      <c r="AU305" s="25" t="s">
        <v>1411</v>
      </c>
      <c r="AV305" s="119" t="s">
        <v>1412</v>
      </c>
      <c r="AW305" s="25" t="s">
        <v>1413</v>
      </c>
      <c r="AX305" s="211"/>
      <c r="AY305" s="211"/>
      <c r="AZ305" s="211"/>
      <c r="BA305" s="25" t="s">
        <v>1414</v>
      </c>
      <c r="BB305" s="211"/>
      <c r="BC305" s="211"/>
      <c r="BD305" s="25" t="s">
        <v>1415</v>
      </c>
      <c r="BE305" s="211" t="s">
        <v>1416</v>
      </c>
      <c r="BF305" s="25" t="s">
        <v>1407</v>
      </c>
      <c r="BG305" s="211" t="s">
        <v>1416</v>
      </c>
      <c r="BH305" s="211"/>
      <c r="BI305" s="211" t="s">
        <v>1417</v>
      </c>
      <c r="BJ305" s="211" t="s">
        <v>1418</v>
      </c>
      <c r="BK305" s="118">
        <v>30.76</v>
      </c>
      <c r="BL305" s="243" t="s">
        <v>1419</v>
      </c>
      <c r="BM305" s="243" t="s">
        <v>1420</v>
      </c>
      <c r="BN305" s="243"/>
      <c r="BO305" s="243"/>
      <c r="BP305" s="243"/>
      <c r="BQ305" s="243"/>
      <c r="BR305" s="243"/>
      <c r="BS305" s="243"/>
      <c r="BT305" s="599" t="s">
        <v>875</v>
      </c>
      <c r="BU305" s="603"/>
      <c r="BV305" s="603"/>
      <c r="BW305" s="603"/>
      <c r="BX305" s="603"/>
      <c r="BY305" s="220">
        <v>13.25</v>
      </c>
      <c r="BZ305" s="220">
        <v>10</v>
      </c>
      <c r="CA305" s="220">
        <v>6.25</v>
      </c>
      <c r="CB305" s="91">
        <f t="shared" si="70"/>
        <v>0.47923900462962965</v>
      </c>
      <c r="CC305" s="220">
        <v>1.27</v>
      </c>
      <c r="CD305" s="302"/>
      <c r="CE305" s="302"/>
      <c r="CF305" s="211" t="s">
        <v>134</v>
      </c>
      <c r="CG305" s="212">
        <v>6</v>
      </c>
      <c r="CH305" s="212">
        <v>14</v>
      </c>
      <c r="CI305" s="212">
        <v>7</v>
      </c>
      <c r="CJ305" s="27">
        <f t="shared" si="71"/>
        <v>588</v>
      </c>
      <c r="CK305" s="27">
        <f t="shared" si="72"/>
        <v>174.46</v>
      </c>
      <c r="CL305" s="27" t="s">
        <v>139</v>
      </c>
      <c r="CM305" s="27" t="s">
        <v>136</v>
      </c>
      <c r="CN305" s="14"/>
      <c r="CO305" s="14"/>
      <c r="CP305" s="260"/>
      <c r="CQ305" s="260"/>
      <c r="CR305" s="260"/>
      <c r="CS305" s="260"/>
      <c r="CT305" s="260"/>
      <c r="CU305" s="260"/>
    </row>
    <row r="306" spans="1:99" s="261" customFormat="1" x14ac:dyDescent="0.25">
      <c r="A306" s="239">
        <v>41699</v>
      </c>
      <c r="B306" s="239"/>
      <c r="C306" s="212" t="s">
        <v>1421</v>
      </c>
      <c r="D306" s="212" t="s">
        <v>105</v>
      </c>
      <c r="E306" s="257" t="s">
        <v>1354</v>
      </c>
      <c r="F306" s="231" t="s">
        <v>1422</v>
      </c>
      <c r="G306" s="231"/>
      <c r="H306" s="231"/>
      <c r="I306" s="231"/>
      <c r="J306" s="222" t="s">
        <v>129</v>
      </c>
      <c r="K306" s="235">
        <v>2048300018</v>
      </c>
      <c r="L306" s="162"/>
      <c r="M306" s="25"/>
      <c r="N306" s="25"/>
      <c r="O306" s="26"/>
      <c r="P306" s="222"/>
      <c r="Q306" s="222"/>
      <c r="R306" s="222"/>
      <c r="S306" s="222"/>
      <c r="T306" s="222"/>
      <c r="U306" s="222"/>
      <c r="V306" s="222"/>
      <c r="W306" s="222"/>
      <c r="X306" s="222"/>
      <c r="Y306" s="222"/>
      <c r="Z306" s="222"/>
      <c r="AA306" s="222"/>
      <c r="AB306" s="222"/>
      <c r="AC306" s="222"/>
      <c r="AD306" s="222"/>
      <c r="AE306" s="222"/>
      <c r="AF306" s="222"/>
      <c r="AG306" s="222"/>
      <c r="AH306" s="222"/>
      <c r="AI306" s="222"/>
      <c r="AJ306" s="222"/>
      <c r="AK306" s="222"/>
      <c r="AL306" s="222"/>
      <c r="AM306" s="222"/>
      <c r="AN306" s="255"/>
      <c r="AO306" s="255"/>
      <c r="AP306" s="25"/>
      <c r="AQ306" s="255"/>
      <c r="AR306" s="256"/>
      <c r="AS306" s="255"/>
      <c r="AT306" s="256"/>
      <c r="AU306" s="211"/>
      <c r="AV306" s="119" t="s">
        <v>1423</v>
      </c>
      <c r="AW306" s="25" t="s">
        <v>1424</v>
      </c>
      <c r="AX306" s="211"/>
      <c r="AY306" s="211"/>
      <c r="AZ306" s="211"/>
      <c r="BA306" s="25" t="s">
        <v>1425</v>
      </c>
      <c r="BB306" s="211"/>
      <c r="BC306" s="211"/>
      <c r="BD306" s="222">
        <v>9357</v>
      </c>
      <c r="BE306" s="211" t="s">
        <v>1426</v>
      </c>
      <c r="BF306" s="25" t="s">
        <v>1421</v>
      </c>
      <c r="BG306" s="211" t="s">
        <v>1427</v>
      </c>
      <c r="BH306" s="211"/>
      <c r="BI306" s="211" t="s">
        <v>1428</v>
      </c>
      <c r="BJ306" s="211" t="s">
        <v>1429</v>
      </c>
      <c r="BK306" s="118">
        <v>28.49</v>
      </c>
      <c r="BL306" s="243" t="s">
        <v>1430</v>
      </c>
      <c r="BM306" s="243" t="s">
        <v>1431</v>
      </c>
      <c r="BN306" s="243"/>
      <c r="BO306" s="243"/>
      <c r="BP306" s="243"/>
      <c r="BQ306" s="243"/>
      <c r="BR306" s="243"/>
      <c r="BS306" s="243"/>
      <c r="BT306" s="599" t="s">
        <v>875</v>
      </c>
      <c r="BU306" s="603"/>
      <c r="BV306" s="603"/>
      <c r="BW306" s="603"/>
      <c r="BX306" s="603"/>
      <c r="BY306" s="220">
        <v>22.12</v>
      </c>
      <c r="BZ306" s="220">
        <v>12.62</v>
      </c>
      <c r="CA306" s="220">
        <v>12.87</v>
      </c>
      <c r="CB306" s="91">
        <f t="shared" si="70"/>
        <v>2.0791187083333331</v>
      </c>
      <c r="CC306" s="220">
        <v>5.86</v>
      </c>
      <c r="CD306" s="302"/>
      <c r="CE306" s="302"/>
      <c r="CF306" s="211" t="s">
        <v>134</v>
      </c>
      <c r="CG306" s="212">
        <v>6</v>
      </c>
      <c r="CH306" s="212">
        <v>6</v>
      </c>
      <c r="CI306" s="212">
        <v>3</v>
      </c>
      <c r="CJ306" s="27">
        <f t="shared" si="71"/>
        <v>108</v>
      </c>
      <c r="CK306" s="27">
        <f t="shared" si="72"/>
        <v>155.48000000000002</v>
      </c>
      <c r="CL306" s="27" t="s">
        <v>139</v>
      </c>
      <c r="CM306" s="27" t="s">
        <v>136</v>
      </c>
      <c r="CN306" s="14"/>
      <c r="CO306" s="14"/>
      <c r="CP306" s="260"/>
      <c r="CQ306" s="260"/>
      <c r="CR306" s="260"/>
      <c r="CS306" s="260"/>
      <c r="CT306" s="260"/>
      <c r="CU306" s="260"/>
    </row>
    <row r="307" spans="1:99" s="261" customFormat="1" x14ac:dyDescent="0.25">
      <c r="A307" s="239">
        <v>41699</v>
      </c>
      <c r="B307" s="239"/>
      <c r="C307" s="212" t="s">
        <v>1432</v>
      </c>
      <c r="D307" s="211" t="s">
        <v>105</v>
      </c>
      <c r="E307" s="257" t="s">
        <v>1354</v>
      </c>
      <c r="F307" s="231" t="s">
        <v>1433</v>
      </c>
      <c r="G307" s="231"/>
      <c r="H307" s="231"/>
      <c r="I307" s="231"/>
      <c r="J307" s="222" t="s">
        <v>269</v>
      </c>
      <c r="K307" s="235" t="s">
        <v>1434</v>
      </c>
      <c r="L307" s="222" t="s">
        <v>269</v>
      </c>
      <c r="M307" s="25" t="s">
        <v>1435</v>
      </c>
      <c r="N307" s="25"/>
      <c r="O307" s="26"/>
      <c r="P307" s="222"/>
      <c r="Q307" s="222"/>
      <c r="R307" s="222"/>
      <c r="S307" s="222"/>
      <c r="T307" s="222"/>
      <c r="U307" s="222"/>
      <c r="V307" s="222"/>
      <c r="W307" s="222"/>
      <c r="X307" s="222"/>
      <c r="Y307" s="222"/>
      <c r="Z307" s="222"/>
      <c r="AA307" s="222"/>
      <c r="AB307" s="222"/>
      <c r="AC307" s="222"/>
      <c r="AD307" s="222"/>
      <c r="AE307" s="222"/>
      <c r="AF307" s="222"/>
      <c r="AG307" s="222"/>
      <c r="AH307" s="222"/>
      <c r="AI307" s="222"/>
      <c r="AJ307" s="222"/>
      <c r="AK307" s="222"/>
      <c r="AL307" s="222"/>
      <c r="AM307" s="222"/>
      <c r="AN307" s="255"/>
      <c r="AO307" s="255"/>
      <c r="AP307" s="25">
        <v>89300</v>
      </c>
      <c r="AQ307" s="255"/>
      <c r="AR307" s="256"/>
      <c r="AS307" s="255"/>
      <c r="AT307" s="256"/>
      <c r="AU307" s="231" t="s">
        <v>1436</v>
      </c>
      <c r="AV307" s="211"/>
      <c r="AW307" s="211"/>
      <c r="AX307" s="211"/>
      <c r="AY307" s="211"/>
      <c r="AZ307" s="211"/>
      <c r="BA307" s="211"/>
      <c r="BB307" s="211"/>
      <c r="BC307" s="211"/>
      <c r="BD307" s="222">
        <v>4300</v>
      </c>
      <c r="BE307" s="211" t="s">
        <v>1437</v>
      </c>
      <c r="BF307" s="25" t="s">
        <v>1432</v>
      </c>
      <c r="BG307" s="211" t="s">
        <v>1437</v>
      </c>
      <c r="BH307" s="211"/>
      <c r="BI307" s="211" t="s">
        <v>1438</v>
      </c>
      <c r="BJ307" s="211" t="s">
        <v>1439</v>
      </c>
      <c r="BK307" s="118">
        <v>25.57</v>
      </c>
      <c r="BL307" s="243" t="s">
        <v>1440</v>
      </c>
      <c r="BM307" s="243" t="s">
        <v>1441</v>
      </c>
      <c r="BN307" s="243"/>
      <c r="BO307" s="243"/>
      <c r="BP307" s="243"/>
      <c r="BQ307" s="243"/>
      <c r="BR307" s="243"/>
      <c r="BS307" s="243"/>
      <c r="BT307" s="599" t="s">
        <v>875</v>
      </c>
      <c r="BU307" s="603"/>
      <c r="BV307" s="603"/>
      <c r="BW307" s="603"/>
      <c r="BX307" s="603"/>
      <c r="BY307" s="220">
        <v>12</v>
      </c>
      <c r="BZ307" s="220">
        <v>10.37</v>
      </c>
      <c r="CA307" s="220">
        <v>10.62</v>
      </c>
      <c r="CB307" s="91">
        <f t="shared" si="70"/>
        <v>0.76478749999999995</v>
      </c>
      <c r="CC307" s="220">
        <v>1.9</v>
      </c>
      <c r="CD307" s="302"/>
      <c r="CE307" s="302"/>
      <c r="CF307" s="211" t="s">
        <v>134</v>
      </c>
      <c r="CG307" s="212">
        <v>6</v>
      </c>
      <c r="CH307" s="212">
        <v>12</v>
      </c>
      <c r="CI307" s="212">
        <v>4</v>
      </c>
      <c r="CJ307" s="27">
        <f t="shared" si="71"/>
        <v>288</v>
      </c>
      <c r="CK307" s="27">
        <f t="shared" si="72"/>
        <v>141.19999999999999</v>
      </c>
      <c r="CL307" s="27" t="s">
        <v>139</v>
      </c>
      <c r="CM307" s="27" t="s">
        <v>136</v>
      </c>
      <c r="CN307" s="14"/>
      <c r="CO307" s="14"/>
      <c r="CP307" s="260"/>
      <c r="CQ307" s="260"/>
      <c r="CR307" s="260"/>
      <c r="CS307" s="260"/>
      <c r="CT307" s="260"/>
      <c r="CU307" s="260"/>
    </row>
    <row r="308" spans="1:99" s="261" customFormat="1" x14ac:dyDescent="0.25">
      <c r="A308" s="239">
        <v>41699</v>
      </c>
      <c r="B308" s="239"/>
      <c r="C308" s="212" t="s">
        <v>1442</v>
      </c>
      <c r="D308" s="212" t="s">
        <v>105</v>
      </c>
      <c r="E308" s="257" t="s">
        <v>1354</v>
      </c>
      <c r="F308" s="231" t="s">
        <v>1443</v>
      </c>
      <c r="G308" s="231"/>
      <c r="H308" s="231"/>
      <c r="I308" s="231"/>
      <c r="J308" s="222" t="s">
        <v>124</v>
      </c>
      <c r="K308" s="235">
        <v>64316945586</v>
      </c>
      <c r="L308" s="162"/>
      <c r="M308" s="25"/>
      <c r="N308" s="25"/>
      <c r="O308" s="26"/>
      <c r="P308" s="222"/>
      <c r="Q308" s="222"/>
      <c r="R308" s="222"/>
      <c r="S308" s="222"/>
      <c r="T308" s="222"/>
      <c r="U308" s="222"/>
      <c r="V308" s="222"/>
      <c r="W308" s="222"/>
      <c r="X308" s="222"/>
      <c r="Y308" s="222"/>
      <c r="Z308" s="222"/>
      <c r="AA308" s="222"/>
      <c r="AB308" s="222"/>
      <c r="AC308" s="222"/>
      <c r="AD308" s="222"/>
      <c r="AE308" s="222"/>
      <c r="AF308" s="222"/>
      <c r="AG308" s="222"/>
      <c r="AH308" s="222"/>
      <c r="AI308" s="222"/>
      <c r="AJ308" s="222"/>
      <c r="AK308" s="222"/>
      <c r="AL308" s="222"/>
      <c r="AM308" s="222"/>
      <c r="AN308" s="255"/>
      <c r="AO308" s="255"/>
      <c r="AP308" s="25">
        <v>83585</v>
      </c>
      <c r="AQ308" s="255"/>
      <c r="AR308" s="256"/>
      <c r="AS308" s="255"/>
      <c r="AT308" s="256"/>
      <c r="AU308" s="211"/>
      <c r="AV308" s="119" t="s">
        <v>1444</v>
      </c>
      <c r="AW308" s="25" t="s">
        <v>1445</v>
      </c>
      <c r="AX308" s="211"/>
      <c r="AY308" s="211"/>
      <c r="AZ308" s="211"/>
      <c r="BA308" s="25" t="s">
        <v>1446</v>
      </c>
      <c r="BB308" s="211"/>
      <c r="BC308" s="211"/>
      <c r="BD308" s="25" t="s">
        <v>1447</v>
      </c>
      <c r="BE308" s="211" t="s">
        <v>1448</v>
      </c>
      <c r="BF308" s="211"/>
      <c r="BG308" s="211"/>
      <c r="BH308" s="211"/>
      <c r="BI308" s="211"/>
      <c r="BJ308" s="211" t="s">
        <v>1449</v>
      </c>
      <c r="BK308" s="118">
        <v>72.489999999999995</v>
      </c>
      <c r="BL308" s="243" t="s">
        <v>1450</v>
      </c>
      <c r="BM308" s="243" t="s">
        <v>1451</v>
      </c>
      <c r="BN308" s="243"/>
      <c r="BO308" s="243"/>
      <c r="BP308" s="243"/>
      <c r="BQ308" s="243"/>
      <c r="BR308" s="243"/>
      <c r="BS308" s="243"/>
      <c r="BT308" s="599" t="s">
        <v>875</v>
      </c>
      <c r="BU308" s="603"/>
      <c r="BV308" s="603"/>
      <c r="BW308" s="603"/>
      <c r="BX308" s="603"/>
      <c r="BY308" s="220">
        <v>16.37</v>
      </c>
      <c r="BZ308" s="220">
        <v>12.5</v>
      </c>
      <c r="CA308" s="220">
        <v>12.75</v>
      </c>
      <c r="CB308" s="91">
        <f t="shared" si="70"/>
        <v>1.5098198784722223</v>
      </c>
      <c r="CC308" s="220">
        <v>6.58</v>
      </c>
      <c r="CD308" s="302"/>
      <c r="CE308" s="302"/>
      <c r="CF308" s="211" t="s">
        <v>134</v>
      </c>
      <c r="CG308" s="212">
        <v>6</v>
      </c>
      <c r="CH308" s="212">
        <v>8</v>
      </c>
      <c r="CI308" s="212">
        <v>3</v>
      </c>
      <c r="CJ308" s="27">
        <f t="shared" si="71"/>
        <v>144</v>
      </c>
      <c r="CK308" s="27">
        <f t="shared" si="72"/>
        <v>207.92000000000002</v>
      </c>
      <c r="CL308" s="27" t="s">
        <v>139</v>
      </c>
      <c r="CM308" s="27" t="s">
        <v>136</v>
      </c>
      <c r="CN308" s="14"/>
      <c r="CO308" s="14"/>
      <c r="CP308" s="260"/>
      <c r="CQ308" s="260"/>
      <c r="CR308" s="260"/>
      <c r="CS308" s="260"/>
      <c r="CT308" s="260"/>
      <c r="CU308" s="260"/>
    </row>
    <row r="309" spans="1:99" s="261" customFormat="1" ht="30" x14ac:dyDescent="0.25">
      <c r="A309" s="239">
        <v>41699</v>
      </c>
      <c r="B309" s="239"/>
      <c r="C309" s="212" t="s">
        <v>1452</v>
      </c>
      <c r="D309" s="212" t="s">
        <v>105</v>
      </c>
      <c r="E309" s="257" t="s">
        <v>1231</v>
      </c>
      <c r="F309" s="231" t="s">
        <v>1453</v>
      </c>
      <c r="G309" s="231"/>
      <c r="H309" s="231"/>
      <c r="I309" s="231"/>
      <c r="J309" s="222" t="s">
        <v>129</v>
      </c>
      <c r="K309" s="235" t="s">
        <v>1454</v>
      </c>
      <c r="L309" s="162"/>
      <c r="M309" s="25"/>
      <c r="N309" s="25"/>
      <c r="O309" s="26"/>
      <c r="P309" s="222"/>
      <c r="Q309" s="222"/>
      <c r="R309" s="222"/>
      <c r="S309" s="222"/>
      <c r="T309" s="222"/>
      <c r="U309" s="222"/>
      <c r="V309" s="222"/>
      <c r="W309" s="222"/>
      <c r="X309" s="222"/>
      <c r="Y309" s="222"/>
      <c r="Z309" s="222"/>
      <c r="AA309" s="222"/>
      <c r="AB309" s="222"/>
      <c r="AC309" s="222"/>
      <c r="AD309" s="222"/>
      <c r="AE309" s="222"/>
      <c r="AF309" s="222"/>
      <c r="AG309" s="222"/>
      <c r="AH309" s="222"/>
      <c r="AI309" s="222"/>
      <c r="AJ309" s="222"/>
      <c r="AK309" s="222"/>
      <c r="AL309" s="222"/>
      <c r="AM309" s="222"/>
      <c r="AN309" s="255"/>
      <c r="AO309" s="255"/>
      <c r="AP309" s="25"/>
      <c r="AQ309" s="255"/>
      <c r="AR309" s="256"/>
      <c r="AS309" s="255"/>
      <c r="AT309" s="256"/>
      <c r="AU309" s="231" t="s">
        <v>1455</v>
      </c>
      <c r="AV309" s="211"/>
      <c r="AW309" s="211" t="s">
        <v>1456</v>
      </c>
      <c r="AX309" s="211"/>
      <c r="AY309" s="211"/>
      <c r="AZ309" s="211"/>
      <c r="BA309" s="211" t="s">
        <v>1457</v>
      </c>
      <c r="BB309" s="211"/>
      <c r="BC309" s="211"/>
      <c r="BD309" s="222"/>
      <c r="BE309" s="211" t="s">
        <v>1458</v>
      </c>
      <c r="BF309" s="211"/>
      <c r="BG309" s="211" t="s">
        <v>1459</v>
      </c>
      <c r="BH309" s="211"/>
      <c r="BI309" s="211" t="s">
        <v>1460</v>
      </c>
      <c r="BJ309" s="211"/>
      <c r="BK309" s="118">
        <v>34.69</v>
      </c>
      <c r="BL309" s="243" t="s">
        <v>1461</v>
      </c>
      <c r="BM309" s="243" t="s">
        <v>1462</v>
      </c>
      <c r="BN309" s="243"/>
      <c r="BO309" s="243"/>
      <c r="BP309" s="243"/>
      <c r="BQ309" s="243"/>
      <c r="BR309" s="243"/>
      <c r="BS309" s="243"/>
      <c r="BT309" s="220">
        <v>2.9060000000000001</v>
      </c>
      <c r="BU309" s="220">
        <v>2.9060000000000001</v>
      </c>
      <c r="BV309" s="220">
        <v>6.6920000000000002</v>
      </c>
      <c r="BW309" s="91">
        <f>(BV309*BU309*BT309)/1728</f>
        <v>3.2704191268518527E-2</v>
      </c>
      <c r="BX309" s="220">
        <v>0.6</v>
      </c>
      <c r="BY309" s="220">
        <v>9.3800000000000008</v>
      </c>
      <c r="BZ309" s="220">
        <v>6.5</v>
      </c>
      <c r="CA309" s="220">
        <v>7.38</v>
      </c>
      <c r="CB309" s="91">
        <f t="shared" si="70"/>
        <v>0.26039270833333333</v>
      </c>
      <c r="CC309" s="220">
        <f>BX309*CG309+0.25</f>
        <v>3.8499999999999996</v>
      </c>
      <c r="CD309" s="302"/>
      <c r="CE309" s="302"/>
      <c r="CF309" s="211" t="s">
        <v>134</v>
      </c>
      <c r="CG309" s="212">
        <v>6</v>
      </c>
      <c r="CH309" s="212">
        <v>30</v>
      </c>
      <c r="CI309" s="212">
        <v>6</v>
      </c>
      <c r="CJ309" s="27">
        <f t="shared" si="71"/>
        <v>1080</v>
      </c>
      <c r="CK309" s="27">
        <f t="shared" si="72"/>
        <v>742.99999999999989</v>
      </c>
      <c r="CL309" s="27" t="s">
        <v>321</v>
      </c>
      <c r="CM309" s="27" t="s">
        <v>136</v>
      </c>
      <c r="CN309" s="14"/>
      <c r="CO309" s="14"/>
      <c r="CP309" s="260"/>
      <c r="CQ309" s="260"/>
      <c r="CR309" s="260"/>
      <c r="CS309" s="260"/>
      <c r="CT309" s="260"/>
      <c r="CU309" s="260"/>
    </row>
    <row r="310" spans="1:99" s="261" customFormat="1" x14ac:dyDescent="0.25">
      <c r="A310" s="239">
        <v>41699</v>
      </c>
      <c r="B310" s="239"/>
      <c r="C310" s="211" t="s">
        <v>1463</v>
      </c>
      <c r="D310" s="212" t="s">
        <v>105</v>
      </c>
      <c r="E310" s="257" t="s">
        <v>1257</v>
      </c>
      <c r="F310" s="235" t="s">
        <v>1464</v>
      </c>
      <c r="G310" s="235"/>
      <c r="H310" s="235"/>
      <c r="I310" s="235"/>
      <c r="J310" s="222" t="s">
        <v>235</v>
      </c>
      <c r="K310" s="211" t="s">
        <v>1465</v>
      </c>
      <c r="L310" s="162"/>
      <c r="M310" s="25"/>
      <c r="N310" s="25"/>
      <c r="O310" s="26"/>
      <c r="P310" s="222"/>
      <c r="Q310" s="222"/>
      <c r="R310" s="222"/>
      <c r="S310" s="222"/>
      <c r="T310" s="222"/>
      <c r="U310" s="222"/>
      <c r="V310" s="222"/>
      <c r="W310" s="222"/>
      <c r="X310" s="222"/>
      <c r="Y310" s="222"/>
      <c r="Z310" s="222"/>
      <c r="AA310" s="222"/>
      <c r="AB310" s="222"/>
      <c r="AC310" s="222"/>
      <c r="AD310" s="222"/>
      <c r="AE310" s="222"/>
      <c r="AF310" s="222"/>
      <c r="AG310" s="222"/>
      <c r="AH310" s="222"/>
      <c r="AI310" s="222"/>
      <c r="AJ310" s="222"/>
      <c r="AK310" s="222"/>
      <c r="AL310" s="222"/>
      <c r="AM310" s="222"/>
      <c r="AN310" s="255"/>
      <c r="AO310" s="255"/>
      <c r="AP310" s="25">
        <v>83390</v>
      </c>
      <c r="AQ310" s="255"/>
      <c r="AR310" s="256"/>
      <c r="AS310" s="255"/>
      <c r="AT310" s="256"/>
      <c r="AU310" s="211" t="s">
        <v>1466</v>
      </c>
      <c r="AV310" s="119" t="s">
        <v>1467</v>
      </c>
      <c r="AW310" s="211"/>
      <c r="AX310" s="211" t="s">
        <v>1468</v>
      </c>
      <c r="AY310" s="211"/>
      <c r="AZ310" s="211"/>
      <c r="BA310" s="211"/>
      <c r="BB310" s="211"/>
      <c r="BC310" s="211"/>
      <c r="BD310" s="222">
        <v>9390</v>
      </c>
      <c r="BE310" s="211" t="s">
        <v>1469</v>
      </c>
      <c r="BF310" s="211"/>
      <c r="BG310" s="211" t="s">
        <v>1470</v>
      </c>
      <c r="BH310" s="211"/>
      <c r="BI310" s="211" t="s">
        <v>1471</v>
      </c>
      <c r="BJ310" s="119" t="s">
        <v>1472</v>
      </c>
      <c r="BK310" s="118">
        <v>33.74</v>
      </c>
      <c r="BL310" s="243" t="s">
        <v>1473</v>
      </c>
      <c r="BM310" s="243" t="s">
        <v>1474</v>
      </c>
      <c r="BN310" s="243"/>
      <c r="BO310" s="243"/>
      <c r="BP310" s="243"/>
      <c r="BQ310" s="243"/>
      <c r="BR310" s="243"/>
      <c r="BS310" s="243"/>
      <c r="BT310" s="220">
        <v>7.7859999999999996</v>
      </c>
      <c r="BU310" s="220">
        <v>2.536</v>
      </c>
      <c r="BV310" s="220">
        <v>9.0719999999999992</v>
      </c>
      <c r="BW310" s="91">
        <f>(BV310*BU310*BT310)/1728</f>
        <v>0.10366280399999998</v>
      </c>
      <c r="BX310" s="93">
        <v>0.46400000000000002</v>
      </c>
      <c r="BY310" s="93">
        <v>9.75</v>
      </c>
      <c r="BZ310" s="93">
        <v>8.18</v>
      </c>
      <c r="CA310" s="93">
        <v>8.5</v>
      </c>
      <c r="CB310" s="91">
        <f t="shared" si="70"/>
        <v>0.39231336805555556</v>
      </c>
      <c r="CC310" s="220">
        <f>BX310*CG310+0.25</f>
        <v>1.6420000000000001</v>
      </c>
      <c r="CD310" s="302"/>
      <c r="CE310" s="302"/>
      <c r="CF310" s="211" t="s">
        <v>134</v>
      </c>
      <c r="CG310" s="212">
        <v>3</v>
      </c>
      <c r="CH310" s="212">
        <v>20</v>
      </c>
      <c r="CI310" s="212">
        <v>5</v>
      </c>
      <c r="CJ310" s="27">
        <f t="shared" si="71"/>
        <v>300</v>
      </c>
      <c r="CK310" s="27">
        <f t="shared" si="72"/>
        <v>214.20000000000002</v>
      </c>
      <c r="CL310" s="27" t="s">
        <v>139</v>
      </c>
      <c r="CM310" s="27" t="s">
        <v>136</v>
      </c>
      <c r="CN310" s="14"/>
      <c r="CO310" s="14"/>
      <c r="CP310" s="260"/>
      <c r="CQ310" s="260"/>
      <c r="CR310" s="260"/>
      <c r="CS310" s="260"/>
      <c r="CT310" s="260"/>
      <c r="CU310" s="260"/>
    </row>
    <row r="311" spans="1:99" s="261" customFormat="1" x14ac:dyDescent="0.25">
      <c r="A311" s="239">
        <v>41699</v>
      </c>
      <c r="B311" s="239"/>
      <c r="C311" s="211" t="s">
        <v>1475</v>
      </c>
      <c r="D311" s="212" t="s">
        <v>105</v>
      </c>
      <c r="E311" s="257" t="s">
        <v>1257</v>
      </c>
      <c r="F311" s="231" t="s">
        <v>1476</v>
      </c>
      <c r="G311" s="231"/>
      <c r="H311" s="231"/>
      <c r="I311" s="231"/>
      <c r="J311" s="222" t="s">
        <v>107</v>
      </c>
      <c r="K311" s="212">
        <v>15909459</v>
      </c>
      <c r="L311" s="222" t="s">
        <v>107</v>
      </c>
      <c r="M311" s="212">
        <v>20774655</v>
      </c>
      <c r="N311" s="162" t="s">
        <v>108</v>
      </c>
      <c r="O311" s="25" t="s">
        <v>1477</v>
      </c>
      <c r="P311" s="222"/>
      <c r="Q311" s="222"/>
      <c r="R311" s="222"/>
      <c r="S311" s="222"/>
      <c r="T311" s="222"/>
      <c r="U311" s="222"/>
      <c r="V311" s="222"/>
      <c r="W311" s="222"/>
      <c r="X311" s="222"/>
      <c r="Y311" s="222"/>
      <c r="Z311" s="222"/>
      <c r="AA311" s="222"/>
      <c r="AB311" s="222"/>
      <c r="AC311" s="222"/>
      <c r="AD311" s="222"/>
      <c r="AE311" s="222"/>
      <c r="AF311" s="222"/>
      <c r="AG311" s="222"/>
      <c r="AH311" s="222"/>
      <c r="AI311" s="222"/>
      <c r="AJ311" s="222"/>
      <c r="AK311" s="222"/>
      <c r="AL311" s="222"/>
      <c r="AM311" s="222"/>
      <c r="AN311" s="255"/>
      <c r="AO311" s="255"/>
      <c r="AP311" s="25">
        <v>83459</v>
      </c>
      <c r="AQ311" s="255"/>
      <c r="AR311" s="256"/>
      <c r="AS311" s="255"/>
      <c r="AT311" s="256"/>
      <c r="AU311" s="212" t="s">
        <v>1478</v>
      </c>
      <c r="AV311" s="212" t="s">
        <v>1479</v>
      </c>
      <c r="AW311" s="212"/>
      <c r="AX311" s="212"/>
      <c r="AY311" s="212"/>
      <c r="AZ311" s="212"/>
      <c r="BA311" s="212"/>
      <c r="BB311" s="212"/>
      <c r="BC311" s="212"/>
      <c r="BD311" s="222">
        <v>9459</v>
      </c>
      <c r="BE311" s="212" t="s">
        <v>1480</v>
      </c>
      <c r="BF311" s="212" t="s">
        <v>1481</v>
      </c>
      <c r="BG311" s="212" t="s">
        <v>1482</v>
      </c>
      <c r="BH311" s="212"/>
      <c r="BI311" s="212" t="s">
        <v>1483</v>
      </c>
      <c r="BJ311" s="212">
        <v>49459</v>
      </c>
      <c r="BK311" s="118">
        <v>54.95</v>
      </c>
      <c r="BL311" s="243" t="s">
        <v>1484</v>
      </c>
      <c r="BM311" s="243" t="s">
        <v>1485</v>
      </c>
      <c r="BN311" s="243"/>
      <c r="BO311" s="243"/>
      <c r="BP311" s="243"/>
      <c r="BQ311" s="243"/>
      <c r="BR311" s="243"/>
      <c r="BS311" s="243"/>
      <c r="BT311" s="220">
        <v>4.6559999999999997</v>
      </c>
      <c r="BU311" s="220">
        <v>4.6559999999999997</v>
      </c>
      <c r="BV311" s="220">
        <v>8.8219999999999992</v>
      </c>
      <c r="BW311" s="91">
        <f>(BV311*BU311*BT311)/1728</f>
        <v>0.11067493066666663</v>
      </c>
      <c r="BX311" s="93">
        <v>1.6</v>
      </c>
      <c r="BY311" s="93">
        <v>15.305999999999999</v>
      </c>
      <c r="BZ311" s="93">
        <v>9.3059999999999992</v>
      </c>
      <c r="CA311" s="93">
        <v>5.7320000000000002</v>
      </c>
      <c r="CB311" s="91">
        <f t="shared" si="70"/>
        <v>0.47248410274999991</v>
      </c>
      <c r="CC311" s="93">
        <f>BX311*CG311+0.25</f>
        <v>5.0500000000000007</v>
      </c>
      <c r="CD311" s="301"/>
      <c r="CE311" s="301"/>
      <c r="CF311" s="211" t="s">
        <v>134</v>
      </c>
      <c r="CG311" s="212">
        <v>3</v>
      </c>
      <c r="CH311" s="212">
        <v>13</v>
      </c>
      <c r="CI311" s="212">
        <v>8</v>
      </c>
      <c r="CJ311" s="27">
        <f t="shared" si="71"/>
        <v>312</v>
      </c>
      <c r="CK311" s="27">
        <f t="shared" si="72"/>
        <v>575.20000000000005</v>
      </c>
      <c r="CL311" s="27" t="s">
        <v>256</v>
      </c>
      <c r="CM311" s="27" t="s">
        <v>136</v>
      </c>
      <c r="CN311" s="14"/>
      <c r="CO311" s="14"/>
      <c r="CP311" s="260"/>
      <c r="CQ311" s="260"/>
      <c r="CR311" s="260"/>
      <c r="CS311" s="260"/>
      <c r="CT311" s="260"/>
      <c r="CU311" s="260"/>
    </row>
    <row r="312" spans="1:99" s="261" customFormat="1" ht="30" customHeight="1" x14ac:dyDescent="0.25">
      <c r="A312" s="239">
        <v>41699</v>
      </c>
      <c r="B312" s="239"/>
      <c r="C312" s="211" t="s">
        <v>1486</v>
      </c>
      <c r="D312" s="212" t="s">
        <v>54</v>
      </c>
      <c r="E312" s="257" t="s">
        <v>1257</v>
      </c>
      <c r="F312" s="235" t="s">
        <v>1487</v>
      </c>
      <c r="G312" s="235"/>
      <c r="H312" s="235"/>
      <c r="I312" s="235"/>
      <c r="J312" s="212" t="s">
        <v>90</v>
      </c>
      <c r="K312" s="212" t="s">
        <v>1488</v>
      </c>
      <c r="L312" s="162" t="s">
        <v>1489</v>
      </c>
      <c r="M312" s="25" t="s">
        <v>1490</v>
      </c>
      <c r="N312" s="25" t="s">
        <v>47</v>
      </c>
      <c r="O312" s="26" t="s">
        <v>1491</v>
      </c>
      <c r="P312" s="222"/>
      <c r="Q312" s="222"/>
      <c r="R312" s="222"/>
      <c r="S312" s="222"/>
      <c r="T312" s="222"/>
      <c r="U312" s="222"/>
      <c r="V312" s="222"/>
      <c r="W312" s="222"/>
      <c r="X312" s="222"/>
      <c r="Y312" s="222"/>
      <c r="Z312" s="222"/>
      <c r="AA312" s="222"/>
      <c r="AB312" s="222"/>
      <c r="AC312" s="222"/>
      <c r="AD312" s="222"/>
      <c r="AE312" s="222"/>
      <c r="AF312" s="222"/>
      <c r="AG312" s="222"/>
      <c r="AH312" s="222"/>
      <c r="AI312" s="222"/>
      <c r="AJ312" s="222"/>
      <c r="AK312" s="222"/>
      <c r="AL312" s="222"/>
      <c r="AM312" s="222"/>
      <c r="AN312" s="255"/>
      <c r="AO312" s="255"/>
      <c r="AP312" s="25"/>
      <c r="AQ312" s="255"/>
      <c r="AR312" s="256"/>
      <c r="AS312" s="255"/>
      <c r="AT312" s="256"/>
      <c r="AU312" s="212"/>
      <c r="AV312" s="212"/>
      <c r="AW312" s="212"/>
      <c r="AX312" s="212"/>
      <c r="AY312" s="212"/>
      <c r="AZ312" s="212"/>
      <c r="BA312" s="212"/>
      <c r="BB312" s="212"/>
      <c r="BC312" s="212"/>
      <c r="BD312" s="222"/>
      <c r="BE312" s="212"/>
      <c r="BF312" s="212"/>
      <c r="BG312" s="212" t="s">
        <v>1492</v>
      </c>
      <c r="BH312" s="212"/>
      <c r="BI312" s="212" t="s">
        <v>1492</v>
      </c>
      <c r="BJ312" s="212"/>
      <c r="BK312" s="118">
        <v>26.63</v>
      </c>
      <c r="BL312" s="243" t="s">
        <v>1493</v>
      </c>
      <c r="BM312" s="243" t="s">
        <v>1494</v>
      </c>
      <c r="BN312" s="243"/>
      <c r="BO312" s="243"/>
      <c r="BP312" s="243"/>
      <c r="BQ312" s="243"/>
      <c r="BR312" s="243"/>
      <c r="BS312" s="243"/>
      <c r="BT312" s="220">
        <v>6.7859999999999996</v>
      </c>
      <c r="BU312" s="220">
        <v>4.9059999999999997</v>
      </c>
      <c r="BV312" s="220">
        <v>8.5719999999999992</v>
      </c>
      <c r="BW312" s="91">
        <f>(BV312*BU312*BT312)/1728</f>
        <v>0.16515047358333329</v>
      </c>
      <c r="BX312" s="93">
        <v>0.2</v>
      </c>
      <c r="BY312" s="93">
        <v>15.38</v>
      </c>
      <c r="BZ312" s="93">
        <v>7.25</v>
      </c>
      <c r="CA312" s="93">
        <v>9.1199999999999992</v>
      </c>
      <c r="CB312" s="91">
        <f t="shared" si="70"/>
        <v>0.58849861111111101</v>
      </c>
      <c r="CC312" s="93">
        <f>BX312*CG312+0.25</f>
        <v>0.85000000000000009</v>
      </c>
      <c r="CD312" s="301"/>
      <c r="CE312" s="301"/>
      <c r="CF312" s="211" t="s">
        <v>134</v>
      </c>
      <c r="CG312" s="212">
        <v>3</v>
      </c>
      <c r="CH312" s="212">
        <v>15</v>
      </c>
      <c r="CI312" s="212">
        <v>4</v>
      </c>
      <c r="CJ312" s="27">
        <f t="shared" si="71"/>
        <v>180</v>
      </c>
      <c r="CK312" s="27">
        <f t="shared" si="72"/>
        <v>101</v>
      </c>
      <c r="CL312" s="27" t="s">
        <v>256</v>
      </c>
      <c r="CM312" s="27" t="s">
        <v>136</v>
      </c>
      <c r="CN312" s="14"/>
      <c r="CO312" s="14"/>
      <c r="CP312" s="260"/>
      <c r="CQ312" s="260"/>
      <c r="CR312" s="260"/>
      <c r="CS312" s="260"/>
      <c r="CT312" s="260"/>
      <c r="CU312" s="260"/>
    </row>
    <row r="313" spans="1:99" s="261" customFormat="1" ht="30" x14ac:dyDescent="0.25">
      <c r="A313" s="239">
        <v>41699</v>
      </c>
      <c r="B313" s="239"/>
      <c r="C313" s="211" t="s">
        <v>1495</v>
      </c>
      <c r="D313" s="212" t="s">
        <v>105</v>
      </c>
      <c r="E313" s="257" t="s">
        <v>1354</v>
      </c>
      <c r="F313" s="251" t="s">
        <v>1496</v>
      </c>
      <c r="G313" s="251"/>
      <c r="H313" s="251"/>
      <c r="I313" s="251"/>
      <c r="J313" s="223" t="s">
        <v>333</v>
      </c>
      <c r="K313" s="31" t="s">
        <v>1497</v>
      </c>
      <c r="L313" s="223" t="s">
        <v>333</v>
      </c>
      <c r="M313" s="25" t="s">
        <v>1498</v>
      </c>
      <c r="N313" s="25"/>
      <c r="O313" s="26"/>
      <c r="P313" s="222"/>
      <c r="Q313" s="222"/>
      <c r="R313" s="222"/>
      <c r="S313" s="222"/>
      <c r="T313" s="222"/>
      <c r="U313" s="222"/>
      <c r="V313" s="222"/>
      <c r="W313" s="222"/>
      <c r="X313" s="222"/>
      <c r="Y313" s="222"/>
      <c r="Z313" s="222"/>
      <c r="AA313" s="222"/>
      <c r="AB313" s="222"/>
      <c r="AC313" s="222"/>
      <c r="AD313" s="222"/>
      <c r="AE313" s="222"/>
      <c r="AF313" s="222"/>
      <c r="AG313" s="222"/>
      <c r="AH313" s="222"/>
      <c r="AI313" s="222"/>
      <c r="AJ313" s="222"/>
      <c r="AK313" s="222"/>
      <c r="AL313" s="222"/>
      <c r="AM313" s="222"/>
      <c r="AN313" s="255"/>
      <c r="AO313" s="255"/>
      <c r="AP313" s="25">
        <v>83093</v>
      </c>
      <c r="AQ313" s="255"/>
      <c r="AR313" s="256"/>
      <c r="AS313" s="255"/>
      <c r="AT313" s="256"/>
      <c r="AU313" s="211" t="s">
        <v>1499</v>
      </c>
      <c r="AV313" s="119" t="s">
        <v>1500</v>
      </c>
      <c r="AW313" s="211"/>
      <c r="AX313" s="211"/>
      <c r="AY313" s="211"/>
      <c r="AZ313" s="211"/>
      <c r="BA313" s="211" t="s">
        <v>1501</v>
      </c>
      <c r="BB313" s="211"/>
      <c r="BC313" s="211"/>
      <c r="BD313" s="222">
        <v>9093</v>
      </c>
      <c r="BE313" s="211" t="s">
        <v>1502</v>
      </c>
      <c r="BF313" s="211" t="s">
        <v>1495</v>
      </c>
      <c r="BG313" s="211" t="s">
        <v>1502</v>
      </c>
      <c r="BH313" s="211"/>
      <c r="BI313" s="211" t="s">
        <v>1503</v>
      </c>
      <c r="BJ313" s="211" t="s">
        <v>1504</v>
      </c>
      <c r="BK313" s="118">
        <v>27.57</v>
      </c>
      <c r="BL313" s="243" t="s">
        <v>1505</v>
      </c>
      <c r="BM313" s="243" t="s">
        <v>1506</v>
      </c>
      <c r="BN313" s="243"/>
      <c r="BO313" s="243"/>
      <c r="BP313" s="243"/>
      <c r="BQ313" s="243"/>
      <c r="BR313" s="243"/>
      <c r="BS313" s="243"/>
      <c r="BT313" s="599" t="s">
        <v>875</v>
      </c>
      <c r="BU313" s="603"/>
      <c r="BV313" s="603"/>
      <c r="BW313" s="603"/>
      <c r="BX313" s="603"/>
      <c r="BY313" s="93">
        <v>4.12</v>
      </c>
      <c r="BZ313" s="93">
        <v>6.25</v>
      </c>
      <c r="CA313" s="93">
        <v>9.25</v>
      </c>
      <c r="CB313" s="91">
        <f t="shared" si="70"/>
        <v>0.13783998842592593</v>
      </c>
      <c r="CC313" s="93">
        <v>1.6300000000000001</v>
      </c>
      <c r="CD313" s="301"/>
      <c r="CE313" s="301"/>
      <c r="CF313" s="211" t="s">
        <v>134</v>
      </c>
      <c r="CG313" s="212">
        <v>6</v>
      </c>
      <c r="CH313" s="212">
        <v>30</v>
      </c>
      <c r="CI313" s="212">
        <v>10</v>
      </c>
      <c r="CJ313" s="27">
        <f t="shared" si="71"/>
        <v>1800</v>
      </c>
      <c r="CK313" s="27">
        <f t="shared" si="72"/>
        <v>539</v>
      </c>
      <c r="CL313" s="27" t="s">
        <v>139</v>
      </c>
      <c r="CM313" s="27" t="s">
        <v>136</v>
      </c>
      <c r="CN313" s="14"/>
      <c r="CO313" s="14"/>
      <c r="CP313" s="260"/>
      <c r="CQ313" s="260"/>
      <c r="CR313" s="260"/>
      <c r="CS313" s="260"/>
      <c r="CT313" s="260"/>
      <c r="CU313" s="260"/>
    </row>
    <row r="314" spans="1:99" s="261" customFormat="1" ht="30" x14ac:dyDescent="0.25">
      <c r="A314" s="239">
        <v>41685</v>
      </c>
      <c r="B314" s="239"/>
      <c r="C314" s="211" t="s">
        <v>1507</v>
      </c>
      <c r="D314" s="211" t="s">
        <v>54</v>
      </c>
      <c r="E314" s="211" t="s">
        <v>1508</v>
      </c>
      <c r="F314" s="262" t="s">
        <v>1509</v>
      </c>
      <c r="G314" s="403"/>
      <c r="H314" s="403"/>
      <c r="I314" s="403"/>
      <c r="J314" s="179" t="s">
        <v>350</v>
      </c>
      <c r="K314" s="179" t="s">
        <v>1510</v>
      </c>
      <c r="L314" s="25" t="s">
        <v>1511</v>
      </c>
      <c r="M314" s="25" t="s">
        <v>1512</v>
      </c>
      <c r="N314" s="25"/>
      <c r="O314" s="26"/>
      <c r="P314" s="236"/>
      <c r="Q314" s="236"/>
      <c r="R314" s="222"/>
      <c r="S314" s="222"/>
      <c r="T314" s="222"/>
      <c r="U314" s="222"/>
      <c r="V314" s="222"/>
      <c r="W314" s="222"/>
      <c r="X314" s="222"/>
      <c r="Y314" s="222"/>
      <c r="Z314" s="222"/>
      <c r="AA314" s="222"/>
      <c r="AB314" s="222"/>
      <c r="AC314" s="222"/>
      <c r="AD314" s="222"/>
      <c r="AE314" s="222"/>
      <c r="AF314" s="222"/>
      <c r="AG314" s="222"/>
      <c r="AH314" s="222"/>
      <c r="AI314" s="222"/>
      <c r="AJ314" s="222"/>
      <c r="AK314" s="222"/>
      <c r="AL314" s="222"/>
      <c r="AM314" s="222"/>
      <c r="AN314" s="255" t="s">
        <v>1513</v>
      </c>
      <c r="AO314" s="255"/>
      <c r="AP314" s="25">
        <v>83203</v>
      </c>
      <c r="AQ314" s="255"/>
      <c r="AR314" s="256" t="s">
        <v>1514</v>
      </c>
      <c r="AS314" s="255"/>
      <c r="AT314" s="256" t="s">
        <v>1515</v>
      </c>
      <c r="AU314" s="256"/>
      <c r="AV314" s="255"/>
      <c r="AW314" s="255"/>
      <c r="AX314" s="255"/>
      <c r="AY314" s="255"/>
      <c r="AZ314" s="255"/>
      <c r="BA314" s="222"/>
      <c r="BB314" s="255"/>
      <c r="BC314" s="255"/>
      <c r="BD314" s="255">
        <v>9203</v>
      </c>
      <c r="BE314" s="255"/>
      <c r="BF314" s="255"/>
      <c r="BG314" s="255"/>
      <c r="BH314" s="255"/>
      <c r="BI314" s="255"/>
      <c r="BJ314" s="255" t="s">
        <v>1516</v>
      </c>
      <c r="BK314" s="118">
        <v>84.86</v>
      </c>
      <c r="BL314" s="243" t="s">
        <v>1517</v>
      </c>
      <c r="BM314" s="243" t="s">
        <v>1518</v>
      </c>
      <c r="BN314" s="243"/>
      <c r="BO314" s="243"/>
      <c r="BP314" s="243"/>
      <c r="BQ314" s="243"/>
      <c r="BR314" s="243"/>
      <c r="BS314" s="243"/>
      <c r="BT314" s="598" t="s">
        <v>355</v>
      </c>
      <c r="BU314" s="598"/>
      <c r="BV314" s="598"/>
      <c r="BW314" s="598"/>
      <c r="BX314" s="598"/>
      <c r="BY314" s="93">
        <v>12.680999999999999</v>
      </c>
      <c r="BZ314" s="93">
        <v>12.680999999999999</v>
      </c>
      <c r="CA314" s="93">
        <v>14.362</v>
      </c>
      <c r="CB314" s="91">
        <f t="shared" si="70"/>
        <v>1.3365283932187497</v>
      </c>
      <c r="CC314" s="93">
        <f>0.75+0.4</f>
        <v>1.1499999999999999</v>
      </c>
      <c r="CD314" s="301"/>
      <c r="CE314" s="301"/>
      <c r="CF314" s="211" t="s">
        <v>134</v>
      </c>
      <c r="CG314" s="211">
        <v>1</v>
      </c>
      <c r="CH314" s="211">
        <v>9</v>
      </c>
      <c r="CI314" s="211">
        <v>3</v>
      </c>
      <c r="CJ314" s="27">
        <f t="shared" si="71"/>
        <v>27</v>
      </c>
      <c r="CK314" s="27">
        <f t="shared" si="72"/>
        <v>81.05</v>
      </c>
      <c r="CL314" s="27" t="s">
        <v>256</v>
      </c>
      <c r="CM314" s="27" t="s">
        <v>136</v>
      </c>
      <c r="CN314" s="14"/>
      <c r="CO314" s="14"/>
      <c r="CP314" s="260"/>
      <c r="CQ314" s="260"/>
      <c r="CR314" s="260"/>
      <c r="CS314" s="260"/>
      <c r="CT314" s="260"/>
      <c r="CU314" s="260"/>
    </row>
    <row r="315" spans="1:99" s="261" customFormat="1" ht="15" customHeight="1" x14ac:dyDescent="0.25">
      <c r="A315" s="239">
        <v>41685</v>
      </c>
      <c r="B315" s="239"/>
      <c r="C315" s="211" t="s">
        <v>1519</v>
      </c>
      <c r="D315" s="211" t="s">
        <v>54</v>
      </c>
      <c r="E315" s="211" t="s">
        <v>1520</v>
      </c>
      <c r="F315" s="262" t="s">
        <v>1521</v>
      </c>
      <c r="G315" s="403"/>
      <c r="H315" s="403"/>
      <c r="I315" s="403"/>
      <c r="J315" s="222" t="s">
        <v>48</v>
      </c>
      <c r="K315" s="214" t="s">
        <v>1522</v>
      </c>
      <c r="L315" s="25" t="s">
        <v>1523</v>
      </c>
      <c r="M315" s="25" t="s">
        <v>1524</v>
      </c>
      <c r="N315" s="25" t="s">
        <v>721</v>
      </c>
      <c r="O315" s="26">
        <v>11988962</v>
      </c>
      <c r="P315" s="25" t="s">
        <v>721</v>
      </c>
      <c r="Q315" s="26">
        <v>11708554</v>
      </c>
      <c r="R315" s="222"/>
      <c r="S315" s="222"/>
      <c r="T315" s="222"/>
      <c r="U315" s="222"/>
      <c r="V315" s="222"/>
      <c r="W315" s="222"/>
      <c r="X315" s="222"/>
      <c r="Y315" s="222"/>
      <c r="Z315" s="222"/>
      <c r="AA315" s="222"/>
      <c r="AB315" s="222"/>
      <c r="AC315" s="222"/>
      <c r="AD315" s="222"/>
      <c r="AE315" s="222"/>
      <c r="AF315" s="222"/>
      <c r="AG315" s="222"/>
      <c r="AH315" s="222"/>
      <c r="AI315" s="222"/>
      <c r="AJ315" s="222"/>
      <c r="AK315" s="222"/>
      <c r="AL315" s="222"/>
      <c r="AM315" s="222"/>
      <c r="AN315" s="255" t="s">
        <v>1525</v>
      </c>
      <c r="AO315" s="255"/>
      <c r="AP315" s="25">
        <v>86716</v>
      </c>
      <c r="AQ315" s="255"/>
      <c r="AR315" s="256" t="s">
        <v>1526</v>
      </c>
      <c r="AS315" s="255"/>
      <c r="AT315" s="256" t="s">
        <v>1527</v>
      </c>
      <c r="AU315" s="256"/>
      <c r="AV315" s="255"/>
      <c r="AW315" s="255" t="s">
        <v>1522</v>
      </c>
      <c r="AX315" s="255"/>
      <c r="AY315" s="255"/>
      <c r="AZ315" s="255"/>
      <c r="BA315" s="255" t="s">
        <v>1524</v>
      </c>
      <c r="BB315" s="255"/>
      <c r="BC315" s="255"/>
      <c r="BD315" s="255">
        <v>3716</v>
      </c>
      <c r="BE315" s="255"/>
      <c r="BF315" s="255"/>
      <c r="BG315" s="255"/>
      <c r="BH315" s="255"/>
      <c r="BI315" s="255"/>
      <c r="BJ315" s="255" t="s">
        <v>1528</v>
      </c>
      <c r="BK315" s="118">
        <v>29.34</v>
      </c>
      <c r="BL315" s="243" t="s">
        <v>1529</v>
      </c>
      <c r="BM315" s="243" t="s">
        <v>1530</v>
      </c>
      <c r="BN315" s="243"/>
      <c r="BO315" s="243"/>
      <c r="BP315" s="243"/>
      <c r="BQ315" s="243"/>
      <c r="BR315" s="243"/>
      <c r="BS315" s="243"/>
      <c r="BT315" s="93">
        <v>3.1859999999999999</v>
      </c>
      <c r="BU315" s="93">
        <v>3.1859999999999999</v>
      </c>
      <c r="BV315" s="93">
        <v>3.6920000000000002</v>
      </c>
      <c r="BW315" s="91">
        <f>(BV315*BU315*BT315)/1728</f>
        <v>2.1687500249999998E-2</v>
      </c>
      <c r="BX315" s="93">
        <v>0.375</v>
      </c>
      <c r="BY315" s="93">
        <v>10</v>
      </c>
      <c r="BZ315" s="93">
        <v>6.75</v>
      </c>
      <c r="CA315" s="93">
        <v>4.37</v>
      </c>
      <c r="CB315" s="91">
        <f t="shared" si="70"/>
        <v>0.17070312500000001</v>
      </c>
      <c r="CC315" s="93">
        <v>2.6669999999999998</v>
      </c>
      <c r="CD315" s="301"/>
      <c r="CE315" s="301"/>
      <c r="CF315" s="211" t="s">
        <v>134</v>
      </c>
      <c r="CG315" s="211">
        <v>6</v>
      </c>
      <c r="CH315" s="211">
        <v>26</v>
      </c>
      <c r="CI315" s="211">
        <v>9</v>
      </c>
      <c r="CJ315" s="27">
        <f t="shared" si="71"/>
        <v>1404</v>
      </c>
      <c r="CK315" s="27">
        <f t="shared" si="72"/>
        <v>674.07799999999997</v>
      </c>
      <c r="CL315" s="27" t="s">
        <v>530</v>
      </c>
      <c r="CM315" s="27" t="s">
        <v>136</v>
      </c>
      <c r="CN315" s="14"/>
      <c r="CO315" s="14"/>
      <c r="CP315" s="260"/>
      <c r="CQ315" s="260"/>
      <c r="CR315" s="260"/>
      <c r="CS315" s="260"/>
      <c r="CT315" s="260"/>
      <c r="CU315" s="260"/>
    </row>
    <row r="316" spans="1:99" s="261" customFormat="1" ht="30" x14ac:dyDescent="0.25">
      <c r="A316" s="239">
        <v>41685</v>
      </c>
      <c r="B316" s="239"/>
      <c r="C316" s="211" t="s">
        <v>1531</v>
      </c>
      <c r="D316" s="211" t="s">
        <v>54</v>
      </c>
      <c r="E316" s="211" t="s">
        <v>1532</v>
      </c>
      <c r="F316" s="262" t="s">
        <v>1533</v>
      </c>
      <c r="G316" s="403"/>
      <c r="H316" s="403"/>
      <c r="I316" s="403"/>
      <c r="J316" s="262" t="s">
        <v>519</v>
      </c>
      <c r="K316" s="25" t="s">
        <v>1534</v>
      </c>
      <c r="L316" s="162"/>
      <c r="M316" s="25"/>
      <c r="N316" s="25"/>
      <c r="O316" s="26"/>
      <c r="P316" s="236"/>
      <c r="Q316" s="236"/>
      <c r="R316" s="222"/>
      <c r="S316" s="222"/>
      <c r="T316" s="222"/>
      <c r="U316" s="222"/>
      <c r="V316" s="222"/>
      <c r="W316" s="222"/>
      <c r="X316" s="222"/>
      <c r="Y316" s="222"/>
      <c r="Z316" s="222"/>
      <c r="AA316" s="222"/>
      <c r="AB316" s="222"/>
      <c r="AC316" s="222"/>
      <c r="AD316" s="222"/>
      <c r="AE316" s="222"/>
      <c r="AF316" s="222"/>
      <c r="AG316" s="222"/>
      <c r="AH316" s="222"/>
      <c r="AI316" s="222"/>
      <c r="AJ316" s="222"/>
      <c r="AK316" s="222"/>
      <c r="AL316" s="222"/>
      <c r="AM316" s="222"/>
      <c r="AN316" s="255" t="s">
        <v>1535</v>
      </c>
      <c r="AO316" s="255"/>
      <c r="AP316" s="25">
        <v>84467</v>
      </c>
      <c r="AQ316" s="255"/>
      <c r="AR316" s="256" t="s">
        <v>1536</v>
      </c>
      <c r="AS316" s="255"/>
      <c r="AT316" s="256" t="s">
        <v>1537</v>
      </c>
      <c r="AU316" s="256"/>
      <c r="AV316" s="255"/>
      <c r="AW316" s="255"/>
      <c r="AX316" s="255"/>
      <c r="AY316" s="255"/>
      <c r="AZ316" s="255"/>
      <c r="BA316" s="255"/>
      <c r="BB316" s="255"/>
      <c r="BC316" s="255"/>
      <c r="BD316" s="255">
        <v>7467</v>
      </c>
      <c r="BE316" s="255"/>
      <c r="BF316" s="255"/>
      <c r="BG316" s="255"/>
      <c r="BH316" s="255"/>
      <c r="BI316" s="255"/>
      <c r="BJ316" s="255" t="s">
        <v>1538</v>
      </c>
      <c r="BK316" s="118">
        <v>47.05</v>
      </c>
      <c r="BL316" s="243" t="s">
        <v>1539</v>
      </c>
      <c r="BM316" s="243" t="s">
        <v>1540</v>
      </c>
      <c r="BN316" s="243"/>
      <c r="BO316" s="243"/>
      <c r="BP316" s="243"/>
      <c r="BQ316" s="243"/>
      <c r="BR316" s="243"/>
      <c r="BS316" s="243"/>
      <c r="BT316" s="93">
        <v>4.9225000000000003</v>
      </c>
      <c r="BU316" s="93">
        <v>4.9225000000000003</v>
      </c>
      <c r="BV316" s="93">
        <v>6.6574999999999998</v>
      </c>
      <c r="BW316" s="91">
        <f>(BV316*BU316*BT316)/1728</f>
        <v>9.3355280155888315E-2</v>
      </c>
      <c r="BX316" s="93">
        <v>0.95</v>
      </c>
      <c r="BY316" s="93">
        <v>19.181000000000001</v>
      </c>
      <c r="BZ316" s="93">
        <v>14.430999999999999</v>
      </c>
      <c r="CA316" s="93">
        <v>6.6745000000000001</v>
      </c>
      <c r="CB316" s="91">
        <f t="shared" si="70"/>
        <v>1.0691599235645255</v>
      </c>
      <c r="CC316" s="93">
        <f>BX316*CG316+0.4</f>
        <v>11.799999999999999</v>
      </c>
      <c r="CD316" s="301"/>
      <c r="CE316" s="301"/>
      <c r="CF316" s="211" t="s">
        <v>134</v>
      </c>
      <c r="CG316" s="211">
        <v>12</v>
      </c>
      <c r="CH316" s="211">
        <v>6</v>
      </c>
      <c r="CI316" s="211">
        <v>6</v>
      </c>
      <c r="CJ316" s="27">
        <f t="shared" si="71"/>
        <v>432</v>
      </c>
      <c r="CK316" s="27">
        <f t="shared" si="72"/>
        <v>474.79999999999995</v>
      </c>
      <c r="CL316" s="27" t="s">
        <v>256</v>
      </c>
      <c r="CM316" s="27" t="s">
        <v>136</v>
      </c>
      <c r="CN316" s="14"/>
      <c r="CO316" s="14"/>
      <c r="CP316" s="260"/>
      <c r="CQ316" s="260"/>
      <c r="CR316" s="260"/>
      <c r="CS316" s="260"/>
      <c r="CT316" s="260"/>
      <c r="CU316" s="260"/>
    </row>
    <row r="317" spans="1:99" s="261" customFormat="1" x14ac:dyDescent="0.25">
      <c r="A317" s="239">
        <v>41685</v>
      </c>
      <c r="B317" s="239"/>
      <c r="C317" s="212" t="s">
        <v>1541</v>
      </c>
      <c r="D317" s="212" t="s">
        <v>54</v>
      </c>
      <c r="E317" s="211" t="s">
        <v>1508</v>
      </c>
      <c r="F317" s="262" t="s">
        <v>1542</v>
      </c>
      <c r="G317" s="403"/>
      <c r="H317" s="403"/>
      <c r="I317" s="403"/>
      <c r="J317" s="179" t="s">
        <v>168</v>
      </c>
      <c r="K317" s="25" t="s">
        <v>1543</v>
      </c>
      <c r="L317" s="162"/>
      <c r="M317" s="25"/>
      <c r="N317" s="25"/>
      <c r="O317" s="26"/>
      <c r="P317" s="236"/>
      <c r="Q317" s="236"/>
      <c r="R317" s="222"/>
      <c r="S317" s="222"/>
      <c r="T317" s="222"/>
      <c r="U317" s="222"/>
      <c r="V317" s="222"/>
      <c r="W317" s="222"/>
      <c r="X317" s="222"/>
      <c r="Y317" s="222"/>
      <c r="Z317" s="222"/>
      <c r="AA317" s="222"/>
      <c r="AB317" s="222"/>
      <c r="AC317" s="222"/>
      <c r="AD317" s="222"/>
      <c r="AE317" s="222"/>
      <c r="AF317" s="222"/>
      <c r="AG317" s="222"/>
      <c r="AH317" s="222"/>
      <c r="AI317" s="222"/>
      <c r="AJ317" s="222"/>
      <c r="AK317" s="222"/>
      <c r="AL317" s="222"/>
      <c r="AM317" s="222"/>
      <c r="AN317" s="255"/>
      <c r="AO317" s="255"/>
      <c r="AP317" s="25"/>
      <c r="AQ317" s="255"/>
      <c r="AR317" s="256" t="s">
        <v>1544</v>
      </c>
      <c r="AS317" s="255"/>
      <c r="AT317" s="256"/>
      <c r="AU317" s="256"/>
      <c r="AV317" s="255"/>
      <c r="AW317" s="255"/>
      <c r="AX317" s="255"/>
      <c r="AY317" s="255"/>
      <c r="AZ317" s="255"/>
      <c r="BA317" s="255"/>
      <c r="BB317" s="255"/>
      <c r="BC317" s="255"/>
      <c r="BD317" s="255"/>
      <c r="BE317" s="255"/>
      <c r="BF317" s="255"/>
      <c r="BG317" s="255"/>
      <c r="BH317" s="255"/>
      <c r="BI317" s="255"/>
      <c r="BJ317" s="255"/>
      <c r="BK317" s="118">
        <v>47.49</v>
      </c>
      <c r="BL317" s="243" t="s">
        <v>1545</v>
      </c>
      <c r="BM317" s="243" t="s">
        <v>1546</v>
      </c>
      <c r="BN317" s="243"/>
      <c r="BO317" s="243"/>
      <c r="BP317" s="243"/>
      <c r="BQ317" s="243"/>
      <c r="BR317" s="243"/>
      <c r="BS317" s="243"/>
      <c r="BT317" s="598" t="s">
        <v>355</v>
      </c>
      <c r="BU317" s="598"/>
      <c r="BV317" s="598"/>
      <c r="BW317" s="598"/>
      <c r="BX317" s="598"/>
      <c r="BY317" s="212">
        <v>13.185</v>
      </c>
      <c r="BZ317" s="212">
        <v>9.8049999999999997</v>
      </c>
      <c r="CA317" s="212">
        <v>10.18</v>
      </c>
      <c r="CB317" s="91">
        <f t="shared" si="70"/>
        <v>0.76160848177083329</v>
      </c>
      <c r="CC317" s="212">
        <f>2.89+0.4</f>
        <v>3.29</v>
      </c>
      <c r="CD317" s="303"/>
      <c r="CE317" s="303"/>
      <c r="CF317" s="211" t="s">
        <v>134</v>
      </c>
      <c r="CG317" s="212">
        <v>1</v>
      </c>
      <c r="CH317" s="212">
        <v>16</v>
      </c>
      <c r="CI317" s="212">
        <v>3</v>
      </c>
      <c r="CJ317" s="27">
        <f t="shared" si="71"/>
        <v>48</v>
      </c>
      <c r="CK317" s="27">
        <f t="shared" si="72"/>
        <v>207.92000000000002</v>
      </c>
      <c r="CL317" s="27" t="s">
        <v>256</v>
      </c>
      <c r="CM317" s="27" t="s">
        <v>136</v>
      </c>
      <c r="CN317" s="14"/>
      <c r="CO317" s="14"/>
      <c r="CP317" s="260"/>
      <c r="CQ317" s="260"/>
      <c r="CR317" s="260"/>
      <c r="CS317" s="260"/>
      <c r="CT317" s="260"/>
      <c r="CU317" s="260"/>
    </row>
    <row r="318" spans="1:99" s="261" customFormat="1" x14ac:dyDescent="0.25">
      <c r="A318" s="239">
        <v>41685</v>
      </c>
      <c r="B318" s="239"/>
      <c r="C318" s="212" t="s">
        <v>1547</v>
      </c>
      <c r="D318" s="211" t="s">
        <v>54</v>
      </c>
      <c r="E318" s="211" t="s">
        <v>1548</v>
      </c>
      <c r="F318" s="262" t="s">
        <v>1549</v>
      </c>
      <c r="G318" s="403"/>
      <c r="H318" s="403"/>
      <c r="I318" s="403"/>
      <c r="J318" s="179" t="s">
        <v>1550</v>
      </c>
      <c r="K318" s="25">
        <v>3107499</v>
      </c>
      <c r="L318" s="162"/>
      <c r="M318" s="25"/>
      <c r="N318" s="25"/>
      <c r="O318" s="26"/>
      <c r="P318" s="236"/>
      <c r="Q318" s="236"/>
      <c r="R318" s="222"/>
      <c r="S318" s="222"/>
      <c r="T318" s="222"/>
      <c r="U318" s="222"/>
      <c r="V318" s="222"/>
      <c r="W318" s="222"/>
      <c r="X318" s="222"/>
      <c r="Y318" s="222"/>
      <c r="Z318" s="222"/>
      <c r="AA318" s="222"/>
      <c r="AB318" s="222"/>
      <c r="AC318" s="222"/>
      <c r="AD318" s="222"/>
      <c r="AE318" s="222"/>
      <c r="AF318" s="222"/>
      <c r="AG318" s="222"/>
      <c r="AH318" s="222"/>
      <c r="AI318" s="222"/>
      <c r="AJ318" s="222"/>
      <c r="AK318" s="222"/>
      <c r="AL318" s="222"/>
      <c r="AM318" s="222"/>
      <c r="AN318" s="255" t="s">
        <v>1551</v>
      </c>
      <c r="AO318" s="255"/>
      <c r="AP318" s="25"/>
      <c r="AQ318" s="255"/>
      <c r="AR318" s="256"/>
      <c r="AS318" s="255"/>
      <c r="AT318" s="256" t="s">
        <v>1552</v>
      </c>
      <c r="AU318" s="256" t="s">
        <v>1553</v>
      </c>
      <c r="AV318" s="255" t="s">
        <v>1554</v>
      </c>
      <c r="AW318" s="255"/>
      <c r="AX318" s="255"/>
      <c r="AY318" s="255"/>
      <c r="AZ318" s="255"/>
      <c r="BA318" s="255"/>
      <c r="BB318" s="255"/>
      <c r="BC318" s="255"/>
      <c r="BD318" s="255"/>
      <c r="BE318" s="255"/>
      <c r="BF318" s="255"/>
      <c r="BG318" s="255"/>
      <c r="BH318" s="255"/>
      <c r="BI318" s="255"/>
      <c r="BJ318" s="255"/>
      <c r="BK318" s="118">
        <v>14.94</v>
      </c>
      <c r="BL318" s="243" t="s">
        <v>1555</v>
      </c>
      <c r="BM318" s="243" t="s">
        <v>1556</v>
      </c>
      <c r="BN318" s="243"/>
      <c r="BO318" s="243"/>
      <c r="BP318" s="243"/>
      <c r="BQ318" s="243"/>
      <c r="BR318" s="243"/>
      <c r="BS318" s="243"/>
      <c r="BT318" s="212">
        <v>4.9225000000000003</v>
      </c>
      <c r="BU318" s="212">
        <v>4.9225000000000003</v>
      </c>
      <c r="BV318" s="212">
        <v>6.6574999999999998</v>
      </c>
      <c r="BW318" s="91">
        <f>(BV318*BU318*BT318)/1728</f>
        <v>9.3355280155888315E-2</v>
      </c>
      <c r="BX318" s="212">
        <v>0.69</v>
      </c>
      <c r="BY318" s="212">
        <v>19.181000000000001</v>
      </c>
      <c r="BZ318" s="212">
        <v>14.430999999999999</v>
      </c>
      <c r="CA318" s="212">
        <v>6.6745000000000001</v>
      </c>
      <c r="CB318" s="91">
        <f t="shared" si="70"/>
        <v>1.0691599235645255</v>
      </c>
      <c r="CC318" s="212">
        <f>BX318*CG318+0.4</f>
        <v>8.68</v>
      </c>
      <c r="CD318" s="303"/>
      <c r="CE318" s="303"/>
      <c r="CF318" s="211" t="s">
        <v>134</v>
      </c>
      <c r="CG318" s="212">
        <v>12</v>
      </c>
      <c r="CH318" s="212">
        <v>6</v>
      </c>
      <c r="CI318" s="212">
        <v>6</v>
      </c>
      <c r="CJ318" s="27">
        <f t="shared" si="71"/>
        <v>432</v>
      </c>
      <c r="CK318" s="27">
        <f t="shared" si="72"/>
        <v>362.48</v>
      </c>
      <c r="CL318" s="27" t="s">
        <v>256</v>
      </c>
      <c r="CM318" s="27" t="s">
        <v>136</v>
      </c>
      <c r="CN318" s="14"/>
      <c r="CO318" s="14"/>
      <c r="CP318" s="260"/>
      <c r="CQ318" s="260"/>
      <c r="CR318" s="260"/>
      <c r="CS318" s="260"/>
      <c r="CT318" s="260"/>
      <c r="CU318" s="260"/>
    </row>
    <row r="319" spans="1:99" s="261" customFormat="1" ht="30" x14ac:dyDescent="0.25">
      <c r="A319" s="239">
        <v>41685</v>
      </c>
      <c r="B319" s="239"/>
      <c r="C319" s="212" t="s">
        <v>1326</v>
      </c>
      <c r="D319" s="212" t="s">
        <v>54</v>
      </c>
      <c r="E319" s="211" t="s">
        <v>1557</v>
      </c>
      <c r="F319" s="262" t="s">
        <v>1558</v>
      </c>
      <c r="G319" s="403"/>
      <c r="H319" s="403"/>
      <c r="I319" s="403"/>
      <c r="J319" s="179" t="s">
        <v>129</v>
      </c>
      <c r="K319" s="25" t="s">
        <v>1328</v>
      </c>
      <c r="L319" s="162"/>
      <c r="M319" s="25"/>
      <c r="N319" s="25"/>
      <c r="O319" s="26"/>
      <c r="P319" s="236"/>
      <c r="Q319" s="236"/>
      <c r="R319" s="222"/>
      <c r="S319" s="222"/>
      <c r="T319" s="222"/>
      <c r="U319" s="222"/>
      <c r="V319" s="222"/>
      <c r="W319" s="222"/>
      <c r="X319" s="222"/>
      <c r="Y319" s="222"/>
      <c r="Z319" s="222"/>
      <c r="AA319" s="222"/>
      <c r="AB319" s="222"/>
      <c r="AC319" s="222"/>
      <c r="AD319" s="222"/>
      <c r="AE319" s="222"/>
      <c r="AF319" s="222"/>
      <c r="AG319" s="222"/>
      <c r="AH319" s="222"/>
      <c r="AI319" s="222"/>
      <c r="AJ319" s="222"/>
      <c r="AK319" s="222"/>
      <c r="AL319" s="222"/>
      <c r="AM319" s="222"/>
      <c r="AN319" s="255"/>
      <c r="AO319" s="255"/>
      <c r="AP319" s="25"/>
      <c r="AQ319" s="255"/>
      <c r="AR319" s="256"/>
      <c r="AS319" s="255"/>
      <c r="AT319" s="256"/>
      <c r="AU319" s="256" t="s">
        <v>1329</v>
      </c>
      <c r="AV319" s="255"/>
      <c r="AW319" s="255"/>
      <c r="AX319" s="255"/>
      <c r="AY319" s="255"/>
      <c r="AZ319" s="255"/>
      <c r="BA319" s="255"/>
      <c r="BB319" s="255"/>
      <c r="BC319" s="255"/>
      <c r="BD319" s="255"/>
      <c r="BE319" s="255"/>
      <c r="BF319" s="255"/>
      <c r="BG319" s="255"/>
      <c r="BH319" s="255"/>
      <c r="BI319" s="255"/>
      <c r="BJ319" s="255"/>
      <c r="BK319" s="118">
        <v>87.38</v>
      </c>
      <c r="BL319" s="243" t="s">
        <v>1330</v>
      </c>
      <c r="BM319" s="243" t="s">
        <v>1559</v>
      </c>
      <c r="BN319" s="243"/>
      <c r="BO319" s="243"/>
      <c r="BP319" s="243"/>
      <c r="BQ319" s="243"/>
      <c r="BR319" s="243"/>
      <c r="BS319" s="243"/>
      <c r="BT319" s="212">
        <v>3.992</v>
      </c>
      <c r="BU319" s="212">
        <v>3.992</v>
      </c>
      <c r="BV319" s="212">
        <v>8.234</v>
      </c>
      <c r="BW319" s="91">
        <f>(BV319*BU319*BT319)/1728</f>
        <v>7.5936082740740748E-2</v>
      </c>
      <c r="BX319" s="212">
        <v>0.8</v>
      </c>
      <c r="BY319" s="212">
        <v>16.556000000000001</v>
      </c>
      <c r="BZ319" s="212">
        <v>12.555999999999999</v>
      </c>
      <c r="CA319" s="212">
        <v>8.8620000000000001</v>
      </c>
      <c r="CB319" s="91">
        <f t="shared" si="70"/>
        <v>1.0660921176111111</v>
      </c>
      <c r="CC319" s="212">
        <f>BX319*CG319+0.25</f>
        <v>9.8500000000000014</v>
      </c>
      <c r="CD319" s="303"/>
      <c r="CE319" s="303"/>
      <c r="CF319" s="211" t="s">
        <v>134</v>
      </c>
      <c r="CG319" s="212">
        <v>12</v>
      </c>
      <c r="CH319" s="212">
        <v>8</v>
      </c>
      <c r="CI319" s="212">
        <v>4</v>
      </c>
      <c r="CJ319" s="27">
        <f t="shared" si="71"/>
        <v>384</v>
      </c>
      <c r="CK319" s="27">
        <f t="shared" si="72"/>
        <v>365.20000000000005</v>
      </c>
      <c r="CL319" s="27" t="s">
        <v>256</v>
      </c>
      <c r="CM319" s="27" t="s">
        <v>136</v>
      </c>
      <c r="CN319" s="14"/>
      <c r="CO319" s="14"/>
      <c r="CP319" s="260"/>
      <c r="CQ319" s="260"/>
      <c r="CR319" s="260"/>
      <c r="CS319" s="260"/>
      <c r="CT319" s="260"/>
      <c r="CU319" s="260"/>
    </row>
    <row r="320" spans="1:99" s="261" customFormat="1" x14ac:dyDescent="0.25">
      <c r="A320" s="239">
        <v>41685</v>
      </c>
      <c r="B320" s="239"/>
      <c r="C320" s="212" t="s">
        <v>1560</v>
      </c>
      <c r="D320" s="212" t="s">
        <v>105</v>
      </c>
      <c r="E320" s="211" t="s">
        <v>1561</v>
      </c>
      <c r="F320" s="262" t="s">
        <v>1562</v>
      </c>
      <c r="G320" s="403"/>
      <c r="H320" s="403"/>
      <c r="I320" s="403"/>
      <c r="J320" s="179" t="s">
        <v>293</v>
      </c>
      <c r="K320" s="25" t="s">
        <v>1563</v>
      </c>
      <c r="L320" s="162"/>
      <c r="M320" s="25"/>
      <c r="N320" s="25"/>
      <c r="O320" s="26"/>
      <c r="P320" s="236"/>
      <c r="Q320" s="236"/>
      <c r="R320" s="222"/>
      <c r="S320" s="222"/>
      <c r="T320" s="222"/>
      <c r="U320" s="222"/>
      <c r="V320" s="222"/>
      <c r="W320" s="222"/>
      <c r="X320" s="222"/>
      <c r="Y320" s="222"/>
      <c r="Z320" s="222"/>
      <c r="AA320" s="222"/>
      <c r="AB320" s="222"/>
      <c r="AC320" s="222"/>
      <c r="AD320" s="222"/>
      <c r="AE320" s="222"/>
      <c r="AF320" s="222"/>
      <c r="AG320" s="222"/>
      <c r="AH320" s="222"/>
      <c r="AI320" s="222"/>
      <c r="AJ320" s="222"/>
      <c r="AK320" s="222"/>
      <c r="AL320" s="222"/>
      <c r="AM320" s="222"/>
      <c r="AN320" s="255"/>
      <c r="AO320" s="255"/>
      <c r="AP320" s="25">
        <v>83640</v>
      </c>
      <c r="AQ320" s="255"/>
      <c r="AR320" s="256"/>
      <c r="AS320" s="255"/>
      <c r="AT320" s="256"/>
      <c r="AU320" s="256" t="s">
        <v>1564</v>
      </c>
      <c r="AV320" s="255" t="s">
        <v>1565</v>
      </c>
      <c r="AW320" s="255"/>
      <c r="AX320" s="255"/>
      <c r="AY320" s="255"/>
      <c r="AZ320" s="255"/>
      <c r="BA320" s="255" t="s">
        <v>1566</v>
      </c>
      <c r="BB320" s="255"/>
      <c r="BC320" s="255"/>
      <c r="BD320" s="255">
        <v>9640</v>
      </c>
      <c r="BE320" s="255" t="s">
        <v>1567</v>
      </c>
      <c r="BF320" s="255" t="s">
        <v>1568</v>
      </c>
      <c r="BG320" s="255" t="s">
        <v>1569</v>
      </c>
      <c r="BH320" s="255"/>
      <c r="BI320" s="255" t="s">
        <v>1570</v>
      </c>
      <c r="BJ320" s="255" t="s">
        <v>1571</v>
      </c>
      <c r="BK320" s="118">
        <v>52.97</v>
      </c>
      <c r="BL320" s="243" t="s">
        <v>1572</v>
      </c>
      <c r="BM320" s="243" t="s">
        <v>1573</v>
      </c>
      <c r="BN320" s="243"/>
      <c r="BO320" s="243"/>
      <c r="BP320" s="243"/>
      <c r="BQ320" s="243"/>
      <c r="BR320" s="243"/>
      <c r="BS320" s="243"/>
      <c r="BT320" s="212">
        <v>8.6560000000000006</v>
      </c>
      <c r="BU320" s="212">
        <v>2.286</v>
      </c>
      <c r="BV320" s="212">
        <v>13.942</v>
      </c>
      <c r="BW320" s="91">
        <f>(BV320*BU320*BT320)/1728</f>
        <v>0.15965216566666668</v>
      </c>
      <c r="BX320" s="212">
        <v>0.4</v>
      </c>
      <c r="BY320" s="212">
        <v>14.5</v>
      </c>
      <c r="BZ320" s="212">
        <v>9.25</v>
      </c>
      <c r="CA320" s="212">
        <v>7.5</v>
      </c>
      <c r="CB320" s="91">
        <f t="shared" si="70"/>
        <v>0.58213975694444442</v>
      </c>
      <c r="CC320" s="212">
        <f>BX320*CG320+0.4</f>
        <v>1.6</v>
      </c>
      <c r="CD320" s="303"/>
      <c r="CE320" s="303"/>
      <c r="CF320" s="211" t="s">
        <v>134</v>
      </c>
      <c r="CG320" s="212">
        <v>3</v>
      </c>
      <c r="CH320" s="212">
        <v>13</v>
      </c>
      <c r="CI320" s="212">
        <v>6</v>
      </c>
      <c r="CJ320" s="27">
        <f t="shared" si="71"/>
        <v>234</v>
      </c>
      <c r="CK320" s="27">
        <f t="shared" si="72"/>
        <v>174.8</v>
      </c>
      <c r="CL320" s="212" t="s">
        <v>149</v>
      </c>
      <c r="CM320" s="27" t="s">
        <v>136</v>
      </c>
      <c r="CN320" s="14"/>
      <c r="CO320" s="14"/>
      <c r="CP320" s="260"/>
      <c r="CQ320" s="260"/>
      <c r="CR320" s="260"/>
      <c r="CS320" s="260"/>
      <c r="CT320" s="260"/>
      <c r="CU320" s="260"/>
    </row>
    <row r="321" spans="1:99" s="261" customFormat="1" x14ac:dyDescent="0.25">
      <c r="A321" s="239">
        <v>41685</v>
      </c>
      <c r="B321" s="239"/>
      <c r="C321" s="212" t="s">
        <v>1574</v>
      </c>
      <c r="D321" s="212" t="s">
        <v>105</v>
      </c>
      <c r="E321" s="211" t="s">
        <v>1575</v>
      </c>
      <c r="F321" s="262" t="s">
        <v>1576</v>
      </c>
      <c r="G321" s="403"/>
      <c r="H321" s="403"/>
      <c r="I321" s="403"/>
      <c r="J321" s="179" t="s">
        <v>412</v>
      </c>
      <c r="K321" s="25" t="s">
        <v>1577</v>
      </c>
      <c r="L321" s="162"/>
      <c r="M321" s="25"/>
      <c r="N321" s="25"/>
      <c r="O321" s="26"/>
      <c r="P321" s="236"/>
      <c r="Q321" s="236"/>
      <c r="R321" s="222"/>
      <c r="S321" s="222"/>
      <c r="T321" s="222"/>
      <c r="U321" s="222"/>
      <c r="V321" s="222"/>
      <c r="W321" s="222"/>
      <c r="X321" s="222"/>
      <c r="Y321" s="222"/>
      <c r="Z321" s="222"/>
      <c r="AA321" s="222"/>
      <c r="AB321" s="222"/>
      <c r="AC321" s="222"/>
      <c r="AD321" s="222"/>
      <c r="AE321" s="222"/>
      <c r="AF321" s="222"/>
      <c r="AG321" s="222"/>
      <c r="AH321" s="222"/>
      <c r="AI321" s="222"/>
      <c r="AJ321" s="222"/>
      <c r="AK321" s="222"/>
      <c r="AL321" s="222"/>
      <c r="AM321" s="222"/>
      <c r="AN321" s="255"/>
      <c r="AO321" s="255"/>
      <c r="AP321" s="25">
        <v>83700</v>
      </c>
      <c r="AQ321" s="255"/>
      <c r="AR321" s="256"/>
      <c r="AS321" s="255"/>
      <c r="AT321" s="256"/>
      <c r="AU321" s="256" t="s">
        <v>1578</v>
      </c>
      <c r="AV321" s="255" t="s">
        <v>1579</v>
      </c>
      <c r="AW321" s="255"/>
      <c r="AX321" s="255"/>
      <c r="AY321" s="255"/>
      <c r="AZ321" s="255"/>
      <c r="BA321" s="255"/>
      <c r="BB321" s="255"/>
      <c r="BC321" s="255"/>
      <c r="BD321" s="255">
        <v>9700</v>
      </c>
      <c r="BE321" s="255" t="s">
        <v>1580</v>
      </c>
      <c r="BF321" s="255" t="s">
        <v>1580</v>
      </c>
      <c r="BG321" s="222"/>
      <c r="BH321" s="222"/>
      <c r="BI321" s="255" t="s">
        <v>1581</v>
      </c>
      <c r="BJ321" s="255" t="s">
        <v>1582</v>
      </c>
      <c r="BK321" s="118">
        <v>23.86</v>
      </c>
      <c r="BL321" s="243" t="s">
        <v>1583</v>
      </c>
      <c r="BM321" s="243" t="s">
        <v>1584</v>
      </c>
      <c r="BN321" s="243"/>
      <c r="BO321" s="243"/>
      <c r="BP321" s="243"/>
      <c r="BQ321" s="243"/>
      <c r="BR321" s="243"/>
      <c r="BS321" s="243"/>
      <c r="BT321" s="599" t="s">
        <v>875</v>
      </c>
      <c r="BU321" s="603"/>
      <c r="BV321" s="603"/>
      <c r="BW321" s="603"/>
      <c r="BX321" s="603"/>
      <c r="BY321" s="212">
        <v>15.37</v>
      </c>
      <c r="BZ321" s="212">
        <v>9.75</v>
      </c>
      <c r="CA321" s="212">
        <v>9</v>
      </c>
      <c r="CB321" s="91">
        <f t="shared" si="70"/>
        <v>0.78050781250000001</v>
      </c>
      <c r="CC321" s="212">
        <v>1.7800000000000002</v>
      </c>
      <c r="CD321" s="303"/>
      <c r="CE321" s="303"/>
      <c r="CF321" s="211" t="s">
        <v>134</v>
      </c>
      <c r="CG321" s="212">
        <v>6</v>
      </c>
      <c r="CH321" s="212">
        <v>12</v>
      </c>
      <c r="CI321" s="212">
        <v>4</v>
      </c>
      <c r="CJ321" s="27">
        <f t="shared" si="71"/>
        <v>288</v>
      </c>
      <c r="CK321" s="27">
        <f t="shared" si="72"/>
        <v>135.44</v>
      </c>
      <c r="CL321" s="212" t="s">
        <v>139</v>
      </c>
      <c r="CM321" s="27" t="s">
        <v>136</v>
      </c>
      <c r="CN321" s="14"/>
      <c r="CO321" s="14"/>
      <c r="CP321" s="260"/>
      <c r="CQ321" s="260"/>
      <c r="CR321" s="260"/>
      <c r="CS321" s="260"/>
      <c r="CT321" s="260"/>
      <c r="CU321" s="260"/>
    </row>
    <row r="322" spans="1:99" s="261" customFormat="1" x14ac:dyDescent="0.25">
      <c r="A322" s="239">
        <v>41685</v>
      </c>
      <c r="B322" s="239"/>
      <c r="C322" s="212" t="s">
        <v>1585</v>
      </c>
      <c r="D322" s="212" t="s">
        <v>105</v>
      </c>
      <c r="E322" s="211" t="s">
        <v>1561</v>
      </c>
      <c r="F322" s="262" t="s">
        <v>1586</v>
      </c>
      <c r="G322" s="403"/>
      <c r="H322" s="403"/>
      <c r="I322" s="403"/>
      <c r="J322" s="179" t="s">
        <v>235</v>
      </c>
      <c r="K322" s="25" t="s">
        <v>1587</v>
      </c>
      <c r="L322" s="162"/>
      <c r="M322" s="25"/>
      <c r="N322" s="25"/>
      <c r="O322" s="26"/>
      <c r="P322" s="236"/>
      <c r="Q322" s="236"/>
      <c r="R322" s="222"/>
      <c r="S322" s="222"/>
      <c r="T322" s="222"/>
      <c r="U322" s="222"/>
      <c r="V322" s="222"/>
      <c r="W322" s="222"/>
      <c r="X322" s="222"/>
      <c r="Y322" s="222"/>
      <c r="Z322" s="222"/>
      <c r="AA322" s="222"/>
      <c r="AB322" s="222"/>
      <c r="AC322" s="222"/>
      <c r="AD322" s="222"/>
      <c r="AE322" s="222"/>
      <c r="AF322" s="222"/>
      <c r="AG322" s="222"/>
      <c r="AH322" s="222"/>
      <c r="AI322" s="222"/>
      <c r="AJ322" s="222"/>
      <c r="AK322" s="222"/>
      <c r="AL322" s="222"/>
      <c r="AM322" s="222"/>
      <c r="AN322" s="255" t="s">
        <v>1588</v>
      </c>
      <c r="AO322" s="255"/>
      <c r="AP322" s="25">
        <v>83630</v>
      </c>
      <c r="AQ322" s="255"/>
      <c r="AR322" s="256"/>
      <c r="AS322" s="255"/>
      <c r="AT322" s="256"/>
      <c r="AU322" s="256" t="s">
        <v>1589</v>
      </c>
      <c r="AV322" s="255" t="s">
        <v>1590</v>
      </c>
      <c r="AW322" s="255"/>
      <c r="AX322" s="255" t="s">
        <v>1591</v>
      </c>
      <c r="AY322" s="255"/>
      <c r="AZ322" s="255"/>
      <c r="BA322" s="255"/>
      <c r="BB322" s="255"/>
      <c r="BC322" s="255"/>
      <c r="BD322" s="255">
        <v>9630</v>
      </c>
      <c r="BE322" s="255" t="s">
        <v>1592</v>
      </c>
      <c r="BF322" s="255" t="s">
        <v>1593</v>
      </c>
      <c r="BG322" s="255" t="s">
        <v>1594</v>
      </c>
      <c r="BH322" s="255"/>
      <c r="BI322" s="255" t="s">
        <v>1595</v>
      </c>
      <c r="BJ322" s="255" t="s">
        <v>1596</v>
      </c>
      <c r="BK322" s="118">
        <v>21.89</v>
      </c>
      <c r="BL322" s="243" t="s">
        <v>1597</v>
      </c>
      <c r="BM322" s="243" t="s">
        <v>1598</v>
      </c>
      <c r="BN322" s="243"/>
      <c r="BO322" s="243"/>
      <c r="BP322" s="243"/>
      <c r="BQ322" s="243"/>
      <c r="BR322" s="243"/>
      <c r="BS322" s="243"/>
      <c r="BT322" s="212">
        <v>8.5359999999999996</v>
      </c>
      <c r="BU322" s="212">
        <v>2.4060000000000001</v>
      </c>
      <c r="BV322" s="212">
        <v>10.692</v>
      </c>
      <c r="BW322" s="91">
        <f t="shared" ref="BW322:BW329" si="73">(BV322*BU322*BT322)/1728</f>
        <v>0.12707649899999998</v>
      </c>
      <c r="BX322" s="212">
        <v>0.6</v>
      </c>
      <c r="BY322" s="212">
        <v>12.25</v>
      </c>
      <c r="BZ322" s="212">
        <v>10.25</v>
      </c>
      <c r="CA322" s="212">
        <v>8.25</v>
      </c>
      <c r="CB322" s="91">
        <f t="shared" si="70"/>
        <v>0.59947374131944442</v>
      </c>
      <c r="CC322" s="212">
        <f t="shared" ref="CC322:CC327" si="74">BX322*CG322+0.4</f>
        <v>2.1999999999999997</v>
      </c>
      <c r="CD322" s="303"/>
      <c r="CE322" s="303"/>
      <c r="CF322" s="211" t="s">
        <v>134</v>
      </c>
      <c r="CG322" s="212">
        <v>3</v>
      </c>
      <c r="CH322" s="212">
        <v>12</v>
      </c>
      <c r="CI322" s="212">
        <v>5</v>
      </c>
      <c r="CJ322" s="27">
        <f t="shared" si="71"/>
        <v>180</v>
      </c>
      <c r="CK322" s="27">
        <f t="shared" si="72"/>
        <v>182</v>
      </c>
      <c r="CL322" s="212" t="s">
        <v>139</v>
      </c>
      <c r="CM322" s="27" t="s">
        <v>136</v>
      </c>
      <c r="CN322" s="14"/>
      <c r="CO322" s="14"/>
      <c r="CP322" s="260"/>
      <c r="CQ322" s="260"/>
      <c r="CR322" s="260"/>
      <c r="CS322" s="260"/>
      <c r="CT322" s="260"/>
      <c r="CU322" s="260"/>
    </row>
    <row r="323" spans="1:99" s="261" customFormat="1" x14ac:dyDescent="0.25">
      <c r="A323" s="239">
        <v>41685</v>
      </c>
      <c r="B323" s="239"/>
      <c r="C323" s="212" t="s">
        <v>1599</v>
      </c>
      <c r="D323" s="212" t="s">
        <v>105</v>
      </c>
      <c r="E323" s="211" t="s">
        <v>1561</v>
      </c>
      <c r="F323" s="262" t="s">
        <v>1600</v>
      </c>
      <c r="G323" s="403"/>
      <c r="H323" s="403"/>
      <c r="I323" s="403"/>
      <c r="J323" s="179" t="s">
        <v>235</v>
      </c>
      <c r="K323" s="25" t="s">
        <v>1601</v>
      </c>
      <c r="L323" s="162"/>
      <c r="M323" s="25"/>
      <c r="N323" s="25"/>
      <c r="O323" s="26"/>
      <c r="P323" s="236"/>
      <c r="Q323" s="236"/>
      <c r="R323" s="222"/>
      <c r="S323" s="222"/>
      <c r="T323" s="222"/>
      <c r="U323" s="222"/>
      <c r="V323" s="222"/>
      <c r="W323" s="222"/>
      <c r="X323" s="222"/>
      <c r="Y323" s="222"/>
      <c r="Z323" s="222"/>
      <c r="AA323" s="222"/>
      <c r="AB323" s="222"/>
      <c r="AC323" s="222"/>
      <c r="AD323" s="222"/>
      <c r="AE323" s="222"/>
      <c r="AF323" s="222"/>
      <c r="AG323" s="222"/>
      <c r="AH323" s="222"/>
      <c r="AI323" s="222"/>
      <c r="AJ323" s="222"/>
      <c r="AK323" s="222"/>
      <c r="AL323" s="222"/>
      <c r="AM323" s="222"/>
      <c r="AN323" s="255" t="s">
        <v>1602</v>
      </c>
      <c r="AO323" s="255"/>
      <c r="AP323" s="25">
        <v>83031</v>
      </c>
      <c r="AQ323" s="255"/>
      <c r="AR323" s="256"/>
      <c r="AS323" s="255"/>
      <c r="AT323" s="256"/>
      <c r="AU323" s="256" t="s">
        <v>1603</v>
      </c>
      <c r="AV323" s="255" t="s">
        <v>1604</v>
      </c>
      <c r="AW323" s="255"/>
      <c r="AX323" s="255" t="s">
        <v>1605</v>
      </c>
      <c r="AY323" s="255"/>
      <c r="AZ323" s="255"/>
      <c r="BA323" s="255" t="s">
        <v>1606</v>
      </c>
      <c r="BB323" s="255"/>
      <c r="BC323" s="255"/>
      <c r="BD323" s="255">
        <v>9031</v>
      </c>
      <c r="BE323" s="255" t="s">
        <v>1607</v>
      </c>
      <c r="BF323" s="255" t="s">
        <v>1608</v>
      </c>
      <c r="BG323" s="255"/>
      <c r="BH323" s="255"/>
      <c r="BI323" s="255" t="s">
        <v>1609</v>
      </c>
      <c r="BJ323" s="255" t="s">
        <v>1610</v>
      </c>
      <c r="BK323" s="118">
        <v>26.14</v>
      </c>
      <c r="BL323" s="243" t="s">
        <v>1611</v>
      </c>
      <c r="BM323" s="243" t="s">
        <v>1612</v>
      </c>
      <c r="BN323" s="243"/>
      <c r="BO323" s="243"/>
      <c r="BP323" s="243"/>
      <c r="BQ323" s="243"/>
      <c r="BR323" s="243"/>
      <c r="BS323" s="243"/>
      <c r="BT323" s="212">
        <v>8.5359999999999996</v>
      </c>
      <c r="BU323" s="212">
        <v>2.4060000000000001</v>
      </c>
      <c r="BV323" s="212">
        <v>10.692</v>
      </c>
      <c r="BW323" s="91">
        <f t="shared" si="73"/>
        <v>0.12707649899999998</v>
      </c>
      <c r="BX323" s="212">
        <v>0.6</v>
      </c>
      <c r="BY323" s="212">
        <v>12.25</v>
      </c>
      <c r="BZ323" s="212">
        <v>10.25</v>
      </c>
      <c r="CA323" s="212">
        <v>8.25</v>
      </c>
      <c r="CB323" s="91">
        <f t="shared" si="70"/>
        <v>0.59947374131944442</v>
      </c>
      <c r="CC323" s="212">
        <f t="shared" si="74"/>
        <v>2.1999999999999997</v>
      </c>
      <c r="CD323" s="303"/>
      <c r="CE323" s="303"/>
      <c r="CF323" s="211" t="s">
        <v>134</v>
      </c>
      <c r="CG323" s="212">
        <v>3</v>
      </c>
      <c r="CH323" s="212">
        <v>12</v>
      </c>
      <c r="CI323" s="212">
        <v>5</v>
      </c>
      <c r="CJ323" s="27">
        <f t="shared" si="71"/>
        <v>180</v>
      </c>
      <c r="CK323" s="27">
        <f t="shared" si="72"/>
        <v>182</v>
      </c>
      <c r="CL323" s="212" t="s">
        <v>135</v>
      </c>
      <c r="CM323" s="27" t="s">
        <v>136</v>
      </c>
      <c r="CN323" s="14"/>
      <c r="CO323" s="14"/>
      <c r="CP323" s="260"/>
      <c r="CQ323" s="260"/>
      <c r="CR323" s="260"/>
      <c r="CS323" s="260"/>
      <c r="CT323" s="260"/>
      <c r="CU323" s="260"/>
    </row>
    <row r="324" spans="1:99" s="261" customFormat="1" x14ac:dyDescent="0.25">
      <c r="A324" s="239">
        <v>41685</v>
      </c>
      <c r="B324" s="239"/>
      <c r="C324" s="212" t="s">
        <v>1613</v>
      </c>
      <c r="D324" s="212" t="s">
        <v>105</v>
      </c>
      <c r="E324" s="211" t="s">
        <v>1561</v>
      </c>
      <c r="F324" s="262" t="s">
        <v>1614</v>
      </c>
      <c r="G324" s="403"/>
      <c r="H324" s="403"/>
      <c r="I324" s="403"/>
      <c r="J324" s="179" t="s">
        <v>235</v>
      </c>
      <c r="K324" s="25" t="s">
        <v>1615</v>
      </c>
      <c r="L324" s="162"/>
      <c r="M324" s="25"/>
      <c r="N324" s="25"/>
      <c r="O324" s="26"/>
      <c r="P324" s="236"/>
      <c r="Q324" s="236"/>
      <c r="R324" s="222"/>
      <c r="S324" s="222"/>
      <c r="T324" s="222"/>
      <c r="U324" s="222"/>
      <c r="V324" s="222"/>
      <c r="W324" s="222"/>
      <c r="X324" s="222"/>
      <c r="Y324" s="222"/>
      <c r="Z324" s="222"/>
      <c r="AA324" s="222"/>
      <c r="AB324" s="222"/>
      <c r="AC324" s="222"/>
      <c r="AD324" s="222"/>
      <c r="AE324" s="222"/>
      <c r="AF324" s="222"/>
      <c r="AG324" s="222"/>
      <c r="AH324" s="222"/>
      <c r="AI324" s="222"/>
      <c r="AJ324" s="222"/>
      <c r="AK324" s="222"/>
      <c r="AL324" s="222"/>
      <c r="AM324" s="222"/>
      <c r="AN324" s="255" t="s">
        <v>1616</v>
      </c>
      <c r="AO324" s="255"/>
      <c r="AP324" s="25">
        <v>83530</v>
      </c>
      <c r="AQ324" s="255"/>
      <c r="AR324" s="256"/>
      <c r="AS324" s="255"/>
      <c r="AT324" s="256"/>
      <c r="AU324" s="256" t="s">
        <v>1617</v>
      </c>
      <c r="AV324" s="255" t="s">
        <v>1618</v>
      </c>
      <c r="AW324" s="255"/>
      <c r="AX324" s="255" t="s">
        <v>1619</v>
      </c>
      <c r="AY324" s="255"/>
      <c r="AZ324" s="255"/>
      <c r="BA324" s="255"/>
      <c r="BB324" s="255"/>
      <c r="BC324" s="255"/>
      <c r="BD324" s="255">
        <v>9530</v>
      </c>
      <c r="BE324" s="255" t="s">
        <v>1620</v>
      </c>
      <c r="BF324" s="255" t="s">
        <v>1621</v>
      </c>
      <c r="BG324" s="255" t="s">
        <v>1622</v>
      </c>
      <c r="BH324" s="255"/>
      <c r="BI324" s="255" t="s">
        <v>1623</v>
      </c>
      <c r="BJ324" s="255" t="s">
        <v>1624</v>
      </c>
      <c r="BK324" s="118">
        <v>15.95</v>
      </c>
      <c r="BL324" s="243" t="s">
        <v>1625</v>
      </c>
      <c r="BM324" s="243" t="s">
        <v>1626</v>
      </c>
      <c r="BN324" s="243"/>
      <c r="BO324" s="243"/>
      <c r="BP324" s="243"/>
      <c r="BQ324" s="243"/>
      <c r="BR324" s="243"/>
      <c r="BS324" s="243"/>
      <c r="BT324" s="212">
        <v>7.0359999999999996</v>
      </c>
      <c r="BU324" s="212">
        <v>2.536</v>
      </c>
      <c r="BV324" s="212">
        <v>11.821999999999999</v>
      </c>
      <c r="BW324" s="91">
        <f t="shared" si="73"/>
        <v>0.12207375307407406</v>
      </c>
      <c r="BX324" s="212">
        <v>0.6</v>
      </c>
      <c r="BY324" s="212">
        <v>12.25</v>
      </c>
      <c r="BZ324" s="212">
        <v>7.5</v>
      </c>
      <c r="CA324" s="212">
        <v>8.5</v>
      </c>
      <c r="CB324" s="91">
        <f t="shared" si="70"/>
        <v>0.4519314236111111</v>
      </c>
      <c r="CC324" s="212">
        <f t="shared" si="74"/>
        <v>2.1999999999999997</v>
      </c>
      <c r="CD324" s="303"/>
      <c r="CE324" s="303"/>
      <c r="CF324" s="211" t="s">
        <v>134</v>
      </c>
      <c r="CG324" s="212">
        <v>3</v>
      </c>
      <c r="CH324" s="212">
        <v>20</v>
      </c>
      <c r="CI324" s="212">
        <v>5</v>
      </c>
      <c r="CJ324" s="27">
        <f t="shared" si="71"/>
        <v>300</v>
      </c>
      <c r="CK324" s="27">
        <f t="shared" si="72"/>
        <v>270</v>
      </c>
      <c r="CL324" s="212" t="s">
        <v>139</v>
      </c>
      <c r="CM324" s="27" t="s">
        <v>136</v>
      </c>
      <c r="CN324" s="14"/>
      <c r="CO324" s="14"/>
      <c r="CP324" s="260"/>
      <c r="CQ324" s="260"/>
      <c r="CR324" s="260"/>
      <c r="CS324" s="260"/>
      <c r="CT324" s="260"/>
      <c r="CU324" s="260"/>
    </row>
    <row r="325" spans="1:99" s="261" customFormat="1" ht="30" x14ac:dyDescent="0.25">
      <c r="A325" s="239">
        <v>41685</v>
      </c>
      <c r="B325" s="239"/>
      <c r="C325" s="212" t="s">
        <v>1627</v>
      </c>
      <c r="D325" s="212" t="s">
        <v>105</v>
      </c>
      <c r="E325" s="211" t="s">
        <v>1561</v>
      </c>
      <c r="F325" s="262" t="s">
        <v>1628</v>
      </c>
      <c r="G325" s="403"/>
      <c r="H325" s="403"/>
      <c r="I325" s="403"/>
      <c r="J325" s="179" t="s">
        <v>333</v>
      </c>
      <c r="K325" s="25" t="s">
        <v>1629</v>
      </c>
      <c r="L325" s="179" t="s">
        <v>278</v>
      </c>
      <c r="M325" s="25" t="s">
        <v>1630</v>
      </c>
      <c r="N325" s="25"/>
      <c r="O325" s="26"/>
      <c r="P325" s="236"/>
      <c r="Q325" s="236"/>
      <c r="R325" s="222"/>
      <c r="S325" s="222"/>
      <c r="T325" s="222"/>
      <c r="U325" s="222"/>
      <c r="V325" s="222"/>
      <c r="W325" s="222"/>
      <c r="X325" s="222"/>
      <c r="Y325" s="222"/>
      <c r="Z325" s="222"/>
      <c r="AA325" s="222"/>
      <c r="AB325" s="222"/>
      <c r="AC325" s="222"/>
      <c r="AD325" s="222"/>
      <c r="AE325" s="222"/>
      <c r="AF325" s="222"/>
      <c r="AG325" s="222"/>
      <c r="AH325" s="222"/>
      <c r="AI325" s="222"/>
      <c r="AJ325" s="222"/>
      <c r="AK325" s="222"/>
      <c r="AL325" s="222"/>
      <c r="AM325" s="222"/>
      <c r="AN325" s="255" t="s">
        <v>1631</v>
      </c>
      <c r="AO325" s="255"/>
      <c r="AP325" s="25">
        <v>83737</v>
      </c>
      <c r="AQ325" s="255"/>
      <c r="AR325" s="256"/>
      <c r="AS325" s="255"/>
      <c r="AT325" s="256"/>
      <c r="AU325" s="256" t="s">
        <v>1632</v>
      </c>
      <c r="AV325" s="255" t="s">
        <v>1633</v>
      </c>
      <c r="AW325" s="255"/>
      <c r="AX325" s="255" t="s">
        <v>1634</v>
      </c>
      <c r="AY325" s="255"/>
      <c r="AZ325" s="255"/>
      <c r="BA325" s="255"/>
      <c r="BB325" s="255"/>
      <c r="BC325" s="255"/>
      <c r="BD325" s="255">
        <v>9737</v>
      </c>
      <c r="BE325" s="255" t="s">
        <v>1635</v>
      </c>
      <c r="BF325" s="255" t="s">
        <v>1636</v>
      </c>
      <c r="BG325" s="255"/>
      <c r="BH325" s="255"/>
      <c r="BI325" s="255" t="s">
        <v>1637</v>
      </c>
      <c r="BJ325" s="255" t="s">
        <v>1638</v>
      </c>
      <c r="BK325" s="118">
        <v>24.04</v>
      </c>
      <c r="BL325" s="243" t="s">
        <v>1639</v>
      </c>
      <c r="BM325" s="243" t="s">
        <v>1640</v>
      </c>
      <c r="BN325" s="243"/>
      <c r="BO325" s="243"/>
      <c r="BP325" s="243"/>
      <c r="BQ325" s="243"/>
      <c r="BR325" s="243"/>
      <c r="BS325" s="243"/>
      <c r="BT325" s="212">
        <v>10.536</v>
      </c>
      <c r="BU325" s="212">
        <v>2.786</v>
      </c>
      <c r="BV325" s="212">
        <v>15.071999999999999</v>
      </c>
      <c r="BW325" s="91">
        <f t="shared" si="73"/>
        <v>0.25602597066666666</v>
      </c>
      <c r="BX325" s="212">
        <v>0.64</v>
      </c>
      <c r="BY325" s="212">
        <v>15.68</v>
      </c>
      <c r="BZ325" s="212">
        <v>11.81</v>
      </c>
      <c r="CA325" s="212">
        <v>9.6199999999999992</v>
      </c>
      <c r="CB325" s="91">
        <f t="shared" si="70"/>
        <v>1.0309255185185184</v>
      </c>
      <c r="CC325" s="212">
        <f t="shared" si="74"/>
        <v>2.3199999999999998</v>
      </c>
      <c r="CD325" s="303"/>
      <c r="CE325" s="303"/>
      <c r="CF325" s="211" t="s">
        <v>134</v>
      </c>
      <c r="CG325" s="212">
        <v>3</v>
      </c>
      <c r="CH325" s="212">
        <v>10</v>
      </c>
      <c r="CI325" s="212">
        <v>4</v>
      </c>
      <c r="CJ325" s="27">
        <f t="shared" si="71"/>
        <v>120</v>
      </c>
      <c r="CK325" s="27">
        <f t="shared" si="72"/>
        <v>142.80000000000001</v>
      </c>
      <c r="CL325" s="27" t="s">
        <v>256</v>
      </c>
      <c r="CM325" s="27" t="s">
        <v>136</v>
      </c>
      <c r="CN325" s="14"/>
      <c r="CO325" s="14"/>
      <c r="CP325" s="260"/>
      <c r="CQ325" s="260"/>
      <c r="CR325" s="260"/>
      <c r="CS325" s="260"/>
      <c r="CT325" s="260"/>
      <c r="CU325" s="260"/>
    </row>
    <row r="326" spans="1:99" s="261" customFormat="1" x14ac:dyDescent="0.25">
      <c r="A326" s="239">
        <v>41685</v>
      </c>
      <c r="B326" s="239"/>
      <c r="C326" s="212" t="s">
        <v>1641</v>
      </c>
      <c r="D326" s="212" t="s">
        <v>105</v>
      </c>
      <c r="E326" s="211" t="s">
        <v>1642</v>
      </c>
      <c r="F326" s="262" t="s">
        <v>1643</v>
      </c>
      <c r="G326" s="403"/>
      <c r="H326" s="403"/>
      <c r="I326" s="403"/>
      <c r="J326" s="179" t="s">
        <v>333</v>
      </c>
      <c r="K326" s="25" t="s">
        <v>1644</v>
      </c>
      <c r="L326" s="162"/>
      <c r="M326" s="25"/>
      <c r="N326" s="25"/>
      <c r="O326" s="26"/>
      <c r="P326" s="236"/>
      <c r="Q326" s="236"/>
      <c r="R326" s="222"/>
      <c r="S326" s="222"/>
      <c r="T326" s="222"/>
      <c r="U326" s="222"/>
      <c r="V326" s="222"/>
      <c r="W326" s="222"/>
      <c r="X326" s="222"/>
      <c r="Y326" s="222"/>
      <c r="Z326" s="222"/>
      <c r="AA326" s="222"/>
      <c r="AB326" s="222"/>
      <c r="AC326" s="222"/>
      <c r="AD326" s="222"/>
      <c r="AE326" s="222"/>
      <c r="AF326" s="222"/>
      <c r="AG326" s="222"/>
      <c r="AH326" s="222"/>
      <c r="AI326" s="222"/>
      <c r="AJ326" s="222"/>
      <c r="AK326" s="222"/>
      <c r="AL326" s="222"/>
      <c r="AM326" s="222"/>
      <c r="AN326" s="255"/>
      <c r="AO326" s="255"/>
      <c r="AP326" s="25">
        <v>83014</v>
      </c>
      <c r="AQ326" s="255"/>
      <c r="AR326" s="256"/>
      <c r="AS326" s="255"/>
      <c r="AT326" s="256"/>
      <c r="AU326" s="256" t="s">
        <v>1645</v>
      </c>
      <c r="AV326" s="255" t="s">
        <v>1646</v>
      </c>
      <c r="AW326" s="255"/>
      <c r="AX326" s="255"/>
      <c r="AY326" s="255"/>
      <c r="AZ326" s="255"/>
      <c r="BA326" s="255"/>
      <c r="BB326" s="255"/>
      <c r="BC326" s="255"/>
      <c r="BD326" s="255">
        <v>9014</v>
      </c>
      <c r="BE326" s="255" t="s">
        <v>1647</v>
      </c>
      <c r="BF326" s="255" t="s">
        <v>1648</v>
      </c>
      <c r="BG326" s="255" t="s">
        <v>1649</v>
      </c>
      <c r="BH326" s="255"/>
      <c r="BI326" s="255" t="s">
        <v>1650</v>
      </c>
      <c r="BJ326" s="255" t="s">
        <v>1651</v>
      </c>
      <c r="BK326" s="118">
        <v>13.51</v>
      </c>
      <c r="BL326" s="243" t="s">
        <v>1652</v>
      </c>
      <c r="BM326" s="243" t="s">
        <v>1653</v>
      </c>
      <c r="BN326" s="243"/>
      <c r="BO326" s="243"/>
      <c r="BP326" s="243"/>
      <c r="BQ326" s="243"/>
      <c r="BR326" s="243"/>
      <c r="BS326" s="243"/>
      <c r="BT326" s="212">
        <v>7.0359999999999996</v>
      </c>
      <c r="BU326" s="212">
        <v>7.0359999999999996</v>
      </c>
      <c r="BV326" s="212">
        <v>7.2519999999999998</v>
      </c>
      <c r="BW326" s="91">
        <f t="shared" si="73"/>
        <v>0.20776180937037034</v>
      </c>
      <c r="BX326" s="212">
        <v>0.65</v>
      </c>
      <c r="BY326" s="212">
        <v>21.75</v>
      </c>
      <c r="BZ326" s="212">
        <v>7.43</v>
      </c>
      <c r="CA326" s="212">
        <v>7.81</v>
      </c>
      <c r="CB326" s="91">
        <f t="shared" si="70"/>
        <v>0.73039092881944445</v>
      </c>
      <c r="CC326" s="212">
        <f t="shared" si="74"/>
        <v>2.35</v>
      </c>
      <c r="CD326" s="303"/>
      <c r="CE326" s="303"/>
      <c r="CF326" s="211" t="s">
        <v>134</v>
      </c>
      <c r="CG326" s="212">
        <v>3</v>
      </c>
      <c r="CH326" s="212">
        <v>10</v>
      </c>
      <c r="CI326" s="212">
        <v>5</v>
      </c>
      <c r="CJ326" s="27">
        <f t="shared" si="71"/>
        <v>150</v>
      </c>
      <c r="CK326" s="27">
        <f t="shared" si="72"/>
        <v>167.5</v>
      </c>
      <c r="CL326" s="212" t="s">
        <v>135</v>
      </c>
      <c r="CM326" s="27" t="s">
        <v>136</v>
      </c>
      <c r="CN326" s="14"/>
      <c r="CO326" s="14"/>
      <c r="CP326" s="260"/>
      <c r="CQ326" s="260"/>
      <c r="CR326" s="260"/>
      <c r="CS326" s="260"/>
      <c r="CT326" s="260"/>
      <c r="CU326" s="260"/>
    </row>
    <row r="327" spans="1:99" s="261" customFormat="1" x14ac:dyDescent="0.25">
      <c r="A327" s="239">
        <v>41685</v>
      </c>
      <c r="B327" s="239"/>
      <c r="C327" s="212" t="s">
        <v>1654</v>
      </c>
      <c r="D327" s="212" t="s">
        <v>105</v>
      </c>
      <c r="E327" s="211" t="s">
        <v>1561</v>
      </c>
      <c r="F327" s="262" t="s">
        <v>1655</v>
      </c>
      <c r="G327" s="403"/>
      <c r="H327" s="403"/>
      <c r="I327" s="403"/>
      <c r="J327" s="179" t="s">
        <v>235</v>
      </c>
      <c r="K327" s="25" t="s">
        <v>1656</v>
      </c>
      <c r="L327" s="162"/>
      <c r="M327" s="25"/>
      <c r="N327" s="25"/>
      <c r="O327" s="26"/>
      <c r="P327" s="236"/>
      <c r="Q327" s="236"/>
      <c r="R327" s="222"/>
      <c r="S327" s="222"/>
      <c r="T327" s="222"/>
      <c r="U327" s="222"/>
      <c r="V327" s="222"/>
      <c r="W327" s="222"/>
      <c r="X327" s="222"/>
      <c r="Y327" s="222"/>
      <c r="Z327" s="222"/>
      <c r="AA327" s="222"/>
      <c r="AB327" s="222"/>
      <c r="AC327" s="222"/>
      <c r="AD327" s="222"/>
      <c r="AE327" s="222"/>
      <c r="AF327" s="222"/>
      <c r="AG327" s="222"/>
      <c r="AH327" s="222"/>
      <c r="AI327" s="222"/>
      <c r="AJ327" s="222"/>
      <c r="AK327" s="222"/>
      <c r="AL327" s="222"/>
      <c r="AM327" s="222"/>
      <c r="AN327" s="255"/>
      <c r="AO327" s="255"/>
      <c r="AP327" s="25">
        <v>83610</v>
      </c>
      <c r="AQ327" s="255"/>
      <c r="AR327" s="256"/>
      <c r="AS327" s="255"/>
      <c r="AT327" s="256"/>
      <c r="AU327" s="256" t="s">
        <v>1657</v>
      </c>
      <c r="AV327" s="255" t="s">
        <v>1658</v>
      </c>
      <c r="AW327" s="255"/>
      <c r="AX327" s="255" t="s">
        <v>1659</v>
      </c>
      <c r="AY327" s="255"/>
      <c r="AZ327" s="255"/>
      <c r="BA327" s="255"/>
      <c r="BB327" s="255"/>
      <c r="BC327" s="255"/>
      <c r="BD327" s="255">
        <v>9610</v>
      </c>
      <c r="BE327" s="255" t="s">
        <v>1660</v>
      </c>
      <c r="BF327" s="255" t="s">
        <v>1661</v>
      </c>
      <c r="BG327" s="255"/>
      <c r="BH327" s="255"/>
      <c r="BI327" s="255" t="s">
        <v>1662</v>
      </c>
      <c r="BJ327" s="255" t="s">
        <v>1663</v>
      </c>
      <c r="BK327" s="118">
        <v>16.11</v>
      </c>
      <c r="BL327" s="243" t="s">
        <v>1664</v>
      </c>
      <c r="BM327" s="243" t="s">
        <v>1665</v>
      </c>
      <c r="BN327" s="243"/>
      <c r="BO327" s="243"/>
      <c r="BP327" s="243"/>
      <c r="BQ327" s="243"/>
      <c r="BR327" s="243"/>
      <c r="BS327" s="243"/>
      <c r="BT327" s="212">
        <v>7.7859999999999996</v>
      </c>
      <c r="BU327" s="212">
        <v>2.536</v>
      </c>
      <c r="BV327" s="212">
        <v>12.821999999999999</v>
      </c>
      <c r="BW327" s="91">
        <f t="shared" si="73"/>
        <v>0.14651283872222221</v>
      </c>
      <c r="BX327" s="212">
        <v>0.8</v>
      </c>
      <c r="BY327" s="212">
        <v>13.5</v>
      </c>
      <c r="BZ327" s="212">
        <v>8.25</v>
      </c>
      <c r="CA327" s="212">
        <v>8.5</v>
      </c>
      <c r="CB327" s="91">
        <f t="shared" si="70"/>
        <v>0.5478515625</v>
      </c>
      <c r="CC327" s="212">
        <f t="shared" si="74"/>
        <v>2.8000000000000003</v>
      </c>
      <c r="CD327" s="303"/>
      <c r="CE327" s="303"/>
      <c r="CF327" s="211" t="s">
        <v>134</v>
      </c>
      <c r="CG327" s="212">
        <v>3</v>
      </c>
      <c r="CH327" s="212">
        <v>14</v>
      </c>
      <c r="CI327" s="212">
        <v>5</v>
      </c>
      <c r="CJ327" s="27">
        <f t="shared" si="71"/>
        <v>210</v>
      </c>
      <c r="CK327" s="27">
        <f t="shared" si="72"/>
        <v>246</v>
      </c>
      <c r="CL327" s="212" t="s">
        <v>139</v>
      </c>
      <c r="CM327" s="27" t="s">
        <v>136</v>
      </c>
      <c r="CN327" s="14"/>
      <c r="CO327" s="14"/>
      <c r="CP327" s="260"/>
      <c r="CQ327" s="260"/>
      <c r="CR327" s="260"/>
      <c r="CS327" s="260"/>
      <c r="CT327" s="260"/>
      <c r="CU327" s="260"/>
    </row>
    <row r="328" spans="1:99" s="261" customFormat="1" ht="30" x14ac:dyDescent="0.25">
      <c r="A328" s="239">
        <v>41685</v>
      </c>
      <c r="B328" s="239"/>
      <c r="C328" s="212" t="s">
        <v>1666</v>
      </c>
      <c r="D328" s="212" t="s">
        <v>105</v>
      </c>
      <c r="E328" s="211" t="s">
        <v>1667</v>
      </c>
      <c r="F328" s="262" t="s">
        <v>1668</v>
      </c>
      <c r="G328" s="403"/>
      <c r="H328" s="403"/>
      <c r="I328" s="403"/>
      <c r="J328" s="179" t="s">
        <v>399</v>
      </c>
      <c r="K328" s="25" t="s">
        <v>1669</v>
      </c>
      <c r="L328" s="162"/>
      <c r="M328" s="25"/>
      <c r="N328" s="25"/>
      <c r="O328" s="26"/>
      <c r="P328" s="236"/>
      <c r="Q328" s="236"/>
      <c r="R328" s="222"/>
      <c r="S328" s="222"/>
      <c r="T328" s="222"/>
      <c r="U328" s="222"/>
      <c r="V328" s="222"/>
      <c r="W328" s="222"/>
      <c r="X328" s="222"/>
      <c r="Y328" s="222"/>
      <c r="Z328" s="222"/>
      <c r="AA328" s="222"/>
      <c r="AB328" s="222"/>
      <c r="AC328" s="222"/>
      <c r="AD328" s="222"/>
      <c r="AE328" s="222"/>
      <c r="AF328" s="222"/>
      <c r="AG328" s="222"/>
      <c r="AH328" s="222"/>
      <c r="AI328" s="222"/>
      <c r="AJ328" s="222"/>
      <c r="AK328" s="222"/>
      <c r="AL328" s="222"/>
      <c r="AM328" s="222"/>
      <c r="AN328" s="255"/>
      <c r="AO328" s="255"/>
      <c r="AP328" s="25">
        <v>84260</v>
      </c>
      <c r="AQ328" s="255"/>
      <c r="AR328" s="256"/>
      <c r="AS328" s="255" t="s">
        <v>1666</v>
      </c>
      <c r="AT328" s="256"/>
      <c r="AU328" s="256" t="s">
        <v>1670</v>
      </c>
      <c r="AV328" s="255"/>
      <c r="AW328" s="255"/>
      <c r="AX328" s="255"/>
      <c r="AY328" s="255"/>
      <c r="AZ328" s="255"/>
      <c r="BA328" s="255"/>
      <c r="BB328" s="255"/>
      <c r="BC328" s="255"/>
      <c r="BD328" s="255">
        <v>7260</v>
      </c>
      <c r="BE328" s="255" t="s">
        <v>1671</v>
      </c>
      <c r="BF328" s="255" t="s">
        <v>1672</v>
      </c>
      <c r="BG328" s="255"/>
      <c r="BH328" s="255"/>
      <c r="BI328" s="255" t="s">
        <v>1673</v>
      </c>
      <c r="BJ328" s="255" t="s">
        <v>1674</v>
      </c>
      <c r="BK328" s="118">
        <v>9.4499999999999993</v>
      </c>
      <c r="BL328" s="243" t="s">
        <v>1675</v>
      </c>
      <c r="BM328" s="243" t="s">
        <v>1676</v>
      </c>
      <c r="BN328" s="243"/>
      <c r="BO328" s="243"/>
      <c r="BP328" s="243"/>
      <c r="BQ328" s="243"/>
      <c r="BR328" s="243"/>
      <c r="BS328" s="243"/>
      <c r="BT328" s="212">
        <v>2.786</v>
      </c>
      <c r="BU328" s="212">
        <v>2.786</v>
      </c>
      <c r="BV328" s="212">
        <v>3.6970000000000001</v>
      </c>
      <c r="BW328" s="91">
        <f t="shared" si="73"/>
        <v>1.6606111002314815E-2</v>
      </c>
      <c r="BX328" s="212">
        <v>0.4</v>
      </c>
      <c r="BY328" s="212">
        <v>9</v>
      </c>
      <c r="BZ328" s="212">
        <v>6.25</v>
      </c>
      <c r="CA328" s="212">
        <v>4.37</v>
      </c>
      <c r="CB328" s="91">
        <f t="shared" si="70"/>
        <v>0.14225260416666666</v>
      </c>
      <c r="CC328" s="212">
        <f>BX328*CG328+0.25</f>
        <v>2.6500000000000004</v>
      </c>
      <c r="CD328" s="303"/>
      <c r="CE328" s="303"/>
      <c r="CF328" s="211" t="s">
        <v>134</v>
      </c>
      <c r="CG328" s="212">
        <v>6</v>
      </c>
      <c r="CH328" s="212">
        <v>30</v>
      </c>
      <c r="CI328" s="212">
        <v>10</v>
      </c>
      <c r="CJ328" s="27">
        <f t="shared" si="71"/>
        <v>1800</v>
      </c>
      <c r="CK328" s="27">
        <f t="shared" si="72"/>
        <v>845.00000000000011</v>
      </c>
      <c r="CL328" s="212" t="s">
        <v>139</v>
      </c>
      <c r="CM328" s="27" t="s">
        <v>136</v>
      </c>
      <c r="CN328" s="14"/>
      <c r="CO328" s="14"/>
      <c r="CP328" s="260"/>
      <c r="CQ328" s="260"/>
      <c r="CR328" s="260"/>
      <c r="CS328" s="260"/>
      <c r="CT328" s="260"/>
      <c r="CU328" s="260"/>
    </row>
    <row r="329" spans="1:99" s="261" customFormat="1" ht="30" customHeight="1" x14ac:dyDescent="0.25">
      <c r="A329" s="239">
        <v>41685</v>
      </c>
      <c r="B329" s="239"/>
      <c r="C329" s="212" t="s">
        <v>1677</v>
      </c>
      <c r="D329" s="212" t="s">
        <v>105</v>
      </c>
      <c r="E329" s="211" t="s">
        <v>1667</v>
      </c>
      <c r="F329" s="262" t="s">
        <v>1678</v>
      </c>
      <c r="G329" s="403"/>
      <c r="H329" s="403"/>
      <c r="I329" s="403"/>
      <c r="J329" s="179" t="s">
        <v>278</v>
      </c>
      <c r="K329" s="25" t="s">
        <v>1679</v>
      </c>
      <c r="L329" s="162" t="s">
        <v>1346</v>
      </c>
      <c r="M329" s="25">
        <v>95810722210</v>
      </c>
      <c r="N329" s="25"/>
      <c r="O329" s="26"/>
      <c r="P329" s="236"/>
      <c r="Q329" s="236"/>
      <c r="R329" s="222"/>
      <c r="S329" s="222"/>
      <c r="T329" s="222"/>
      <c r="U329" s="222"/>
      <c r="V329" s="222"/>
      <c r="W329" s="222"/>
      <c r="X329" s="222"/>
      <c r="Y329" s="222"/>
      <c r="Z329" s="222"/>
      <c r="AA329" s="222"/>
      <c r="AB329" s="222"/>
      <c r="AC329" s="222"/>
      <c r="AD329" s="222"/>
      <c r="AE329" s="222"/>
      <c r="AF329" s="222"/>
      <c r="AG329" s="222"/>
      <c r="AH329" s="222"/>
      <c r="AI329" s="222"/>
      <c r="AJ329" s="222"/>
      <c r="AK329" s="222"/>
      <c r="AL329" s="222"/>
      <c r="AM329" s="222"/>
      <c r="AN329" s="255"/>
      <c r="AO329" s="255"/>
      <c r="AP329" s="25">
        <v>84462</v>
      </c>
      <c r="AQ329" s="255"/>
      <c r="AR329" s="256"/>
      <c r="AS329" s="255" t="s">
        <v>1677</v>
      </c>
      <c r="AT329" s="256"/>
      <c r="AU329" s="256" t="s">
        <v>1680</v>
      </c>
      <c r="AV329" s="255" t="s">
        <v>1681</v>
      </c>
      <c r="AW329" s="255"/>
      <c r="AX329" s="255"/>
      <c r="AY329" s="255"/>
      <c r="AZ329" s="255"/>
      <c r="BA329" s="255"/>
      <c r="BB329" s="255"/>
      <c r="BC329" s="255"/>
      <c r="BD329" s="255">
        <v>7462</v>
      </c>
      <c r="BE329" s="255" t="s">
        <v>1682</v>
      </c>
      <c r="BF329" s="255" t="s">
        <v>1683</v>
      </c>
      <c r="BG329" s="255"/>
      <c r="BH329" s="255"/>
      <c r="BI329" s="255" t="s">
        <v>1684</v>
      </c>
      <c r="BJ329" s="255" t="s">
        <v>1685</v>
      </c>
      <c r="BK329" s="118">
        <v>15.19</v>
      </c>
      <c r="BL329" s="243" t="s">
        <v>1686</v>
      </c>
      <c r="BM329" s="243" t="s">
        <v>1687</v>
      </c>
      <c r="BN329" s="243"/>
      <c r="BO329" s="243"/>
      <c r="BP329" s="243"/>
      <c r="BQ329" s="243"/>
      <c r="BR329" s="243"/>
      <c r="BS329" s="243"/>
      <c r="BT329" s="212">
        <v>3.8479999999999999</v>
      </c>
      <c r="BU329" s="212">
        <v>3.8479999999999999</v>
      </c>
      <c r="BV329" s="212">
        <v>5.4470000000000001</v>
      </c>
      <c r="BW329" s="91">
        <f t="shared" si="73"/>
        <v>4.6674939518518511E-2</v>
      </c>
      <c r="BX329" s="212">
        <v>0.5</v>
      </c>
      <c r="BY329" s="212">
        <v>11.93</v>
      </c>
      <c r="BZ329" s="212">
        <v>8</v>
      </c>
      <c r="CA329" s="212">
        <v>6</v>
      </c>
      <c r="CB329" s="91">
        <f t="shared" si="70"/>
        <v>0.3313888888888889</v>
      </c>
      <c r="CC329" s="212">
        <f>BX329*CG329+0.25</f>
        <v>3.25</v>
      </c>
      <c r="CD329" s="303"/>
      <c r="CE329" s="303"/>
      <c r="CF329" s="211" t="s">
        <v>134</v>
      </c>
      <c r="CG329" s="212">
        <v>6</v>
      </c>
      <c r="CH329" s="212">
        <v>20</v>
      </c>
      <c r="CI329" s="212">
        <v>7</v>
      </c>
      <c r="CJ329" s="27">
        <f t="shared" si="71"/>
        <v>840</v>
      </c>
      <c r="CK329" s="27">
        <f t="shared" si="72"/>
        <v>505</v>
      </c>
      <c r="CL329" s="212" t="s">
        <v>321</v>
      </c>
      <c r="CM329" s="27" t="s">
        <v>136</v>
      </c>
      <c r="CN329" s="237"/>
      <c r="CO329" s="237"/>
      <c r="CP329" s="260"/>
      <c r="CQ329" s="260"/>
      <c r="CR329" s="260"/>
      <c r="CS329" s="260"/>
      <c r="CT329" s="260"/>
      <c r="CU329" s="260"/>
    </row>
    <row r="330" spans="1:99" s="261" customFormat="1" ht="30" x14ac:dyDescent="0.25">
      <c r="A330" s="239">
        <v>41685</v>
      </c>
      <c r="B330" s="239"/>
      <c r="C330" s="212" t="s">
        <v>1688</v>
      </c>
      <c r="D330" s="212" t="s">
        <v>105</v>
      </c>
      <c r="E330" s="211" t="s">
        <v>1575</v>
      </c>
      <c r="F330" s="262" t="s">
        <v>1689</v>
      </c>
      <c r="G330" s="403"/>
      <c r="H330" s="403"/>
      <c r="I330" s="403"/>
      <c r="J330" s="179" t="s">
        <v>90</v>
      </c>
      <c r="K330" s="25" t="s">
        <v>1690</v>
      </c>
      <c r="L330" s="162" t="s">
        <v>47</v>
      </c>
      <c r="M330" s="25" t="s">
        <v>1691</v>
      </c>
      <c r="N330" s="25"/>
      <c r="O330" s="26"/>
      <c r="P330" s="236"/>
      <c r="Q330" s="236"/>
      <c r="R330" s="222"/>
      <c r="S330" s="222"/>
      <c r="T330" s="222"/>
      <c r="U330" s="222"/>
      <c r="V330" s="222"/>
      <c r="W330" s="222"/>
      <c r="X330" s="222"/>
      <c r="Y330" s="222"/>
      <c r="Z330" s="222"/>
      <c r="AA330" s="222"/>
      <c r="AB330" s="222"/>
      <c r="AC330" s="222"/>
      <c r="AD330" s="222"/>
      <c r="AE330" s="222"/>
      <c r="AF330" s="222"/>
      <c r="AG330" s="222"/>
      <c r="AH330" s="222"/>
      <c r="AI330" s="222"/>
      <c r="AJ330" s="222"/>
      <c r="AK330" s="222"/>
      <c r="AL330" s="222"/>
      <c r="AM330" s="222"/>
      <c r="AN330" s="255"/>
      <c r="AO330" s="255"/>
      <c r="AP330" s="25">
        <v>89367</v>
      </c>
      <c r="AQ330" s="255"/>
      <c r="AR330" s="256"/>
      <c r="AS330" s="255"/>
      <c r="AT330" s="256"/>
      <c r="AU330" s="256" t="s">
        <v>1692</v>
      </c>
      <c r="AV330" s="255" t="s">
        <v>1693</v>
      </c>
      <c r="AW330" s="255"/>
      <c r="AX330" s="255"/>
      <c r="AY330" s="255"/>
      <c r="AZ330" s="255"/>
      <c r="BA330" s="255"/>
      <c r="BB330" s="255"/>
      <c r="BC330" s="255"/>
      <c r="BD330" s="255">
        <v>4367</v>
      </c>
      <c r="BE330" s="255" t="s">
        <v>1694</v>
      </c>
      <c r="BF330" s="255" t="s">
        <v>1694</v>
      </c>
      <c r="BG330" s="255" t="s">
        <v>1688</v>
      </c>
      <c r="BH330" s="255"/>
      <c r="BI330" s="255" t="s">
        <v>1695</v>
      </c>
      <c r="BJ330" s="255" t="s">
        <v>1696</v>
      </c>
      <c r="BK330" s="118">
        <v>19.809999999999999</v>
      </c>
      <c r="BL330" s="243" t="s">
        <v>1697</v>
      </c>
      <c r="BM330" s="243" t="s">
        <v>1698</v>
      </c>
      <c r="BN330" s="243"/>
      <c r="BO330" s="243"/>
      <c r="BP330" s="243"/>
      <c r="BQ330" s="243"/>
      <c r="BR330" s="243"/>
      <c r="BS330" s="243"/>
      <c r="BT330" s="599" t="s">
        <v>875</v>
      </c>
      <c r="BU330" s="603"/>
      <c r="BV330" s="603"/>
      <c r="BW330" s="603"/>
      <c r="BX330" s="603"/>
      <c r="BY330" s="212">
        <v>12</v>
      </c>
      <c r="BZ330" s="212">
        <v>12</v>
      </c>
      <c r="CA330" s="212">
        <v>9</v>
      </c>
      <c r="CB330" s="91">
        <f t="shared" si="70"/>
        <v>0.75</v>
      </c>
      <c r="CC330" s="212">
        <v>1.69</v>
      </c>
      <c r="CD330" s="303"/>
      <c r="CE330" s="303"/>
      <c r="CF330" s="211" t="s">
        <v>134</v>
      </c>
      <c r="CG330" s="212">
        <v>6</v>
      </c>
      <c r="CH330" s="212">
        <v>12</v>
      </c>
      <c r="CI330" s="212">
        <v>5</v>
      </c>
      <c r="CJ330" s="27">
        <f t="shared" si="71"/>
        <v>360</v>
      </c>
      <c r="CK330" s="27">
        <f t="shared" si="72"/>
        <v>151.4</v>
      </c>
      <c r="CL330" s="27" t="s">
        <v>256</v>
      </c>
      <c r="CM330" s="27" t="s">
        <v>136</v>
      </c>
      <c r="CN330" s="237"/>
      <c r="CO330" s="237"/>
      <c r="CP330" s="260"/>
      <c r="CQ330" s="260"/>
      <c r="CR330" s="260"/>
      <c r="CS330" s="260"/>
      <c r="CT330" s="260"/>
      <c r="CU330" s="260"/>
    </row>
    <row r="331" spans="1:99" s="261" customFormat="1" ht="15" customHeight="1" x14ac:dyDescent="0.25">
      <c r="A331" s="239">
        <v>41671</v>
      </c>
      <c r="B331" s="239"/>
      <c r="C331" s="212" t="s">
        <v>1699</v>
      </c>
      <c r="D331" s="214" t="s">
        <v>54</v>
      </c>
      <c r="E331" s="262" t="s">
        <v>1700</v>
      </c>
      <c r="F331" s="263" t="s">
        <v>1701</v>
      </c>
      <c r="G331" s="263"/>
      <c r="H331" s="263"/>
      <c r="I331" s="263"/>
      <c r="J331" s="179" t="s">
        <v>643</v>
      </c>
      <c r="K331" s="179" t="s">
        <v>1702</v>
      </c>
      <c r="L331" s="25"/>
      <c r="M331" s="25"/>
      <c r="N331" s="25"/>
      <c r="O331" s="222"/>
      <c r="P331" s="222"/>
      <c r="Q331" s="222"/>
      <c r="R331" s="222"/>
      <c r="S331" s="222"/>
      <c r="T331" s="222"/>
      <c r="U331" s="222"/>
      <c r="V331" s="222"/>
      <c r="W331" s="222"/>
      <c r="X331" s="222"/>
      <c r="Y331" s="222"/>
      <c r="Z331" s="222"/>
      <c r="AA331" s="222"/>
      <c r="AB331" s="222"/>
      <c r="AC331" s="222"/>
      <c r="AD331" s="222"/>
      <c r="AE331" s="222"/>
      <c r="AF331" s="222"/>
      <c r="AG331" s="222"/>
      <c r="AH331" s="222"/>
      <c r="AI331" s="222"/>
      <c r="AJ331" s="222"/>
      <c r="AK331" s="222"/>
      <c r="AL331" s="222"/>
      <c r="AM331" s="222"/>
      <c r="AN331" s="255" t="s">
        <v>1703</v>
      </c>
      <c r="AO331" s="255"/>
      <c r="AP331" s="25"/>
      <c r="AQ331" s="255"/>
      <c r="AR331" s="256" t="s">
        <v>1704</v>
      </c>
      <c r="AS331" s="255"/>
      <c r="AT331" s="256" t="s">
        <v>1705</v>
      </c>
      <c r="AU331" s="255"/>
      <c r="AV331" s="255"/>
      <c r="AW331" s="255"/>
      <c r="AX331" s="255"/>
      <c r="AY331" s="255"/>
      <c r="AZ331" s="255"/>
      <c r="BA331" s="255"/>
      <c r="BB331" s="255"/>
      <c r="BC331" s="255"/>
      <c r="BD331" s="255"/>
      <c r="BE331" s="255"/>
      <c r="BF331" s="255"/>
      <c r="BG331" s="255"/>
      <c r="BH331" s="255"/>
      <c r="BI331" s="255"/>
      <c r="BJ331" s="255"/>
      <c r="BK331" s="118">
        <v>98.12</v>
      </c>
      <c r="BL331" s="212" t="s">
        <v>1706</v>
      </c>
      <c r="BM331" s="212" t="s">
        <v>1707</v>
      </c>
      <c r="BN331" s="212"/>
      <c r="BO331" s="212"/>
      <c r="BP331" s="212"/>
      <c r="BQ331" s="212"/>
      <c r="BR331" s="212"/>
      <c r="BS331" s="212"/>
      <c r="BT331" s="598" t="s">
        <v>355</v>
      </c>
      <c r="BU331" s="598"/>
      <c r="BV331" s="598"/>
      <c r="BW331" s="598"/>
      <c r="BX331" s="598"/>
      <c r="BY331" s="264">
        <v>2.375</v>
      </c>
      <c r="BZ331" s="264">
        <v>2.5</v>
      </c>
      <c r="CA331" s="264">
        <v>8.875</v>
      </c>
      <c r="CB331" s="91">
        <f t="shared" si="70"/>
        <v>3.0494972511574073E-2</v>
      </c>
      <c r="CC331" s="265">
        <f>0.55+0.1</f>
        <v>0.65</v>
      </c>
      <c r="CD331" s="265"/>
      <c r="CE331" s="265"/>
      <c r="CF331" s="212" t="s">
        <v>134</v>
      </c>
      <c r="CG331" s="212">
        <v>1</v>
      </c>
      <c r="CH331" s="212">
        <v>156</v>
      </c>
      <c r="CI331" s="212">
        <v>4</v>
      </c>
      <c r="CJ331" s="27">
        <f t="shared" si="71"/>
        <v>624</v>
      </c>
      <c r="CK331" s="27">
        <f t="shared" si="72"/>
        <v>455.6</v>
      </c>
      <c r="CL331" s="27" t="s">
        <v>649</v>
      </c>
      <c r="CM331" s="27" t="s">
        <v>136</v>
      </c>
      <c r="CN331" s="237"/>
      <c r="CO331" s="237"/>
      <c r="CP331" s="260"/>
      <c r="CQ331" s="260"/>
      <c r="CR331" s="260"/>
      <c r="CS331" s="260"/>
      <c r="CT331" s="260"/>
      <c r="CU331" s="260"/>
    </row>
    <row r="332" spans="1:99" s="261" customFormat="1" ht="15" customHeight="1" x14ac:dyDescent="0.25">
      <c r="A332" s="239">
        <v>41671</v>
      </c>
      <c r="B332" s="239"/>
      <c r="C332" s="211" t="s">
        <v>1708</v>
      </c>
      <c r="D332" s="214" t="s">
        <v>54</v>
      </c>
      <c r="E332" s="262" t="s">
        <v>1709</v>
      </c>
      <c r="F332" s="251" t="s">
        <v>1710</v>
      </c>
      <c r="G332" s="251"/>
      <c r="H332" s="251"/>
      <c r="I332" s="251"/>
      <c r="J332" s="222" t="s">
        <v>519</v>
      </c>
      <c r="K332" s="214" t="s">
        <v>1711</v>
      </c>
      <c r="L332" s="25"/>
      <c r="M332" s="25"/>
      <c r="N332" s="25"/>
      <c r="O332" s="222"/>
      <c r="P332" s="222"/>
      <c r="Q332" s="222"/>
      <c r="R332" s="222"/>
      <c r="S332" s="222"/>
      <c r="T332" s="222"/>
      <c r="U332" s="222"/>
      <c r="V332" s="222"/>
      <c r="W332" s="222"/>
      <c r="X332" s="222"/>
      <c r="Y332" s="222"/>
      <c r="Z332" s="222"/>
      <c r="AA332" s="222"/>
      <c r="AB332" s="222"/>
      <c r="AC332" s="222"/>
      <c r="AD332" s="222"/>
      <c r="AE332" s="222"/>
      <c r="AF332" s="222"/>
      <c r="AG332" s="222"/>
      <c r="AH332" s="222"/>
      <c r="AI332" s="222"/>
      <c r="AJ332" s="222"/>
      <c r="AK332" s="222"/>
      <c r="AL332" s="222"/>
      <c r="AM332" s="222"/>
      <c r="AN332" s="255" t="s">
        <v>1712</v>
      </c>
      <c r="AO332" s="255"/>
      <c r="AP332" s="25"/>
      <c r="AQ332" s="255"/>
      <c r="AR332" s="256"/>
      <c r="AS332" s="255"/>
      <c r="AT332" s="256" t="s">
        <v>1713</v>
      </c>
      <c r="AU332" s="255" t="s">
        <v>1714</v>
      </c>
      <c r="AV332" s="255"/>
      <c r="AW332" s="255"/>
      <c r="AX332" s="255"/>
      <c r="AY332" s="255"/>
      <c r="AZ332" s="255"/>
      <c r="BA332" s="255"/>
      <c r="BB332" s="255"/>
      <c r="BC332" s="255"/>
      <c r="BD332" s="255"/>
      <c r="BE332" s="255"/>
      <c r="BF332" s="255"/>
      <c r="BG332" s="255"/>
      <c r="BH332" s="255"/>
      <c r="BI332" s="255"/>
      <c r="BJ332" s="255">
        <v>57799</v>
      </c>
      <c r="BK332" s="118">
        <v>31.95</v>
      </c>
      <c r="BL332" s="243" t="s">
        <v>1715</v>
      </c>
      <c r="BM332" s="243" t="s">
        <v>1716</v>
      </c>
      <c r="BN332" s="243"/>
      <c r="BO332" s="243"/>
      <c r="BP332" s="243"/>
      <c r="BQ332" s="243"/>
      <c r="BR332" s="243"/>
      <c r="BS332" s="243"/>
      <c r="BT332" s="599" t="s">
        <v>875</v>
      </c>
      <c r="BU332" s="603"/>
      <c r="BV332" s="603"/>
      <c r="BW332" s="603"/>
      <c r="BX332" s="603"/>
      <c r="BY332" s="93">
        <v>18.056000000000001</v>
      </c>
      <c r="BZ332" s="93">
        <v>12.055999999999999</v>
      </c>
      <c r="CA332" s="93">
        <v>11.231999999999999</v>
      </c>
      <c r="CB332" s="91">
        <f t="shared" si="70"/>
        <v>1.4149403839999997</v>
      </c>
      <c r="CC332" s="93">
        <f>3.5*6+0.4</f>
        <v>21.4</v>
      </c>
      <c r="CD332" s="301"/>
      <c r="CE332" s="301"/>
      <c r="CF332" s="211" t="s">
        <v>134</v>
      </c>
      <c r="CG332" s="211">
        <v>6</v>
      </c>
      <c r="CH332" s="211">
        <v>8</v>
      </c>
      <c r="CI332" s="211">
        <v>4</v>
      </c>
      <c r="CJ332" s="27">
        <f t="shared" si="71"/>
        <v>192</v>
      </c>
      <c r="CK332" s="27">
        <f t="shared" si="72"/>
        <v>734.8</v>
      </c>
      <c r="CL332" s="27" t="s">
        <v>256</v>
      </c>
      <c r="CM332" s="27" t="s">
        <v>136</v>
      </c>
      <c r="CN332" s="237"/>
      <c r="CO332" s="237"/>
      <c r="CP332" s="260"/>
      <c r="CQ332" s="260"/>
      <c r="CR332" s="260"/>
      <c r="CS332" s="260"/>
      <c r="CT332" s="260"/>
      <c r="CU332" s="260"/>
    </row>
    <row r="333" spans="1:99" s="261" customFormat="1" x14ac:dyDescent="0.25">
      <c r="A333" s="239">
        <v>41671</v>
      </c>
      <c r="B333" s="239"/>
      <c r="C333" s="212" t="s">
        <v>1717</v>
      </c>
      <c r="D333" s="214" t="s">
        <v>54</v>
      </c>
      <c r="E333" s="222" t="s">
        <v>1718</v>
      </c>
      <c r="F333" s="262" t="s">
        <v>1719</v>
      </c>
      <c r="G333" s="403"/>
      <c r="H333" s="403"/>
      <c r="I333" s="403"/>
      <c r="J333" s="262" t="s">
        <v>1720</v>
      </c>
      <c r="K333" s="25" t="s">
        <v>1721</v>
      </c>
      <c r="L333" s="162"/>
      <c r="M333" s="25"/>
      <c r="N333" s="25"/>
      <c r="O333" s="222"/>
      <c r="P333" s="222"/>
      <c r="Q333" s="222"/>
      <c r="R333" s="222"/>
      <c r="S333" s="222"/>
      <c r="T333" s="222"/>
      <c r="U333" s="222"/>
      <c r="V333" s="222"/>
      <c r="W333" s="222"/>
      <c r="X333" s="222"/>
      <c r="Y333" s="222"/>
      <c r="Z333" s="222"/>
      <c r="AA333" s="222"/>
      <c r="AB333" s="222"/>
      <c r="AC333" s="222"/>
      <c r="AD333" s="222"/>
      <c r="AE333" s="222"/>
      <c r="AF333" s="222"/>
      <c r="AG333" s="222"/>
      <c r="AH333" s="222"/>
      <c r="AI333" s="222"/>
      <c r="AJ333" s="222"/>
      <c r="AK333" s="222"/>
      <c r="AL333" s="222"/>
      <c r="AM333" s="222"/>
      <c r="AN333" s="255"/>
      <c r="AO333" s="255"/>
      <c r="AP333" s="25"/>
      <c r="AQ333" s="255"/>
      <c r="AR333" s="25" t="s">
        <v>1722</v>
      </c>
      <c r="AS333" s="255"/>
      <c r="AT333" s="25"/>
      <c r="AU333" s="255"/>
      <c r="AV333" s="255"/>
      <c r="AW333" s="255"/>
      <c r="AX333" s="255"/>
      <c r="AY333" s="255"/>
      <c r="AZ333" s="255"/>
      <c r="BA333" s="255"/>
      <c r="BB333" s="255"/>
      <c r="BC333" s="255"/>
      <c r="BD333" s="255"/>
      <c r="BE333" s="255"/>
      <c r="BF333" s="255"/>
      <c r="BG333" s="255"/>
      <c r="BH333" s="255"/>
      <c r="BI333" s="255"/>
      <c r="BJ333" s="255"/>
      <c r="BK333" s="118">
        <v>291.25</v>
      </c>
      <c r="BL333" s="212" t="s">
        <v>1723</v>
      </c>
      <c r="BM333" s="245">
        <v>10038568737110</v>
      </c>
      <c r="BN333" s="245"/>
      <c r="BO333" s="245"/>
      <c r="BP333" s="245"/>
      <c r="BQ333" s="245"/>
      <c r="BR333" s="245"/>
      <c r="BS333" s="245"/>
      <c r="BT333" s="598" t="s">
        <v>355</v>
      </c>
      <c r="BU333" s="598"/>
      <c r="BV333" s="598"/>
      <c r="BW333" s="598"/>
      <c r="BX333" s="598"/>
      <c r="BY333" s="264">
        <v>5.25</v>
      </c>
      <c r="BZ333" s="264">
        <v>5.25</v>
      </c>
      <c r="CA333" s="264">
        <v>20.5</v>
      </c>
      <c r="CB333" s="91">
        <f t="shared" si="70"/>
        <v>0.32698567708333331</v>
      </c>
      <c r="CC333" s="265">
        <v>3.25</v>
      </c>
      <c r="CD333" s="265"/>
      <c r="CE333" s="265"/>
      <c r="CF333" s="212" t="s">
        <v>134</v>
      </c>
      <c r="CG333" s="212">
        <v>1</v>
      </c>
      <c r="CH333" s="212">
        <v>36</v>
      </c>
      <c r="CI333" s="212">
        <v>2</v>
      </c>
      <c r="CJ333" s="27">
        <f t="shared" si="71"/>
        <v>72</v>
      </c>
      <c r="CK333" s="27">
        <f t="shared" si="72"/>
        <v>284</v>
      </c>
      <c r="CL333" s="27" t="s">
        <v>135</v>
      </c>
      <c r="CM333" s="27" t="s">
        <v>136</v>
      </c>
      <c r="CN333" s="237"/>
      <c r="CO333" s="237"/>
      <c r="CP333" s="260"/>
      <c r="CQ333" s="260"/>
      <c r="CR333" s="260"/>
      <c r="CS333" s="260"/>
      <c r="CT333" s="260"/>
      <c r="CU333" s="260"/>
    </row>
    <row r="334" spans="1:99" s="261" customFormat="1" x14ac:dyDescent="0.25">
      <c r="A334" s="239">
        <v>41671</v>
      </c>
      <c r="B334" s="239"/>
      <c r="C334" s="212" t="s">
        <v>1724</v>
      </c>
      <c r="D334" s="214" t="s">
        <v>54</v>
      </c>
      <c r="E334" s="222" t="s">
        <v>1725</v>
      </c>
      <c r="F334" s="262" t="s">
        <v>1726</v>
      </c>
      <c r="G334" s="403"/>
      <c r="H334" s="403"/>
      <c r="I334" s="403"/>
      <c r="J334" s="179" t="s">
        <v>1727</v>
      </c>
      <c r="K334" s="25" t="s">
        <v>1728</v>
      </c>
      <c r="L334" s="162"/>
      <c r="M334" s="25"/>
      <c r="N334" s="25"/>
      <c r="O334" s="222"/>
      <c r="P334" s="222"/>
      <c r="Q334" s="222"/>
      <c r="R334" s="222"/>
      <c r="S334" s="222"/>
      <c r="T334" s="222"/>
      <c r="U334" s="222"/>
      <c r="V334" s="222"/>
      <c r="W334" s="222"/>
      <c r="X334" s="222"/>
      <c r="Y334" s="222"/>
      <c r="Z334" s="222"/>
      <c r="AA334" s="222"/>
      <c r="AB334" s="222"/>
      <c r="AC334" s="222"/>
      <c r="AD334" s="222"/>
      <c r="AE334" s="222"/>
      <c r="AF334" s="222"/>
      <c r="AG334" s="222"/>
      <c r="AH334" s="222"/>
      <c r="AI334" s="222"/>
      <c r="AJ334" s="222"/>
      <c r="AK334" s="222"/>
      <c r="AL334" s="222"/>
      <c r="AM334" s="222"/>
      <c r="AN334" s="255" t="s">
        <v>1729</v>
      </c>
      <c r="AO334" s="255"/>
      <c r="AP334" s="25"/>
      <c r="AQ334" s="255"/>
      <c r="AR334" s="25" t="s">
        <v>1730</v>
      </c>
      <c r="AS334" s="255"/>
      <c r="AT334" s="25" t="s">
        <v>1731</v>
      </c>
      <c r="AU334" s="255" t="s">
        <v>1732</v>
      </c>
      <c r="AV334" s="255"/>
      <c r="AW334" s="255"/>
      <c r="AX334" s="255"/>
      <c r="AY334" s="255"/>
      <c r="AZ334" s="255"/>
      <c r="BA334" s="255"/>
      <c r="BB334" s="255"/>
      <c r="BC334" s="255"/>
      <c r="BD334" s="255"/>
      <c r="BE334" s="255" t="s">
        <v>1733</v>
      </c>
      <c r="BF334" s="255"/>
      <c r="BG334" s="255"/>
      <c r="BH334" s="255"/>
      <c r="BI334" s="255"/>
      <c r="BJ334" s="255">
        <v>42763</v>
      </c>
      <c r="BK334" s="118">
        <v>29.85</v>
      </c>
      <c r="BL334" s="212" t="s">
        <v>1734</v>
      </c>
      <c r="BM334" s="245">
        <v>10038568738018</v>
      </c>
      <c r="BN334" s="245"/>
      <c r="BO334" s="245"/>
      <c r="BP334" s="245"/>
      <c r="BQ334" s="245"/>
      <c r="BR334" s="245"/>
      <c r="BS334" s="245"/>
      <c r="BT334" s="598" t="s">
        <v>355</v>
      </c>
      <c r="BU334" s="598"/>
      <c r="BV334" s="598"/>
      <c r="BW334" s="598"/>
      <c r="BX334" s="598"/>
      <c r="BY334" s="264">
        <v>7.25</v>
      </c>
      <c r="BZ334" s="264">
        <v>9.1199999999999992</v>
      </c>
      <c r="CA334" s="264">
        <v>14.5</v>
      </c>
      <c r="CB334" s="91">
        <f t="shared" si="70"/>
        <v>0.5548263888888888</v>
      </c>
      <c r="CC334" s="265">
        <f>2.61+0.25</f>
        <v>2.86</v>
      </c>
      <c r="CD334" s="265"/>
      <c r="CE334" s="265"/>
      <c r="CF334" s="212" t="s">
        <v>134</v>
      </c>
      <c r="CG334" s="212">
        <v>1</v>
      </c>
      <c r="CH334" s="212">
        <v>13</v>
      </c>
      <c r="CI334" s="212">
        <v>5</v>
      </c>
      <c r="CJ334" s="27">
        <f t="shared" si="71"/>
        <v>65</v>
      </c>
      <c r="CK334" s="27">
        <f t="shared" si="72"/>
        <v>235.9</v>
      </c>
      <c r="CL334" s="27" t="s">
        <v>256</v>
      </c>
      <c r="CM334" s="27" t="s">
        <v>136</v>
      </c>
      <c r="CN334" s="237"/>
      <c r="CO334" s="237"/>
      <c r="CP334" s="260"/>
      <c r="CQ334" s="260"/>
      <c r="CR334" s="260"/>
      <c r="CS334" s="260"/>
      <c r="CT334" s="260"/>
      <c r="CU334" s="260"/>
    </row>
    <row r="335" spans="1:99" s="261" customFormat="1" ht="30" x14ac:dyDescent="0.25">
      <c r="A335" s="239">
        <v>41671</v>
      </c>
      <c r="B335" s="239"/>
      <c r="C335" s="211" t="s">
        <v>1735</v>
      </c>
      <c r="D335" s="214" t="s">
        <v>88</v>
      </c>
      <c r="E335" s="222" t="s">
        <v>71</v>
      </c>
      <c r="F335" s="262" t="s">
        <v>1736</v>
      </c>
      <c r="G335" s="403"/>
      <c r="H335" s="403"/>
      <c r="I335" s="403"/>
      <c r="J335" s="179" t="s">
        <v>333</v>
      </c>
      <c r="K335" s="25" t="s">
        <v>1737</v>
      </c>
      <c r="L335" s="25" t="s">
        <v>903</v>
      </c>
      <c r="M335" s="25" t="s">
        <v>1738</v>
      </c>
      <c r="N335" s="25"/>
      <c r="O335" s="222"/>
      <c r="P335" s="222"/>
      <c r="Q335" s="222"/>
      <c r="R335" s="222"/>
      <c r="S335" s="222"/>
      <c r="T335" s="222"/>
      <c r="U335" s="222"/>
      <c r="V335" s="222"/>
      <c r="W335" s="222"/>
      <c r="X335" s="222"/>
      <c r="Y335" s="222"/>
      <c r="Z335" s="222"/>
      <c r="AA335" s="222"/>
      <c r="AB335" s="222"/>
      <c r="AC335" s="222"/>
      <c r="AD335" s="222"/>
      <c r="AE335" s="222"/>
      <c r="AF335" s="222"/>
      <c r="AG335" s="222"/>
      <c r="AH335" s="222"/>
      <c r="AI335" s="222"/>
      <c r="AJ335" s="222"/>
      <c r="AK335" s="222"/>
      <c r="AL335" s="222"/>
      <c r="AM335" s="222"/>
      <c r="AN335" s="255"/>
      <c r="AO335" s="255"/>
      <c r="AP335" s="25">
        <v>83746</v>
      </c>
      <c r="AQ335" s="255"/>
      <c r="AR335" s="25"/>
      <c r="AS335" s="255"/>
      <c r="AT335" s="25"/>
      <c r="AU335" s="255" t="s">
        <v>1739</v>
      </c>
      <c r="AV335" s="255" t="s">
        <v>1740</v>
      </c>
      <c r="AW335" s="255"/>
      <c r="AX335" s="255" t="s">
        <v>1741</v>
      </c>
      <c r="AY335" s="255"/>
      <c r="AZ335" s="255"/>
      <c r="BA335" s="255"/>
      <c r="BB335" s="255" t="s">
        <v>1735</v>
      </c>
      <c r="BC335" s="255"/>
      <c r="BD335" s="255">
        <v>9746</v>
      </c>
      <c r="BE335" s="255" t="s">
        <v>1742</v>
      </c>
      <c r="BF335" s="255" t="s">
        <v>1743</v>
      </c>
      <c r="BG335" s="255"/>
      <c r="BH335" s="255"/>
      <c r="BI335" s="255" t="s">
        <v>1744</v>
      </c>
      <c r="BJ335" s="255">
        <v>49746</v>
      </c>
      <c r="BK335" s="118">
        <v>26.95</v>
      </c>
      <c r="BL335" s="243" t="s">
        <v>1745</v>
      </c>
      <c r="BM335" s="245">
        <v>10038568738315</v>
      </c>
      <c r="BN335" s="245"/>
      <c r="BO335" s="245"/>
      <c r="BP335" s="245"/>
      <c r="BQ335" s="245"/>
      <c r="BR335" s="245"/>
      <c r="BS335" s="245"/>
      <c r="BT335" s="264">
        <v>10.536</v>
      </c>
      <c r="BU335" s="264">
        <v>2.786</v>
      </c>
      <c r="BV335" s="264">
        <v>15.036</v>
      </c>
      <c r="BW335" s="91">
        <f>(BV335*BU335*BT335)/1728</f>
        <v>0.25541444366666666</v>
      </c>
      <c r="BX335" s="264">
        <f>0.81+0.1</f>
        <v>0.91</v>
      </c>
      <c r="BY335" s="264">
        <v>15.68</v>
      </c>
      <c r="BZ335" s="264">
        <v>11.81</v>
      </c>
      <c r="CA335" s="264">
        <v>9.6199999999999992</v>
      </c>
      <c r="CB335" s="91">
        <f t="shared" si="70"/>
        <v>1.0309255185185184</v>
      </c>
      <c r="CC335" s="265">
        <f>BX335*CG335</f>
        <v>2.73</v>
      </c>
      <c r="CD335" s="265"/>
      <c r="CE335" s="265"/>
      <c r="CF335" s="212" t="s">
        <v>134</v>
      </c>
      <c r="CG335" s="212">
        <v>3</v>
      </c>
      <c r="CH335" s="212">
        <v>10</v>
      </c>
      <c r="CI335" s="212">
        <v>4</v>
      </c>
      <c r="CJ335" s="27">
        <f t="shared" si="71"/>
        <v>120</v>
      </c>
      <c r="CK335" s="27">
        <f t="shared" si="72"/>
        <v>159.19999999999999</v>
      </c>
      <c r="CL335" s="27" t="s">
        <v>139</v>
      </c>
      <c r="CM335" s="27" t="s">
        <v>136</v>
      </c>
      <c r="CN335" s="237"/>
      <c r="CO335" s="237"/>
      <c r="CP335" s="260"/>
      <c r="CQ335" s="260"/>
      <c r="CR335" s="260"/>
      <c r="CS335" s="260"/>
      <c r="CT335" s="260"/>
      <c r="CU335" s="260"/>
    </row>
    <row r="336" spans="1:99" s="261" customFormat="1" x14ac:dyDescent="0.25">
      <c r="A336" s="239">
        <v>41671</v>
      </c>
      <c r="B336" s="239"/>
      <c r="C336" s="212" t="s">
        <v>1746</v>
      </c>
      <c r="D336" s="214" t="s">
        <v>88</v>
      </c>
      <c r="E336" s="222" t="s">
        <v>71</v>
      </c>
      <c r="F336" s="262" t="s">
        <v>1747</v>
      </c>
      <c r="G336" s="403"/>
      <c r="H336" s="403"/>
      <c r="I336" s="403"/>
      <c r="J336" s="179" t="s">
        <v>269</v>
      </c>
      <c r="K336" s="25" t="s">
        <v>1748</v>
      </c>
      <c r="L336" s="25"/>
      <c r="M336" s="25"/>
      <c r="N336" s="25"/>
      <c r="O336" s="222"/>
      <c r="P336" s="222"/>
      <c r="Q336" s="222"/>
      <c r="R336" s="222"/>
      <c r="S336" s="222"/>
      <c r="T336" s="222"/>
      <c r="U336" s="222"/>
      <c r="V336" s="222"/>
      <c r="W336" s="222"/>
      <c r="X336" s="222"/>
      <c r="Y336" s="222"/>
      <c r="Z336" s="222"/>
      <c r="AA336" s="222"/>
      <c r="AB336" s="222"/>
      <c r="AC336" s="222"/>
      <c r="AD336" s="222"/>
      <c r="AE336" s="222"/>
      <c r="AF336" s="222"/>
      <c r="AG336" s="222"/>
      <c r="AH336" s="222"/>
      <c r="AI336" s="222"/>
      <c r="AJ336" s="222"/>
      <c r="AK336" s="222"/>
      <c r="AL336" s="222"/>
      <c r="AM336" s="222"/>
      <c r="AN336" s="255"/>
      <c r="AO336" s="255"/>
      <c r="AP336" s="25"/>
      <c r="AQ336" s="255"/>
      <c r="AR336" s="25"/>
      <c r="AS336" s="255"/>
      <c r="AT336" s="25"/>
      <c r="AU336" s="255" t="s">
        <v>1749</v>
      </c>
      <c r="AV336" s="255"/>
      <c r="AW336" s="255"/>
      <c r="AX336" s="255"/>
      <c r="AY336" s="255"/>
      <c r="AZ336" s="255"/>
      <c r="BA336" s="255"/>
      <c r="BB336" s="255"/>
      <c r="BC336" s="255"/>
      <c r="BD336" s="255"/>
      <c r="BE336" s="255" t="s">
        <v>1750</v>
      </c>
      <c r="BF336" s="255" t="s">
        <v>1751</v>
      </c>
      <c r="BG336" s="255"/>
      <c r="BH336" s="255"/>
      <c r="BI336" s="255" t="s">
        <v>1752</v>
      </c>
      <c r="BJ336" s="255"/>
      <c r="BK336" s="118">
        <v>19.649999999999999</v>
      </c>
      <c r="BL336" s="243" t="s">
        <v>1753</v>
      </c>
      <c r="BM336" s="245">
        <v>10038568738322</v>
      </c>
      <c r="BN336" s="245"/>
      <c r="BO336" s="245"/>
      <c r="BP336" s="245"/>
      <c r="BQ336" s="245"/>
      <c r="BR336" s="245"/>
      <c r="BS336" s="245"/>
      <c r="BT336" s="264">
        <v>10.036</v>
      </c>
      <c r="BU336" s="264">
        <v>2.536</v>
      </c>
      <c r="BV336" s="264">
        <v>12.571999999999999</v>
      </c>
      <c r="BW336" s="91">
        <f>(BV336*BU336*BT336)/1728</f>
        <v>0.18516996140740738</v>
      </c>
      <c r="BX336" s="264">
        <f>0.78925+0.1</f>
        <v>0.88924999999999998</v>
      </c>
      <c r="BY336" s="264">
        <v>13.25</v>
      </c>
      <c r="BZ336" s="264">
        <v>11</v>
      </c>
      <c r="CA336" s="264">
        <v>9</v>
      </c>
      <c r="CB336" s="91">
        <f t="shared" si="70"/>
        <v>0.75911458333333337</v>
      </c>
      <c r="CC336" s="265">
        <f>BX336*CG336</f>
        <v>2.6677499999999998</v>
      </c>
      <c r="CD336" s="265"/>
      <c r="CE336" s="265"/>
      <c r="CF336" s="212" t="s">
        <v>134</v>
      </c>
      <c r="CG336" s="212">
        <v>3</v>
      </c>
      <c r="CH336" s="212">
        <v>12</v>
      </c>
      <c r="CI336" s="212">
        <v>4</v>
      </c>
      <c r="CJ336" s="27">
        <f t="shared" si="71"/>
        <v>144</v>
      </c>
      <c r="CK336" s="27">
        <f t="shared" si="72"/>
        <v>178.05199999999999</v>
      </c>
      <c r="CL336" s="27" t="s">
        <v>135</v>
      </c>
      <c r="CM336" s="27" t="s">
        <v>136</v>
      </c>
      <c r="CN336" s="237"/>
      <c r="CO336" s="237"/>
      <c r="CP336" s="260"/>
      <c r="CQ336" s="260"/>
      <c r="CR336" s="260"/>
      <c r="CS336" s="260"/>
      <c r="CT336" s="260"/>
      <c r="CU336" s="260"/>
    </row>
    <row r="337" spans="1:99" s="261" customFormat="1" x14ac:dyDescent="0.25">
      <c r="A337" s="239">
        <v>41671</v>
      </c>
      <c r="B337" s="239"/>
      <c r="C337" s="211" t="s">
        <v>1754</v>
      </c>
      <c r="D337" s="214" t="s">
        <v>105</v>
      </c>
      <c r="E337" s="222" t="s">
        <v>71</v>
      </c>
      <c r="F337" s="262" t="s">
        <v>1755</v>
      </c>
      <c r="G337" s="403"/>
      <c r="H337" s="403"/>
      <c r="I337" s="403"/>
      <c r="J337" s="179" t="s">
        <v>235</v>
      </c>
      <c r="K337" s="25" t="s">
        <v>1756</v>
      </c>
      <c r="L337" s="162"/>
      <c r="M337" s="25"/>
      <c r="N337" s="25"/>
      <c r="O337" s="222"/>
      <c r="P337" s="222"/>
      <c r="Q337" s="222"/>
      <c r="R337" s="222"/>
      <c r="S337" s="222"/>
      <c r="T337" s="222"/>
      <c r="U337" s="222"/>
      <c r="V337" s="222"/>
      <c r="W337" s="222"/>
      <c r="X337" s="222"/>
      <c r="Y337" s="222"/>
      <c r="Z337" s="222"/>
      <c r="AA337" s="222"/>
      <c r="AB337" s="222"/>
      <c r="AC337" s="222"/>
      <c r="AD337" s="222"/>
      <c r="AE337" s="222"/>
      <c r="AF337" s="222"/>
      <c r="AG337" s="222"/>
      <c r="AH337" s="222"/>
      <c r="AI337" s="222"/>
      <c r="AJ337" s="222"/>
      <c r="AK337" s="222"/>
      <c r="AL337" s="222"/>
      <c r="AM337" s="222"/>
      <c r="AN337" s="255"/>
      <c r="AO337" s="255"/>
      <c r="AP337" s="25"/>
      <c r="AQ337" s="255"/>
      <c r="AR337" s="25"/>
      <c r="AS337" s="255"/>
      <c r="AT337" s="25"/>
      <c r="AU337" s="255" t="s">
        <v>1757</v>
      </c>
      <c r="AV337" s="255"/>
      <c r="AW337" s="255"/>
      <c r="AX337" s="255"/>
      <c r="AY337" s="255"/>
      <c r="AZ337" s="255"/>
      <c r="BA337" s="255"/>
      <c r="BB337" s="255"/>
      <c r="BC337" s="255"/>
      <c r="BD337" s="255"/>
      <c r="BE337" s="255" t="s">
        <v>1758</v>
      </c>
      <c r="BF337" s="255" t="s">
        <v>1759</v>
      </c>
      <c r="BG337" s="255"/>
      <c r="BH337" s="255"/>
      <c r="BI337" s="255" t="s">
        <v>1760</v>
      </c>
      <c r="BJ337" s="255">
        <v>49091</v>
      </c>
      <c r="BK337" s="118">
        <v>27.93</v>
      </c>
      <c r="BL337" s="243" t="s">
        <v>1761</v>
      </c>
      <c r="BM337" s="243" t="s">
        <v>1762</v>
      </c>
      <c r="BN337" s="243"/>
      <c r="BO337" s="243"/>
      <c r="BP337" s="243"/>
      <c r="BQ337" s="243"/>
      <c r="BR337" s="243"/>
      <c r="BS337" s="243"/>
      <c r="BT337" s="93">
        <v>7.476</v>
      </c>
      <c r="BU337" s="93">
        <v>2.786</v>
      </c>
      <c r="BV337" s="93">
        <v>9.5719999999999992</v>
      </c>
      <c r="BW337" s="91">
        <f>(BV337*BU337*BT337)/1728</f>
        <v>0.11537437372222221</v>
      </c>
      <c r="BX337" s="93">
        <f>0.5+0.1</f>
        <v>0.6</v>
      </c>
      <c r="BY337" s="93">
        <v>8.625</v>
      </c>
      <c r="BZ337" s="93">
        <v>8.625</v>
      </c>
      <c r="CA337" s="93">
        <v>10.75</v>
      </c>
      <c r="CB337" s="91">
        <f t="shared" si="70"/>
        <v>0.46278889973958331</v>
      </c>
      <c r="CC337" s="93">
        <f>BX337*CG337+0.4</f>
        <v>2.1999999999999997</v>
      </c>
      <c r="CD337" s="301"/>
      <c r="CE337" s="301"/>
      <c r="CF337" s="211" t="s">
        <v>134</v>
      </c>
      <c r="CG337" s="211">
        <v>3</v>
      </c>
      <c r="CH337" s="211">
        <v>20</v>
      </c>
      <c r="CI337" s="211">
        <v>4</v>
      </c>
      <c r="CJ337" s="27">
        <f t="shared" si="71"/>
        <v>240</v>
      </c>
      <c r="CK337" s="27">
        <f t="shared" si="72"/>
        <v>225.99999999999997</v>
      </c>
      <c r="CL337" s="27" t="s">
        <v>139</v>
      </c>
      <c r="CM337" s="27" t="s">
        <v>136</v>
      </c>
      <c r="CN337" s="237"/>
      <c r="CO337" s="237"/>
      <c r="CP337" s="260"/>
      <c r="CQ337" s="260"/>
      <c r="CR337" s="260"/>
      <c r="CS337" s="260"/>
      <c r="CT337" s="260"/>
      <c r="CU337" s="260"/>
    </row>
    <row r="338" spans="1:99" s="261" customFormat="1" x14ac:dyDescent="0.25">
      <c r="A338" s="239">
        <v>41671</v>
      </c>
      <c r="B338" s="239"/>
      <c r="C338" s="211" t="s">
        <v>1763</v>
      </c>
      <c r="D338" s="214" t="s">
        <v>105</v>
      </c>
      <c r="E338" s="222" t="s">
        <v>71</v>
      </c>
      <c r="F338" s="262" t="s">
        <v>1764</v>
      </c>
      <c r="G338" s="403"/>
      <c r="H338" s="403"/>
      <c r="I338" s="403"/>
      <c r="J338" s="179" t="s">
        <v>47</v>
      </c>
      <c r="K338" s="25" t="s">
        <v>1765</v>
      </c>
      <c r="L338" s="162"/>
      <c r="M338" s="25"/>
      <c r="N338" s="25"/>
      <c r="O338" s="222"/>
      <c r="P338" s="222"/>
      <c r="Q338" s="222"/>
      <c r="R338" s="222"/>
      <c r="S338" s="222"/>
      <c r="T338" s="222"/>
      <c r="U338" s="222"/>
      <c r="V338" s="222"/>
      <c r="W338" s="222"/>
      <c r="X338" s="222"/>
      <c r="Y338" s="222"/>
      <c r="Z338" s="222"/>
      <c r="AA338" s="222"/>
      <c r="AB338" s="222"/>
      <c r="AC338" s="222"/>
      <c r="AD338" s="222"/>
      <c r="AE338" s="222"/>
      <c r="AF338" s="222"/>
      <c r="AG338" s="222"/>
      <c r="AH338" s="222"/>
      <c r="AI338" s="222"/>
      <c r="AJ338" s="222"/>
      <c r="AK338" s="222"/>
      <c r="AL338" s="222"/>
      <c r="AM338" s="222"/>
      <c r="AN338" s="255" t="s">
        <v>1766</v>
      </c>
      <c r="AO338" s="255"/>
      <c r="AP338" s="25"/>
      <c r="AQ338" s="255"/>
      <c r="AR338" s="25"/>
      <c r="AS338" s="255"/>
      <c r="AT338" s="25"/>
      <c r="AU338" s="255" t="s">
        <v>1767</v>
      </c>
      <c r="AV338" s="255"/>
      <c r="AW338" s="255"/>
      <c r="AX338" s="255"/>
      <c r="AY338" s="255"/>
      <c r="AZ338" s="255"/>
      <c r="BA338" s="255"/>
      <c r="BB338" s="255"/>
      <c r="BC338" s="255"/>
      <c r="BD338" s="255"/>
      <c r="BE338" s="255" t="s">
        <v>1768</v>
      </c>
      <c r="BF338" s="255" t="s">
        <v>1769</v>
      </c>
      <c r="BG338" s="255"/>
      <c r="BH338" s="255"/>
      <c r="BI338" s="255" t="s">
        <v>1770</v>
      </c>
      <c r="BJ338" s="255">
        <v>49017</v>
      </c>
      <c r="BK338" s="118">
        <v>20.96</v>
      </c>
      <c r="BL338" s="243" t="s">
        <v>1771</v>
      </c>
      <c r="BM338" s="243" t="s">
        <v>1772</v>
      </c>
      <c r="BN338" s="243"/>
      <c r="BO338" s="243"/>
      <c r="BP338" s="243"/>
      <c r="BQ338" s="243"/>
      <c r="BR338" s="243"/>
      <c r="BS338" s="243"/>
      <c r="BT338" s="93">
        <v>6.9660000000000002</v>
      </c>
      <c r="BU338" s="93">
        <v>6.9660000000000002</v>
      </c>
      <c r="BV338" s="93">
        <v>9.1920000000000002</v>
      </c>
      <c r="BW338" s="91">
        <f>(BV338*BU338*BT338)/1728</f>
        <v>0.25812687150000008</v>
      </c>
      <c r="BX338" s="93">
        <v>0.4</v>
      </c>
      <c r="BY338" s="93">
        <v>22.12</v>
      </c>
      <c r="BZ338" s="93">
        <v>10.119999999999999</v>
      </c>
      <c r="CA338" s="93">
        <v>10.37</v>
      </c>
      <c r="CB338" s="91">
        <f t="shared" si="70"/>
        <v>1.3433854907407408</v>
      </c>
      <c r="CC338" s="93">
        <f>BX338*CG338+0.4</f>
        <v>1.6</v>
      </c>
      <c r="CD338" s="301"/>
      <c r="CE338" s="301"/>
      <c r="CF338" s="211" t="s">
        <v>134</v>
      </c>
      <c r="CG338" s="211">
        <v>3</v>
      </c>
      <c r="CH338" s="211">
        <v>6</v>
      </c>
      <c r="CI338" s="211">
        <v>4</v>
      </c>
      <c r="CJ338" s="27">
        <f t="shared" si="71"/>
        <v>72</v>
      </c>
      <c r="CK338" s="27">
        <f t="shared" si="72"/>
        <v>88.4</v>
      </c>
      <c r="CL338" s="211" t="s">
        <v>149</v>
      </c>
      <c r="CM338" s="27" t="s">
        <v>136</v>
      </c>
      <c r="CN338" s="237"/>
      <c r="CO338" s="237"/>
      <c r="CP338" s="260"/>
      <c r="CQ338" s="260"/>
      <c r="CR338" s="260"/>
      <c r="CS338" s="260"/>
      <c r="CT338" s="260"/>
      <c r="CU338" s="260"/>
    </row>
    <row r="339" spans="1:99" s="261" customFormat="1" x14ac:dyDescent="0.25">
      <c r="A339" s="239">
        <v>41671</v>
      </c>
      <c r="B339" s="239"/>
      <c r="C339" s="211" t="s">
        <v>1773</v>
      </c>
      <c r="D339" s="214" t="s">
        <v>105</v>
      </c>
      <c r="E339" s="222" t="s">
        <v>71</v>
      </c>
      <c r="F339" s="262" t="s">
        <v>1774</v>
      </c>
      <c r="G339" s="403"/>
      <c r="H339" s="403"/>
      <c r="I339" s="403"/>
      <c r="J339" s="179" t="s">
        <v>269</v>
      </c>
      <c r="K339" s="25" t="s">
        <v>1775</v>
      </c>
      <c r="L339" s="162"/>
      <c r="M339" s="25"/>
      <c r="N339" s="25"/>
      <c r="O339" s="222"/>
      <c r="P339" s="222"/>
      <c r="Q339" s="222"/>
      <c r="R339" s="222"/>
      <c r="S339" s="222"/>
      <c r="T339" s="222"/>
      <c r="U339" s="222"/>
      <c r="V339" s="222"/>
      <c r="W339" s="222"/>
      <c r="X339" s="222"/>
      <c r="Y339" s="222"/>
      <c r="Z339" s="222"/>
      <c r="AA339" s="222"/>
      <c r="AB339" s="222"/>
      <c r="AC339" s="222"/>
      <c r="AD339" s="222"/>
      <c r="AE339" s="222"/>
      <c r="AF339" s="222"/>
      <c r="AG339" s="222"/>
      <c r="AH339" s="222"/>
      <c r="AI339" s="222"/>
      <c r="AJ339" s="222"/>
      <c r="AK339" s="222"/>
      <c r="AL339" s="222"/>
      <c r="AM339" s="222"/>
      <c r="AN339" s="255"/>
      <c r="AO339" s="255"/>
      <c r="AP339" s="25">
        <v>83022</v>
      </c>
      <c r="AQ339" s="255"/>
      <c r="AR339" s="25"/>
      <c r="AS339" s="255"/>
      <c r="AT339" s="25"/>
      <c r="AU339" s="255" t="s">
        <v>1776</v>
      </c>
      <c r="AV339" s="255"/>
      <c r="AW339" s="255"/>
      <c r="AX339" s="255" t="s">
        <v>1777</v>
      </c>
      <c r="AY339" s="255"/>
      <c r="AZ339" s="255"/>
      <c r="BA339" s="255"/>
      <c r="BB339" s="255"/>
      <c r="BC339" s="255"/>
      <c r="BD339" s="255"/>
      <c r="BE339" s="255" t="s">
        <v>1778</v>
      </c>
      <c r="BF339" s="255" t="s">
        <v>1779</v>
      </c>
      <c r="BG339" s="255" t="s">
        <v>1780</v>
      </c>
      <c r="BH339" s="255"/>
      <c r="BI339" s="255" t="s">
        <v>1781</v>
      </c>
      <c r="BJ339" s="255">
        <v>49022</v>
      </c>
      <c r="BK339" s="118">
        <v>12.93</v>
      </c>
      <c r="BL339" s="243" t="s">
        <v>1782</v>
      </c>
      <c r="BM339" s="243" t="s">
        <v>1783</v>
      </c>
      <c r="BN339" s="243"/>
      <c r="BO339" s="243"/>
      <c r="BP339" s="243"/>
      <c r="BQ339" s="243"/>
      <c r="BR339" s="243"/>
      <c r="BS339" s="243"/>
      <c r="BT339" s="220">
        <v>7.0359999999999996</v>
      </c>
      <c r="BU339" s="220">
        <v>2.536</v>
      </c>
      <c r="BV339" s="220">
        <v>11.821999999999999</v>
      </c>
      <c r="BW339" s="91">
        <f>(BV339*BU339*BT339)/1728</f>
        <v>0.12207375307407406</v>
      </c>
      <c r="BX339" s="93">
        <v>0.55000000000000004</v>
      </c>
      <c r="BY339" s="93">
        <v>12.25</v>
      </c>
      <c r="BZ339" s="93">
        <v>7.5</v>
      </c>
      <c r="CA339" s="93">
        <v>8.5</v>
      </c>
      <c r="CB339" s="91">
        <f t="shared" si="70"/>
        <v>0.4519314236111111</v>
      </c>
      <c r="CC339" s="220">
        <f>BX339*CG339+0.25</f>
        <v>1.9000000000000001</v>
      </c>
      <c r="CD339" s="302"/>
      <c r="CE339" s="302"/>
      <c r="CF339" s="212" t="s">
        <v>134</v>
      </c>
      <c r="CG339" s="212">
        <v>3</v>
      </c>
      <c r="CH339" s="212">
        <v>20</v>
      </c>
      <c r="CI339" s="212">
        <v>5</v>
      </c>
      <c r="CJ339" s="27">
        <f t="shared" si="71"/>
        <v>300</v>
      </c>
      <c r="CK339" s="27">
        <f t="shared" si="72"/>
        <v>240</v>
      </c>
      <c r="CL339" s="211" t="s">
        <v>321</v>
      </c>
      <c r="CM339" s="27" t="s">
        <v>136</v>
      </c>
      <c r="CN339" s="237"/>
      <c r="CO339" s="237"/>
      <c r="CP339" s="260"/>
      <c r="CQ339" s="260"/>
      <c r="CR339" s="260"/>
      <c r="CS339" s="260"/>
      <c r="CT339" s="260"/>
      <c r="CU339" s="260"/>
    </row>
    <row r="340" spans="1:99" s="261" customFormat="1" x14ac:dyDescent="0.25">
      <c r="A340" s="239">
        <v>41671</v>
      </c>
      <c r="B340" s="239"/>
      <c r="C340" s="211" t="s">
        <v>1784</v>
      </c>
      <c r="D340" s="214" t="s">
        <v>105</v>
      </c>
      <c r="E340" s="222" t="s">
        <v>1785</v>
      </c>
      <c r="F340" s="262" t="s">
        <v>1786</v>
      </c>
      <c r="G340" s="403"/>
      <c r="H340" s="403"/>
      <c r="I340" s="403"/>
      <c r="J340" s="179" t="s">
        <v>1787</v>
      </c>
      <c r="K340" s="25" t="s">
        <v>1788</v>
      </c>
      <c r="L340" s="162" t="s">
        <v>1789</v>
      </c>
      <c r="M340" s="25"/>
      <c r="N340" s="25"/>
      <c r="O340" s="222"/>
      <c r="P340" s="222"/>
      <c r="Q340" s="222"/>
      <c r="R340" s="222"/>
      <c r="S340" s="222"/>
      <c r="T340" s="222"/>
      <c r="U340" s="222"/>
      <c r="V340" s="222"/>
      <c r="W340" s="222"/>
      <c r="X340" s="222"/>
      <c r="Y340" s="222"/>
      <c r="Z340" s="222"/>
      <c r="AA340" s="222"/>
      <c r="AB340" s="222"/>
      <c r="AC340" s="222"/>
      <c r="AD340" s="222"/>
      <c r="AE340" s="222"/>
      <c r="AF340" s="222"/>
      <c r="AG340" s="222"/>
      <c r="AH340" s="222"/>
      <c r="AI340" s="222"/>
      <c r="AJ340" s="222"/>
      <c r="AK340" s="222"/>
      <c r="AL340" s="222"/>
      <c r="AM340" s="222"/>
      <c r="AN340" s="255" t="s">
        <v>1790</v>
      </c>
      <c r="AO340" s="255"/>
      <c r="AP340" s="25"/>
      <c r="AQ340" s="255"/>
      <c r="AR340" s="25"/>
      <c r="AS340" s="255"/>
      <c r="AT340" s="25"/>
      <c r="AU340" s="255" t="s">
        <v>1791</v>
      </c>
      <c r="AV340" s="255"/>
      <c r="AW340" s="255"/>
      <c r="AX340" s="255"/>
      <c r="AY340" s="255"/>
      <c r="AZ340" s="255"/>
      <c r="BA340" s="255"/>
      <c r="BB340" s="255"/>
      <c r="BC340" s="255"/>
      <c r="BD340" s="255"/>
      <c r="BE340" s="255" t="s">
        <v>1792</v>
      </c>
      <c r="BF340" s="255" t="s">
        <v>1792</v>
      </c>
      <c r="BG340" s="255" t="s">
        <v>1784</v>
      </c>
      <c r="BH340" s="255"/>
      <c r="BI340" s="255" t="s">
        <v>1793</v>
      </c>
      <c r="BJ340" s="255">
        <v>49359</v>
      </c>
      <c r="BK340" s="118">
        <v>40.47</v>
      </c>
      <c r="BL340" s="243" t="s">
        <v>1794</v>
      </c>
      <c r="BM340" s="243" t="s">
        <v>1795</v>
      </c>
      <c r="BN340" s="243"/>
      <c r="BO340" s="243"/>
      <c r="BP340" s="243"/>
      <c r="BQ340" s="243"/>
      <c r="BR340" s="243"/>
      <c r="BS340" s="243"/>
      <c r="BT340" s="599" t="s">
        <v>875</v>
      </c>
      <c r="BU340" s="603"/>
      <c r="BV340" s="603"/>
      <c r="BW340" s="603"/>
      <c r="BX340" s="603"/>
      <c r="BY340" s="93">
        <v>11.87</v>
      </c>
      <c r="BZ340" s="93">
        <v>9</v>
      </c>
      <c r="CA340" s="93">
        <v>9</v>
      </c>
      <c r="CB340" s="91">
        <f t="shared" si="70"/>
        <v>0.55640624999999999</v>
      </c>
      <c r="CC340" s="93">
        <v>1.9</v>
      </c>
      <c r="CD340" s="301"/>
      <c r="CE340" s="301"/>
      <c r="CF340" s="211" t="s">
        <v>134</v>
      </c>
      <c r="CG340" s="211">
        <v>6</v>
      </c>
      <c r="CH340" s="211">
        <v>17</v>
      </c>
      <c r="CI340" s="211">
        <v>5</v>
      </c>
      <c r="CJ340" s="27">
        <f t="shared" si="71"/>
        <v>510</v>
      </c>
      <c r="CK340" s="27">
        <f t="shared" si="72"/>
        <v>211.5</v>
      </c>
      <c r="CL340" s="27" t="s">
        <v>139</v>
      </c>
      <c r="CM340" s="27" t="s">
        <v>136</v>
      </c>
      <c r="CN340" s="237"/>
      <c r="CO340" s="237"/>
      <c r="CP340" s="260"/>
      <c r="CQ340" s="260"/>
      <c r="CR340" s="260"/>
      <c r="CS340" s="260"/>
      <c r="CT340" s="260"/>
      <c r="CU340" s="260"/>
    </row>
    <row r="341" spans="1:99" s="261" customFormat="1" x14ac:dyDescent="0.25">
      <c r="A341" s="239">
        <v>41671</v>
      </c>
      <c r="B341" s="239"/>
      <c r="C341" s="211" t="s">
        <v>1796</v>
      </c>
      <c r="D341" s="214" t="s">
        <v>105</v>
      </c>
      <c r="E341" s="222" t="s">
        <v>1785</v>
      </c>
      <c r="F341" s="262" t="s">
        <v>1797</v>
      </c>
      <c r="G341" s="403"/>
      <c r="H341" s="403"/>
      <c r="I341" s="403"/>
      <c r="J341" s="179" t="s">
        <v>1787</v>
      </c>
      <c r="K341" s="25" t="s">
        <v>1798</v>
      </c>
      <c r="L341" s="162"/>
      <c r="M341" s="25"/>
      <c r="N341" s="25"/>
      <c r="O341" s="222"/>
      <c r="P341" s="222"/>
      <c r="Q341" s="222"/>
      <c r="R341" s="222"/>
      <c r="S341" s="222"/>
      <c r="T341" s="222"/>
      <c r="U341" s="222"/>
      <c r="V341" s="222"/>
      <c r="W341" s="222"/>
      <c r="X341" s="222"/>
      <c r="Y341" s="222"/>
      <c r="Z341" s="222"/>
      <c r="AA341" s="222"/>
      <c r="AB341" s="222"/>
      <c r="AC341" s="222"/>
      <c r="AD341" s="222"/>
      <c r="AE341" s="222"/>
      <c r="AF341" s="222"/>
      <c r="AG341" s="222"/>
      <c r="AH341" s="222"/>
      <c r="AI341" s="222"/>
      <c r="AJ341" s="222"/>
      <c r="AK341" s="222"/>
      <c r="AL341" s="222"/>
      <c r="AM341" s="222"/>
      <c r="AN341" s="255"/>
      <c r="AO341" s="255"/>
      <c r="AP341" s="25"/>
      <c r="AQ341" s="255"/>
      <c r="AR341" s="25"/>
      <c r="AS341" s="255"/>
      <c r="AT341" s="25"/>
      <c r="AU341" s="255"/>
      <c r="AV341" s="255"/>
      <c r="AW341" s="255"/>
      <c r="AX341" s="255"/>
      <c r="AY341" s="255"/>
      <c r="AZ341" s="255"/>
      <c r="BA341" s="255"/>
      <c r="BB341" s="255"/>
      <c r="BC341" s="255"/>
      <c r="BD341" s="255"/>
      <c r="BE341" s="255" t="s">
        <v>1799</v>
      </c>
      <c r="BF341" s="255" t="s">
        <v>1799</v>
      </c>
      <c r="BG341" s="255" t="s">
        <v>1796</v>
      </c>
      <c r="BH341" s="255"/>
      <c r="BI341" s="255" t="s">
        <v>1800</v>
      </c>
      <c r="BJ341" s="255">
        <v>24030</v>
      </c>
      <c r="BK341" s="118">
        <v>17.07</v>
      </c>
      <c r="BL341" s="243" t="s">
        <v>1801</v>
      </c>
      <c r="BM341" s="243" t="s">
        <v>1802</v>
      </c>
      <c r="BN341" s="243"/>
      <c r="BO341" s="243"/>
      <c r="BP341" s="243"/>
      <c r="BQ341" s="243"/>
      <c r="BR341" s="243"/>
      <c r="BS341" s="243"/>
      <c r="BT341" s="599" t="s">
        <v>875</v>
      </c>
      <c r="BU341" s="603"/>
      <c r="BV341" s="603"/>
      <c r="BW341" s="603"/>
      <c r="BX341" s="603"/>
      <c r="BY341" s="93">
        <v>14.87</v>
      </c>
      <c r="BZ341" s="93">
        <v>10</v>
      </c>
      <c r="CA341" s="93">
        <v>10.5</v>
      </c>
      <c r="CB341" s="91">
        <f t="shared" si="70"/>
        <v>0.90355902777777775</v>
      </c>
      <c r="CC341" s="93">
        <f>0.25*6*0.4</f>
        <v>0.60000000000000009</v>
      </c>
      <c r="CD341" s="301"/>
      <c r="CE341" s="301"/>
      <c r="CF341" s="211" t="s">
        <v>134</v>
      </c>
      <c r="CG341" s="211">
        <v>6</v>
      </c>
      <c r="CH341" s="211">
        <v>12</v>
      </c>
      <c r="CI341" s="211">
        <v>4</v>
      </c>
      <c r="CJ341" s="27">
        <f t="shared" si="71"/>
        <v>288</v>
      </c>
      <c r="CK341" s="27">
        <f t="shared" si="72"/>
        <v>78.800000000000011</v>
      </c>
      <c r="CL341" s="27" t="s">
        <v>139</v>
      </c>
      <c r="CM341" s="27" t="s">
        <v>136</v>
      </c>
      <c r="CN341" s="237"/>
      <c r="CO341" s="237"/>
      <c r="CP341" s="260"/>
      <c r="CQ341" s="260"/>
      <c r="CR341" s="260"/>
      <c r="CS341" s="260"/>
      <c r="CT341" s="260"/>
      <c r="CU341" s="260"/>
    </row>
    <row r="342" spans="1:99" s="261" customFormat="1" x14ac:dyDescent="0.25">
      <c r="A342" s="239">
        <v>41671</v>
      </c>
      <c r="B342" s="239"/>
      <c r="C342" s="211" t="s">
        <v>1803</v>
      </c>
      <c r="D342" s="214" t="s">
        <v>105</v>
      </c>
      <c r="E342" s="222" t="s">
        <v>1785</v>
      </c>
      <c r="F342" s="262" t="s">
        <v>1804</v>
      </c>
      <c r="G342" s="403"/>
      <c r="H342" s="403"/>
      <c r="I342" s="403"/>
      <c r="J342" s="179" t="s">
        <v>293</v>
      </c>
      <c r="K342" s="25" t="s">
        <v>1805</v>
      </c>
      <c r="L342" s="162"/>
      <c r="M342" s="25"/>
      <c r="N342" s="25"/>
      <c r="O342" s="222"/>
      <c r="P342" s="222"/>
      <c r="Q342" s="222"/>
      <c r="R342" s="222"/>
      <c r="S342" s="222"/>
      <c r="T342" s="222"/>
      <c r="U342" s="222"/>
      <c r="V342" s="222"/>
      <c r="W342" s="222"/>
      <c r="X342" s="222"/>
      <c r="Y342" s="222"/>
      <c r="Z342" s="222"/>
      <c r="AA342" s="222"/>
      <c r="AB342" s="222"/>
      <c r="AC342" s="222"/>
      <c r="AD342" s="222"/>
      <c r="AE342" s="222"/>
      <c r="AF342" s="222"/>
      <c r="AG342" s="222"/>
      <c r="AH342" s="222"/>
      <c r="AI342" s="222"/>
      <c r="AJ342" s="222"/>
      <c r="AK342" s="222"/>
      <c r="AL342" s="222"/>
      <c r="AM342" s="222"/>
      <c r="AN342" s="255"/>
      <c r="AO342" s="255"/>
      <c r="AP342" s="25"/>
      <c r="AQ342" s="255"/>
      <c r="AR342" s="25"/>
      <c r="AS342" s="255"/>
      <c r="AT342" s="25"/>
      <c r="AU342" s="255" t="s">
        <v>1806</v>
      </c>
      <c r="AV342" s="255"/>
      <c r="AW342" s="255"/>
      <c r="AX342" s="255"/>
      <c r="AY342" s="255"/>
      <c r="AZ342" s="255"/>
      <c r="BA342" s="255"/>
      <c r="BB342" s="255"/>
      <c r="BC342" s="255"/>
      <c r="BD342" s="255"/>
      <c r="BE342" s="255" t="s">
        <v>1807</v>
      </c>
      <c r="BF342" s="255" t="s">
        <v>1807</v>
      </c>
      <c r="BG342" s="255" t="s">
        <v>1803</v>
      </c>
      <c r="BH342" s="255"/>
      <c r="BI342" s="255" t="s">
        <v>1808</v>
      </c>
      <c r="BJ342" s="255">
        <v>24148</v>
      </c>
      <c r="BK342" s="118">
        <v>19.91</v>
      </c>
      <c r="BL342" s="243" t="s">
        <v>1809</v>
      </c>
      <c r="BM342" s="243" t="s">
        <v>1810</v>
      </c>
      <c r="BN342" s="243"/>
      <c r="BO342" s="243"/>
      <c r="BP342" s="243"/>
      <c r="BQ342" s="243"/>
      <c r="BR342" s="243"/>
      <c r="BS342" s="243"/>
      <c r="BT342" s="599" t="s">
        <v>875</v>
      </c>
      <c r="BU342" s="603"/>
      <c r="BV342" s="603"/>
      <c r="BW342" s="603"/>
      <c r="BX342" s="603"/>
      <c r="BY342" s="93">
        <v>9.75</v>
      </c>
      <c r="BZ342" s="93">
        <v>8.18</v>
      </c>
      <c r="CA342" s="93">
        <v>8.5</v>
      </c>
      <c r="CB342" s="91">
        <f t="shared" si="70"/>
        <v>0.39231336805555556</v>
      </c>
      <c r="CC342" s="93">
        <f>0.11*6+0.4</f>
        <v>1.06</v>
      </c>
      <c r="CD342" s="301"/>
      <c r="CE342" s="301"/>
      <c r="CF342" s="211" t="s">
        <v>134</v>
      </c>
      <c r="CG342" s="211">
        <v>6</v>
      </c>
      <c r="CH342" s="211">
        <v>20</v>
      </c>
      <c r="CI342" s="211">
        <v>5</v>
      </c>
      <c r="CJ342" s="27">
        <f t="shared" si="71"/>
        <v>600</v>
      </c>
      <c r="CK342" s="27">
        <f t="shared" si="72"/>
        <v>156</v>
      </c>
      <c r="CL342" s="27" t="s">
        <v>139</v>
      </c>
      <c r="CM342" s="27" t="s">
        <v>136</v>
      </c>
      <c r="CN342" s="237">
        <v>73</v>
      </c>
      <c r="CO342" s="237"/>
      <c r="CP342" s="260"/>
      <c r="CQ342" s="260"/>
      <c r="CR342" s="260"/>
      <c r="CS342" s="260"/>
      <c r="CT342" s="260"/>
      <c r="CU342" s="260"/>
    </row>
    <row r="343" spans="1:99" s="261" customFormat="1" x14ac:dyDescent="0.25">
      <c r="A343" s="239">
        <v>41671</v>
      </c>
      <c r="B343" s="239"/>
      <c r="C343" s="211" t="s">
        <v>1811</v>
      </c>
      <c r="D343" s="214" t="s">
        <v>105</v>
      </c>
      <c r="E343" s="222" t="s">
        <v>1785</v>
      </c>
      <c r="F343" s="262" t="s">
        <v>1812</v>
      </c>
      <c r="G343" s="403"/>
      <c r="H343" s="403"/>
      <c r="I343" s="403"/>
      <c r="J343" s="179" t="s">
        <v>333</v>
      </c>
      <c r="K343" s="25" t="s">
        <v>1813</v>
      </c>
      <c r="L343" s="162"/>
      <c r="M343" s="25"/>
      <c r="N343" s="25"/>
      <c r="O343" s="222"/>
      <c r="P343" s="222"/>
      <c r="Q343" s="222"/>
      <c r="R343" s="222"/>
      <c r="S343" s="222"/>
      <c r="T343" s="222"/>
      <c r="U343" s="222"/>
      <c r="V343" s="222"/>
      <c r="W343" s="222"/>
      <c r="X343" s="222"/>
      <c r="Y343" s="222"/>
      <c r="Z343" s="222"/>
      <c r="AA343" s="222"/>
      <c r="AB343" s="222"/>
      <c r="AC343" s="222"/>
      <c r="AD343" s="222"/>
      <c r="AE343" s="222"/>
      <c r="AF343" s="222"/>
      <c r="AG343" s="222"/>
      <c r="AH343" s="222"/>
      <c r="AI343" s="222"/>
      <c r="AJ343" s="222"/>
      <c r="AK343" s="222"/>
      <c r="AL343" s="222"/>
      <c r="AM343" s="222"/>
      <c r="AN343" s="255" t="s">
        <v>1814</v>
      </c>
      <c r="AO343" s="255"/>
      <c r="AP343" s="25"/>
      <c r="AQ343" s="255"/>
      <c r="AR343" s="25"/>
      <c r="AS343" s="255"/>
      <c r="AT343" s="25"/>
      <c r="AU343" s="255" t="s">
        <v>1815</v>
      </c>
      <c r="AV343" s="255"/>
      <c r="AW343" s="255"/>
      <c r="AX343" s="255"/>
      <c r="AY343" s="255"/>
      <c r="AZ343" s="255"/>
      <c r="BA343" s="255"/>
      <c r="BB343" s="255"/>
      <c r="BC343" s="255"/>
      <c r="BD343" s="255"/>
      <c r="BE343" s="255" t="s">
        <v>1816</v>
      </c>
      <c r="BF343" s="255"/>
      <c r="BG343" s="255"/>
      <c r="BH343" s="255"/>
      <c r="BI343" s="255" t="s">
        <v>1817</v>
      </c>
      <c r="BJ343" s="255"/>
      <c r="BK343" s="118">
        <v>23.5</v>
      </c>
      <c r="BL343" s="243" t="s">
        <v>1818</v>
      </c>
      <c r="BM343" s="243" t="s">
        <v>1819</v>
      </c>
      <c r="BN343" s="243"/>
      <c r="BO343" s="243"/>
      <c r="BP343" s="243"/>
      <c r="BQ343" s="243"/>
      <c r="BR343" s="243"/>
      <c r="BS343" s="243"/>
      <c r="BT343" s="599" t="s">
        <v>875</v>
      </c>
      <c r="BU343" s="603"/>
      <c r="BV343" s="603"/>
      <c r="BW343" s="603"/>
      <c r="BX343" s="603"/>
      <c r="BY343" s="93">
        <v>12</v>
      </c>
      <c r="BZ343" s="93">
        <v>10.37</v>
      </c>
      <c r="CA343" s="93">
        <v>10.62</v>
      </c>
      <c r="CB343" s="91">
        <f t="shared" si="70"/>
        <v>0.76478749999999995</v>
      </c>
      <c r="CC343" s="220">
        <v>1.75</v>
      </c>
      <c r="CD343" s="302"/>
      <c r="CE343" s="302"/>
      <c r="CF343" s="212" t="s">
        <v>134</v>
      </c>
      <c r="CG343" s="212">
        <v>6</v>
      </c>
      <c r="CH343" s="212">
        <v>12</v>
      </c>
      <c r="CI343" s="212">
        <v>4</v>
      </c>
      <c r="CJ343" s="27">
        <f t="shared" si="71"/>
        <v>288</v>
      </c>
      <c r="CK343" s="27">
        <f t="shared" si="72"/>
        <v>134</v>
      </c>
      <c r="CL343" s="212" t="s">
        <v>256</v>
      </c>
      <c r="CM343" s="27" t="s">
        <v>136</v>
      </c>
      <c r="CN343" s="14">
        <v>73</v>
      </c>
      <c r="CO343" s="1"/>
      <c r="CP343" s="260"/>
      <c r="CQ343" s="260"/>
      <c r="CR343" s="260"/>
      <c r="CS343" s="260"/>
      <c r="CT343" s="260"/>
      <c r="CU343" s="260"/>
    </row>
    <row r="344" spans="1:99" s="261" customFormat="1" ht="30" customHeight="1" x14ac:dyDescent="0.25">
      <c r="A344" s="239">
        <v>41640</v>
      </c>
      <c r="B344" s="239"/>
      <c r="C344" s="212" t="s">
        <v>1820</v>
      </c>
      <c r="D344" s="214" t="s">
        <v>54</v>
      </c>
      <c r="E344" s="222" t="s">
        <v>72</v>
      </c>
      <c r="F344" s="262" t="s">
        <v>1821</v>
      </c>
      <c r="G344" s="403"/>
      <c r="H344" s="403"/>
      <c r="I344" s="403"/>
      <c r="J344" s="179" t="s">
        <v>1822</v>
      </c>
      <c r="K344" s="25" t="s">
        <v>1823</v>
      </c>
      <c r="L344" s="25" t="s">
        <v>1824</v>
      </c>
      <c r="M344" s="25">
        <v>28040481</v>
      </c>
      <c r="N344" s="25" t="s">
        <v>1825</v>
      </c>
      <c r="O344" s="26" t="s">
        <v>1826</v>
      </c>
      <c r="P344" s="236"/>
      <c r="Q344" s="236"/>
      <c r="R344" s="236"/>
      <c r="S344" s="236"/>
      <c r="T344" s="222"/>
      <c r="U344" s="222"/>
      <c r="V344" s="222"/>
      <c r="W344" s="222"/>
      <c r="X344" s="222"/>
      <c r="Y344" s="222"/>
      <c r="Z344" s="222"/>
      <c r="AA344" s="222"/>
      <c r="AB344" s="222"/>
      <c r="AC344" s="222"/>
      <c r="AD344" s="222"/>
      <c r="AE344" s="222"/>
      <c r="AF344" s="222"/>
      <c r="AG344" s="222"/>
      <c r="AH344" s="222"/>
      <c r="AI344" s="222"/>
      <c r="AJ344" s="222"/>
      <c r="AK344" s="222"/>
      <c r="AL344" s="222"/>
      <c r="AM344" s="222"/>
      <c r="AN344" s="242"/>
      <c r="AO344" s="242"/>
      <c r="AP344" s="242"/>
      <c r="AQ344" s="242"/>
      <c r="AR344" s="25" t="s">
        <v>1827</v>
      </c>
      <c r="AS344" s="242"/>
      <c r="AT344" s="25" t="s">
        <v>1828</v>
      </c>
      <c r="AU344" s="242"/>
      <c r="AV344" s="242"/>
      <c r="AW344" s="242"/>
      <c r="AX344" s="242"/>
      <c r="AY344" s="242"/>
      <c r="AZ344" s="242"/>
      <c r="BA344" s="242"/>
      <c r="BB344" s="242"/>
      <c r="BC344" s="242"/>
      <c r="BD344" s="242"/>
      <c r="BE344" s="242"/>
      <c r="BF344" s="262"/>
      <c r="BG344" s="242"/>
      <c r="BH344" s="242"/>
      <c r="BI344" s="242"/>
      <c r="BJ344" s="242"/>
      <c r="BK344" s="118">
        <v>12.68</v>
      </c>
      <c r="BL344" s="243">
        <v>38568737922</v>
      </c>
      <c r="BM344" s="245">
        <v>10038568737929</v>
      </c>
      <c r="BN344" s="245"/>
      <c r="BO344" s="245"/>
      <c r="BP344" s="245"/>
      <c r="BQ344" s="245"/>
      <c r="BR344" s="245"/>
      <c r="BS344" s="245"/>
      <c r="BT344" s="604" t="s">
        <v>1829</v>
      </c>
      <c r="BU344" s="604"/>
      <c r="BV344" s="604"/>
      <c r="BW344" s="604"/>
      <c r="BX344" s="604"/>
      <c r="BY344" s="264">
        <v>15.81</v>
      </c>
      <c r="BZ344" s="264">
        <v>11.93</v>
      </c>
      <c r="CA344" s="264">
        <v>29.5</v>
      </c>
      <c r="CB344" s="91">
        <f>(CA344*BZ344*BY344)/1728</f>
        <v>3.2199608506944446</v>
      </c>
      <c r="CC344" s="265">
        <f>1.2*12+0.4</f>
        <v>14.799999999999999</v>
      </c>
      <c r="CD344" s="265"/>
      <c r="CE344" s="265"/>
      <c r="CF344" s="212" t="s">
        <v>134</v>
      </c>
      <c r="CG344" s="212">
        <v>12</v>
      </c>
      <c r="CH344" s="212">
        <v>10</v>
      </c>
      <c r="CI344" s="212">
        <v>7</v>
      </c>
      <c r="CJ344" s="27">
        <f>CG344*CH344*CI344</f>
        <v>840</v>
      </c>
      <c r="CK344" s="27">
        <f>(CC344*CH344*CI344)+50</f>
        <v>1086</v>
      </c>
      <c r="CL344" s="27" t="s">
        <v>256</v>
      </c>
      <c r="CM344" s="27" t="s">
        <v>136</v>
      </c>
      <c r="CN344" s="14"/>
      <c r="CO344" s="14"/>
      <c r="CP344" s="260"/>
      <c r="CQ344" s="260"/>
      <c r="CR344" s="260"/>
      <c r="CS344" s="260"/>
      <c r="CT344" s="260"/>
      <c r="CU344" s="260"/>
    </row>
    <row r="345" spans="1:99" s="261" customFormat="1" ht="90" x14ac:dyDescent="0.25">
      <c r="A345" s="239">
        <v>41640</v>
      </c>
      <c r="B345" s="239"/>
      <c r="C345" s="175" t="s">
        <v>1830</v>
      </c>
      <c r="D345" s="175" t="s">
        <v>54</v>
      </c>
      <c r="E345" s="266" t="s">
        <v>1831</v>
      </c>
      <c r="F345" s="175" t="s">
        <v>1832</v>
      </c>
      <c r="G345" s="175"/>
      <c r="H345" s="175"/>
      <c r="I345" s="175"/>
      <c r="J345" s="179" t="s">
        <v>1833</v>
      </c>
      <c r="K345" s="25" t="s">
        <v>1834</v>
      </c>
      <c r="L345" s="25" t="s">
        <v>350</v>
      </c>
      <c r="M345" s="25" t="s">
        <v>1835</v>
      </c>
      <c r="N345" s="25" t="s">
        <v>953</v>
      </c>
      <c r="O345" s="26" t="s">
        <v>1836</v>
      </c>
      <c r="P345" s="25" t="s">
        <v>1837</v>
      </c>
      <c r="Q345" s="26" t="s">
        <v>1838</v>
      </c>
      <c r="R345" s="25" t="s">
        <v>721</v>
      </c>
      <c r="S345" s="25" t="s">
        <v>1839</v>
      </c>
      <c r="T345" s="222"/>
      <c r="U345" s="222"/>
      <c r="V345" s="222"/>
      <c r="W345" s="222"/>
      <c r="X345" s="222"/>
      <c r="Y345" s="222"/>
      <c r="Z345" s="222"/>
      <c r="AA345" s="222"/>
      <c r="AB345" s="222"/>
      <c r="AC345" s="222"/>
      <c r="AD345" s="222"/>
      <c r="AE345" s="222"/>
      <c r="AF345" s="222"/>
      <c r="AG345" s="222"/>
      <c r="AH345" s="222"/>
      <c r="AI345" s="222"/>
      <c r="AJ345" s="222"/>
      <c r="AK345" s="222"/>
      <c r="AL345" s="222"/>
      <c r="AM345" s="222"/>
      <c r="AN345" s="223" t="s">
        <v>1840</v>
      </c>
      <c r="AO345" s="223"/>
      <c r="AP345" s="25" t="s">
        <v>1841</v>
      </c>
      <c r="AQ345" s="223"/>
      <c r="AR345" s="25" t="s">
        <v>1842</v>
      </c>
      <c r="AS345" s="223"/>
      <c r="AT345" s="25" t="s">
        <v>1843</v>
      </c>
      <c r="AU345" s="223"/>
      <c r="AV345" s="223"/>
      <c r="AW345" s="25" t="s">
        <v>1844</v>
      </c>
      <c r="AX345" s="223"/>
      <c r="AY345" s="223"/>
      <c r="AZ345" s="223"/>
      <c r="BA345" s="223"/>
      <c r="BB345" s="223"/>
      <c r="BC345" s="223"/>
      <c r="BD345" s="223">
        <v>9978</v>
      </c>
      <c r="BE345" s="179"/>
      <c r="BF345" s="262"/>
      <c r="BG345" s="179"/>
      <c r="BH345" s="179"/>
      <c r="BI345" s="179"/>
      <c r="BJ345" s="25" t="s">
        <v>1845</v>
      </c>
      <c r="BK345" s="118">
        <v>30.47</v>
      </c>
      <c r="BL345" s="243" t="s">
        <v>1846</v>
      </c>
      <c r="BM345" s="245">
        <v>100038568737899</v>
      </c>
      <c r="BN345" s="245"/>
      <c r="BO345" s="245"/>
      <c r="BP345" s="245"/>
      <c r="BQ345" s="245"/>
      <c r="BR345" s="245"/>
      <c r="BS345" s="245"/>
      <c r="BT345" s="605" t="s">
        <v>1847</v>
      </c>
      <c r="BU345" s="605"/>
      <c r="BV345" s="605"/>
      <c r="BW345" s="605"/>
      <c r="BX345" s="605"/>
      <c r="BY345" s="264">
        <v>5.2359999999999998</v>
      </c>
      <c r="BZ345" s="264">
        <v>5.2359999999999998</v>
      </c>
      <c r="CA345" s="264">
        <v>10.590999999999999</v>
      </c>
      <c r="CB345" s="92">
        <f>(CA345*BZ345*BY345)/1728</f>
        <v>0.16803219695370367</v>
      </c>
      <c r="CC345" s="265">
        <f>1.1+0.25</f>
        <v>1.35</v>
      </c>
      <c r="CD345" s="265"/>
      <c r="CE345" s="265"/>
      <c r="CF345" s="212" t="s">
        <v>134</v>
      </c>
      <c r="CG345" s="212">
        <v>1</v>
      </c>
      <c r="CH345" s="212">
        <v>56</v>
      </c>
      <c r="CI345" s="212">
        <v>4</v>
      </c>
      <c r="CJ345" s="27">
        <f>CG345*CH345*CI345</f>
        <v>224</v>
      </c>
      <c r="CK345" s="27">
        <f>(CC345*CJ345)+50</f>
        <v>352.40000000000003</v>
      </c>
      <c r="CL345" s="27" t="s">
        <v>1848</v>
      </c>
      <c r="CM345" s="27" t="s">
        <v>136</v>
      </c>
      <c r="CN345" s="14"/>
      <c r="CO345" s="14"/>
      <c r="CP345" s="260"/>
      <c r="CQ345" s="260"/>
      <c r="CR345" s="260"/>
      <c r="CS345" s="260"/>
      <c r="CT345" s="260"/>
      <c r="CU345" s="260"/>
    </row>
    <row r="346" spans="1:99" s="261" customFormat="1" ht="30" x14ac:dyDescent="0.25">
      <c r="A346" s="239">
        <v>41609</v>
      </c>
      <c r="B346" s="239"/>
      <c r="C346" s="211" t="s">
        <v>1849</v>
      </c>
      <c r="D346" s="211" t="s">
        <v>54</v>
      </c>
      <c r="E346" s="211" t="s">
        <v>1850</v>
      </c>
      <c r="F346" s="231" t="s">
        <v>1851</v>
      </c>
      <c r="G346" s="231"/>
      <c r="H346" s="231"/>
      <c r="I346" s="231"/>
      <c r="J346" s="231" t="s">
        <v>871</v>
      </c>
      <c r="K346" s="232" t="s">
        <v>1852</v>
      </c>
      <c r="L346" s="222"/>
      <c r="M346" s="222"/>
      <c r="N346" s="222"/>
      <c r="O346" s="222"/>
      <c r="P346" s="222"/>
      <c r="Q346" s="222"/>
      <c r="R346" s="222"/>
      <c r="S346" s="222"/>
      <c r="T346" s="222"/>
      <c r="U346" s="222"/>
      <c r="V346" s="222"/>
      <c r="W346" s="222"/>
      <c r="X346" s="222"/>
      <c r="Y346" s="222"/>
      <c r="Z346" s="222"/>
      <c r="AA346" s="222"/>
      <c r="AB346" s="222"/>
      <c r="AC346" s="222"/>
      <c r="AD346" s="222"/>
      <c r="AE346" s="222"/>
      <c r="AF346" s="222"/>
      <c r="AG346" s="222"/>
      <c r="AH346" s="222"/>
      <c r="AI346" s="222"/>
      <c r="AJ346" s="222"/>
      <c r="AK346" s="222"/>
      <c r="AL346" s="222"/>
      <c r="AM346" s="222"/>
      <c r="AN346" s="222"/>
      <c r="AO346" s="222"/>
      <c r="AP346" s="222"/>
      <c r="AQ346" s="222"/>
      <c r="AR346" s="222"/>
      <c r="AS346" s="222"/>
      <c r="AT346" s="222"/>
      <c r="AU346" s="222"/>
      <c r="AV346" s="222"/>
      <c r="AW346" s="222"/>
      <c r="AX346" s="222"/>
      <c r="AY346" s="222"/>
      <c r="AZ346" s="222"/>
      <c r="BA346" s="222"/>
      <c r="BB346" s="222"/>
      <c r="BC346" s="222"/>
      <c r="BD346" s="222"/>
      <c r="BE346" s="222"/>
      <c r="BF346" s="262"/>
      <c r="BG346" s="222"/>
      <c r="BH346" s="222"/>
      <c r="BI346" s="222"/>
      <c r="BJ346" s="222"/>
      <c r="BK346" s="118">
        <v>47.61</v>
      </c>
      <c r="BL346" s="243" t="s">
        <v>1853</v>
      </c>
      <c r="BM346" s="245">
        <v>10038568739398</v>
      </c>
      <c r="BN346" s="245"/>
      <c r="BO346" s="245"/>
      <c r="BP346" s="245"/>
      <c r="BQ346" s="245"/>
      <c r="BR346" s="245"/>
      <c r="BS346" s="245"/>
      <c r="BT346" s="605" t="s">
        <v>1847</v>
      </c>
      <c r="BU346" s="605"/>
      <c r="BV346" s="605"/>
      <c r="BW346" s="605"/>
      <c r="BX346" s="605"/>
      <c r="BY346" s="212">
        <v>11.75</v>
      </c>
      <c r="BZ346" s="212">
        <v>4.75</v>
      </c>
      <c r="CA346" s="212">
        <v>5</v>
      </c>
      <c r="CB346" s="92">
        <f>(CA346*BZ346*BY346)/1728</f>
        <v>0.16149450231481483</v>
      </c>
      <c r="CC346" s="211">
        <f>0.5+1.5+0.58+0.25</f>
        <v>2.83</v>
      </c>
      <c r="CD346" s="211"/>
      <c r="CE346" s="211"/>
      <c r="CF346" s="212" t="s">
        <v>134</v>
      </c>
      <c r="CG346" s="212">
        <v>1</v>
      </c>
      <c r="CH346" s="212">
        <v>28</v>
      </c>
      <c r="CI346" s="212">
        <v>9</v>
      </c>
      <c r="CJ346" s="27">
        <f>CG346*CH346*CI346</f>
        <v>252</v>
      </c>
      <c r="CK346" s="27">
        <f>(CC346*CJ346)+50</f>
        <v>763.16</v>
      </c>
      <c r="CL346" s="27" t="s">
        <v>256</v>
      </c>
      <c r="CM346" s="27" t="s">
        <v>136</v>
      </c>
      <c r="CN346" s="14"/>
      <c r="CO346" s="14"/>
      <c r="CP346" s="260"/>
      <c r="CQ346" s="260"/>
      <c r="CR346" s="260"/>
      <c r="CS346" s="260"/>
      <c r="CT346" s="260"/>
      <c r="CU346" s="260"/>
    </row>
    <row r="347" spans="1:99" s="261" customFormat="1" x14ac:dyDescent="0.25">
      <c r="A347" s="239">
        <v>41609</v>
      </c>
      <c r="B347" s="239"/>
      <c r="C347" s="231" t="s">
        <v>1854</v>
      </c>
      <c r="D347" s="231" t="s">
        <v>54</v>
      </c>
      <c r="E347" s="231" t="s">
        <v>1855</v>
      </c>
      <c r="F347" s="231" t="s">
        <v>1856</v>
      </c>
      <c r="G347" s="231"/>
      <c r="H347" s="231"/>
      <c r="I347" s="231"/>
      <c r="J347" s="231" t="s">
        <v>871</v>
      </c>
      <c r="K347" s="232" t="s">
        <v>1857</v>
      </c>
      <c r="L347" s="222" t="s">
        <v>848</v>
      </c>
      <c r="M347" s="222" t="s">
        <v>1858</v>
      </c>
      <c r="N347" s="222" t="s">
        <v>721</v>
      </c>
      <c r="O347" s="222">
        <v>85104856</v>
      </c>
      <c r="P347" s="222"/>
      <c r="Q347" s="222"/>
      <c r="R347" s="222"/>
      <c r="S347" s="222"/>
      <c r="T347" s="222"/>
      <c r="U347" s="222"/>
      <c r="V347" s="222"/>
      <c r="W347" s="222"/>
      <c r="X347" s="222"/>
      <c r="Y347" s="222"/>
      <c r="Z347" s="222"/>
      <c r="AA347" s="222"/>
      <c r="AB347" s="222"/>
      <c r="AC347" s="222"/>
      <c r="AD347" s="222"/>
      <c r="AE347" s="222"/>
      <c r="AF347" s="222"/>
      <c r="AG347" s="222"/>
      <c r="AH347" s="222"/>
      <c r="AI347" s="222"/>
      <c r="AJ347" s="222"/>
      <c r="AK347" s="222"/>
      <c r="AL347" s="222"/>
      <c r="AM347" s="222"/>
      <c r="AN347" s="222" t="s">
        <v>1859</v>
      </c>
      <c r="AO347" s="222"/>
      <c r="AP347" s="222">
        <v>86938</v>
      </c>
      <c r="AQ347" s="222"/>
      <c r="AR347" s="222"/>
      <c r="AS347" s="222"/>
      <c r="AT347" s="222" t="s">
        <v>1860</v>
      </c>
      <c r="AU347" s="222" t="s">
        <v>1861</v>
      </c>
      <c r="AV347" s="222"/>
      <c r="AW347" s="222"/>
      <c r="AX347" s="222"/>
      <c r="AY347" s="222"/>
      <c r="AZ347" s="222"/>
      <c r="BA347" s="222"/>
      <c r="BB347" s="222"/>
      <c r="BC347" s="222"/>
      <c r="BD347" s="222">
        <v>3938</v>
      </c>
      <c r="BE347" s="222"/>
      <c r="BF347" s="262"/>
      <c r="BG347" s="222"/>
      <c r="BH347" s="222"/>
      <c r="BI347" s="222"/>
      <c r="BJ347" s="222">
        <v>33938</v>
      </c>
      <c r="BK347" s="118">
        <v>53.05</v>
      </c>
      <c r="BL347" s="243" t="s">
        <v>1862</v>
      </c>
      <c r="BM347" s="245" t="s">
        <v>1863</v>
      </c>
      <c r="BN347" s="245"/>
      <c r="BO347" s="245"/>
      <c r="BP347" s="245"/>
      <c r="BQ347" s="245"/>
      <c r="BR347" s="245"/>
      <c r="BS347" s="245"/>
      <c r="BT347" s="212">
        <v>5.165</v>
      </c>
      <c r="BU347" s="212">
        <v>5.165</v>
      </c>
      <c r="BV347" s="212">
        <v>6.2050000000000001</v>
      </c>
      <c r="BW347" s="92">
        <f>(BV347*BU347*BT347)/1728</f>
        <v>9.5794086299189812E-2</v>
      </c>
      <c r="BX347" s="93">
        <v>2.3199999999999998</v>
      </c>
      <c r="BY347" s="211">
        <v>15.868</v>
      </c>
      <c r="BZ347" s="211">
        <v>11.993</v>
      </c>
      <c r="CA347" s="211">
        <v>8.2989999999999995</v>
      </c>
      <c r="CB347" s="92">
        <f>(CA347*BZ347*BY347)/1728</f>
        <v>0.91397023395601851</v>
      </c>
      <c r="CC347" s="265">
        <v>14.188000000000001</v>
      </c>
      <c r="CD347" s="265"/>
      <c r="CE347" s="265"/>
      <c r="CF347" s="212" t="s">
        <v>134</v>
      </c>
      <c r="CG347" s="211">
        <v>6</v>
      </c>
      <c r="CH347" s="211">
        <v>10</v>
      </c>
      <c r="CI347" s="222">
        <v>5</v>
      </c>
      <c r="CJ347" s="27">
        <f>CG347*CH347*CI347</f>
        <v>300</v>
      </c>
      <c r="CK347" s="27">
        <f>(BX347*CJ347)+50</f>
        <v>746</v>
      </c>
      <c r="CL347" s="27" t="s">
        <v>256</v>
      </c>
      <c r="CM347" s="27" t="s">
        <v>136</v>
      </c>
      <c r="CN347" s="1"/>
      <c r="CO347" s="14"/>
      <c r="CP347" s="1"/>
      <c r="CQ347" s="1"/>
      <c r="CR347" s="1"/>
      <c r="CS347" s="1"/>
      <c r="CT347" s="1"/>
      <c r="CU347" s="1"/>
    </row>
    <row r="348" spans="1:99" s="105" customFormat="1" x14ac:dyDescent="0.25">
      <c r="A348" s="239">
        <v>41609</v>
      </c>
      <c r="B348" s="239"/>
      <c r="C348" s="231" t="s">
        <v>1864</v>
      </c>
      <c r="D348" s="231" t="s">
        <v>105</v>
      </c>
      <c r="E348" s="214" t="s">
        <v>1865</v>
      </c>
      <c r="F348" s="231" t="s">
        <v>1866</v>
      </c>
      <c r="G348" s="231"/>
      <c r="H348" s="231"/>
      <c r="I348" s="231"/>
      <c r="J348" s="214" t="s">
        <v>333</v>
      </c>
      <c r="K348" s="214" t="s">
        <v>1867</v>
      </c>
      <c r="L348" s="222" t="s">
        <v>1868</v>
      </c>
      <c r="M348" s="214" t="s">
        <v>1869</v>
      </c>
      <c r="N348" s="222"/>
      <c r="O348" s="222"/>
      <c r="P348" s="222"/>
      <c r="Q348" s="222"/>
      <c r="R348" s="222"/>
      <c r="S348" s="222"/>
      <c r="T348" s="222"/>
      <c r="U348" s="222"/>
      <c r="V348" s="222"/>
      <c r="W348" s="222"/>
      <c r="X348" s="222"/>
      <c r="Y348" s="222"/>
      <c r="Z348" s="222"/>
      <c r="AA348" s="222"/>
      <c r="AB348" s="222"/>
      <c r="AC348" s="222"/>
      <c r="AD348" s="222"/>
      <c r="AE348" s="222"/>
      <c r="AF348" s="222"/>
      <c r="AG348" s="222"/>
      <c r="AH348" s="222"/>
      <c r="AI348" s="222"/>
      <c r="AJ348" s="222"/>
      <c r="AK348" s="222"/>
      <c r="AL348" s="222"/>
      <c r="AM348" s="222"/>
      <c r="AN348" s="222"/>
      <c r="AO348" s="222"/>
      <c r="AP348" s="222"/>
      <c r="AQ348" s="222"/>
      <c r="AR348" s="222"/>
      <c r="AS348" s="222"/>
      <c r="AT348" s="222"/>
      <c r="AU348" s="222"/>
      <c r="AV348" s="222"/>
      <c r="AW348" s="222"/>
      <c r="AX348" s="222"/>
      <c r="AY348" s="222"/>
      <c r="AZ348" s="222"/>
      <c r="BA348" s="222"/>
      <c r="BB348" s="222"/>
      <c r="BC348" s="222"/>
      <c r="BD348" s="222"/>
      <c r="BE348" s="214" t="s">
        <v>1870</v>
      </c>
      <c r="BF348" s="262"/>
      <c r="BG348" s="214" t="s">
        <v>1871</v>
      </c>
      <c r="BH348" s="214"/>
      <c r="BI348" s="214" t="s">
        <v>1872</v>
      </c>
      <c r="BJ348" s="222"/>
      <c r="BK348" s="118">
        <v>6.75</v>
      </c>
      <c r="BL348" s="267" t="s">
        <v>1873</v>
      </c>
      <c r="BM348" s="267" t="s">
        <v>1874</v>
      </c>
      <c r="BN348" s="267"/>
      <c r="BO348" s="267"/>
      <c r="BP348" s="267"/>
      <c r="BQ348" s="267"/>
      <c r="BR348" s="267"/>
      <c r="BS348" s="267"/>
      <c r="BT348" s="240">
        <v>2.411</v>
      </c>
      <c r="BU348" s="240">
        <v>2.411</v>
      </c>
      <c r="BV348" s="240">
        <v>6.5720000000000001</v>
      </c>
      <c r="BW348" s="92">
        <f>(BV348*BU348*BT348)/1728</f>
        <v>2.2107937969907412E-2</v>
      </c>
      <c r="BX348" s="240">
        <v>1.1000000000000001</v>
      </c>
      <c r="BY348" s="240">
        <v>10.25</v>
      </c>
      <c r="BZ348" s="240">
        <v>7.75</v>
      </c>
      <c r="CA348" s="240">
        <v>7.12</v>
      </c>
      <c r="CB348" s="92">
        <f>(CA348*BZ348*BY348)/1728</f>
        <v>0.32731192129629633</v>
      </c>
      <c r="CC348" s="240">
        <v>14.7</v>
      </c>
      <c r="CD348" s="240"/>
      <c r="CE348" s="240"/>
      <c r="CF348" s="240" t="s">
        <v>134</v>
      </c>
      <c r="CG348" s="268">
        <v>12</v>
      </c>
      <c r="CH348" s="268">
        <v>22</v>
      </c>
      <c r="CI348" s="268">
        <v>6</v>
      </c>
      <c r="CJ348" s="268">
        <f>CG348*CH348*CI348</f>
        <v>1584</v>
      </c>
      <c r="CK348" s="224">
        <f>(BX348*CJ348)+50</f>
        <v>1792.4</v>
      </c>
      <c r="CL348" s="268" t="s">
        <v>256</v>
      </c>
      <c r="CM348" s="268" t="s">
        <v>136</v>
      </c>
      <c r="CN348" s="1"/>
      <c r="CO348" s="14"/>
      <c r="CP348" s="14"/>
      <c r="CQ348" s="14"/>
      <c r="CR348" s="14"/>
      <c r="CS348" s="14"/>
      <c r="CT348" s="14"/>
      <c r="CU348" s="14"/>
    </row>
    <row r="349" spans="1:99" s="105" customFormat="1" ht="210" x14ac:dyDescent="0.25">
      <c r="A349" s="239">
        <v>41562</v>
      </c>
      <c r="B349" s="239"/>
      <c r="C349" s="211" t="s">
        <v>1875</v>
      </c>
      <c r="D349" s="231" t="s">
        <v>54</v>
      </c>
      <c r="E349" s="211" t="s">
        <v>71</v>
      </c>
      <c r="F349" s="269" t="s">
        <v>1876</v>
      </c>
      <c r="G349" s="269"/>
      <c r="H349" s="269"/>
      <c r="I349" s="269"/>
      <c r="J349" s="231" t="s">
        <v>156</v>
      </c>
      <c r="K349" s="222">
        <v>87517153</v>
      </c>
      <c r="L349" s="222"/>
      <c r="M349" s="222"/>
      <c r="N349" s="222"/>
      <c r="O349" s="222"/>
      <c r="P349" s="222"/>
      <c r="Q349" s="222"/>
      <c r="R349" s="222"/>
      <c r="S349" s="222"/>
      <c r="T349" s="222"/>
      <c r="U349" s="222"/>
      <c r="V349" s="222"/>
      <c r="W349" s="222"/>
      <c r="X349" s="222"/>
      <c r="Y349" s="222"/>
      <c r="Z349" s="222"/>
      <c r="AA349" s="222"/>
      <c r="AB349" s="222"/>
      <c r="AC349" s="222"/>
      <c r="AD349" s="222"/>
      <c r="AE349" s="222"/>
      <c r="AF349" s="222"/>
      <c r="AG349" s="222"/>
      <c r="AH349" s="222"/>
      <c r="AI349" s="222"/>
      <c r="AJ349" s="222"/>
      <c r="AK349" s="222"/>
      <c r="AL349" s="222"/>
      <c r="AM349" s="222"/>
      <c r="AN349" s="222"/>
      <c r="AO349" s="222"/>
      <c r="AP349" s="222"/>
      <c r="AQ349" s="222"/>
      <c r="AR349" s="222" t="s">
        <v>1877</v>
      </c>
      <c r="AS349" s="222"/>
      <c r="AT349" s="222"/>
      <c r="AU349" s="222"/>
      <c r="AV349" s="222"/>
      <c r="AW349" s="222"/>
      <c r="AX349" s="222"/>
      <c r="AY349" s="222"/>
      <c r="AZ349" s="222"/>
      <c r="BA349" s="222"/>
      <c r="BB349" s="222"/>
      <c r="BC349" s="222"/>
      <c r="BD349" s="222"/>
      <c r="BE349" s="222"/>
      <c r="BF349" s="222"/>
      <c r="BG349" s="222"/>
      <c r="BH349" s="222"/>
      <c r="BI349" s="222"/>
      <c r="BJ349" s="222"/>
      <c r="BK349" s="118">
        <v>94.9</v>
      </c>
      <c r="BL349" s="270">
        <v>10038568737837</v>
      </c>
      <c r="BM349" s="250" t="s">
        <v>1878</v>
      </c>
      <c r="BN349" s="250"/>
      <c r="BO349" s="250"/>
      <c r="BP349" s="250"/>
      <c r="BQ349" s="250"/>
      <c r="BR349" s="250"/>
      <c r="BS349" s="250"/>
      <c r="BT349" s="223"/>
      <c r="BU349" s="223"/>
      <c r="BV349" s="223"/>
      <c r="BW349" s="223"/>
      <c r="BX349" s="223"/>
      <c r="BY349" s="223">
        <v>10.75</v>
      </c>
      <c r="BZ349" s="223">
        <v>7.12</v>
      </c>
      <c r="CA349" s="223">
        <v>6.25</v>
      </c>
      <c r="CB349" s="223"/>
      <c r="CC349" s="223">
        <v>1</v>
      </c>
      <c r="CD349" s="223"/>
      <c r="CE349" s="223"/>
      <c r="CF349" s="223" t="s">
        <v>134</v>
      </c>
      <c r="CG349" s="223"/>
      <c r="CH349" s="223">
        <v>35</v>
      </c>
      <c r="CI349" s="223">
        <v>4</v>
      </c>
      <c r="CJ349" s="223"/>
      <c r="CK349" s="223"/>
      <c r="CL349" s="223" t="s">
        <v>256</v>
      </c>
      <c r="CM349" s="250"/>
      <c r="CN349" s="1"/>
      <c r="CO349" s="14"/>
      <c r="CP349" s="14"/>
      <c r="CQ349" s="14"/>
      <c r="CR349" s="14"/>
      <c r="CS349" s="14"/>
      <c r="CT349" s="14"/>
      <c r="CU349" s="14"/>
    </row>
    <row r="350" spans="1:99" s="105" customFormat="1" x14ac:dyDescent="0.25">
      <c r="A350" s="239">
        <v>41518</v>
      </c>
      <c r="B350" s="239"/>
      <c r="C350" s="223">
        <v>1151</v>
      </c>
      <c r="D350" s="231" t="s">
        <v>54</v>
      </c>
      <c r="E350" s="223" t="s">
        <v>1879</v>
      </c>
      <c r="F350" s="271" t="s">
        <v>1880</v>
      </c>
      <c r="G350" s="271"/>
      <c r="H350" s="271"/>
      <c r="I350" s="271"/>
      <c r="J350" s="222"/>
      <c r="K350" s="222"/>
      <c r="L350" s="222"/>
      <c r="M350" s="222"/>
      <c r="N350" s="222"/>
      <c r="O350" s="222"/>
      <c r="P350" s="222"/>
      <c r="Q350" s="222"/>
      <c r="R350" s="222"/>
      <c r="S350" s="222"/>
      <c r="T350" s="222"/>
      <c r="U350" s="222"/>
      <c r="V350" s="222"/>
      <c r="W350" s="222"/>
      <c r="X350" s="222"/>
      <c r="Y350" s="222"/>
      <c r="Z350" s="222"/>
      <c r="AA350" s="222"/>
      <c r="AB350" s="222"/>
      <c r="AC350" s="222"/>
      <c r="AD350" s="222"/>
      <c r="AE350" s="222"/>
      <c r="AF350" s="222"/>
      <c r="AG350" s="222"/>
      <c r="AH350" s="222"/>
      <c r="AI350" s="222"/>
      <c r="AJ350" s="222"/>
      <c r="AK350" s="222"/>
      <c r="AL350" s="222"/>
      <c r="AM350" s="222"/>
      <c r="AN350" s="222">
        <v>75</v>
      </c>
      <c r="AO350" s="222"/>
      <c r="AP350" s="222"/>
      <c r="AQ350" s="222"/>
      <c r="AR350" s="222"/>
      <c r="AS350" s="222"/>
      <c r="AT350" s="222"/>
      <c r="AU350" s="222"/>
      <c r="AV350" s="222"/>
      <c r="AW350" s="222"/>
      <c r="AX350" s="222"/>
      <c r="AY350" s="222"/>
      <c r="AZ350" s="222"/>
      <c r="BA350" s="222"/>
      <c r="BB350" s="222"/>
      <c r="BC350" s="222"/>
      <c r="BD350" s="222"/>
      <c r="BE350" s="222"/>
      <c r="BF350" s="222"/>
      <c r="BG350" s="222"/>
      <c r="BH350" s="222"/>
      <c r="BI350" s="222"/>
      <c r="BJ350" s="222"/>
      <c r="BK350" s="170">
        <v>316.14</v>
      </c>
      <c r="BL350" s="223"/>
      <c r="BM350" s="223"/>
      <c r="BN350" s="223"/>
      <c r="BO350" s="223"/>
      <c r="BP350" s="223"/>
      <c r="BQ350" s="223"/>
      <c r="BR350" s="223"/>
      <c r="BS350" s="223"/>
      <c r="BT350" s="223"/>
      <c r="BU350" s="223"/>
      <c r="BV350" s="223"/>
      <c r="BW350" s="223"/>
      <c r="BX350" s="223"/>
      <c r="BY350" s="223"/>
      <c r="BZ350" s="223"/>
      <c r="CA350" s="223"/>
      <c r="CB350" s="223"/>
      <c r="CC350" s="223"/>
      <c r="CD350" s="223"/>
      <c r="CE350" s="223"/>
      <c r="CF350" s="223" t="s">
        <v>134</v>
      </c>
      <c r="CG350" s="223"/>
      <c r="CH350" s="223"/>
      <c r="CI350" s="223"/>
      <c r="CJ350" s="223"/>
      <c r="CK350" s="223"/>
      <c r="CL350" s="223"/>
      <c r="CM350" s="250" t="s">
        <v>150</v>
      </c>
      <c r="CN350" s="1"/>
      <c r="CO350" s="14"/>
      <c r="CP350" s="14"/>
      <c r="CQ350" s="14"/>
      <c r="CR350" s="14"/>
      <c r="CS350" s="14"/>
      <c r="CT350" s="14"/>
      <c r="CU350" s="14"/>
    </row>
    <row r="351" spans="1:99" s="105" customFormat="1" x14ac:dyDescent="0.25">
      <c r="A351" s="239">
        <v>41518</v>
      </c>
      <c r="B351" s="239"/>
      <c r="C351" s="175" t="s">
        <v>1881</v>
      </c>
      <c r="D351" s="231" t="s">
        <v>54</v>
      </c>
      <c r="E351" s="175" t="s">
        <v>1882</v>
      </c>
      <c r="F351" s="269" t="s">
        <v>1883</v>
      </c>
      <c r="G351" s="269"/>
      <c r="H351" s="269"/>
      <c r="I351" s="269"/>
      <c r="J351" s="175" t="s">
        <v>350</v>
      </c>
      <c r="K351" s="175" t="s">
        <v>1884</v>
      </c>
      <c r="L351" s="222"/>
      <c r="M351" s="222"/>
      <c r="N351" s="222"/>
      <c r="O351" s="222"/>
      <c r="P351" s="222"/>
      <c r="Q351" s="222"/>
      <c r="R351" s="222"/>
      <c r="S351" s="222"/>
      <c r="T351" s="222"/>
      <c r="U351" s="222"/>
      <c r="V351" s="222"/>
      <c r="W351" s="222"/>
      <c r="X351" s="222"/>
      <c r="Y351" s="222"/>
      <c r="Z351" s="222"/>
      <c r="AA351" s="222"/>
      <c r="AB351" s="222"/>
      <c r="AC351" s="222"/>
      <c r="AD351" s="222"/>
      <c r="AE351" s="222"/>
      <c r="AF351" s="222"/>
      <c r="AG351" s="222"/>
      <c r="AH351" s="222"/>
      <c r="AI351" s="222"/>
      <c r="AJ351" s="222"/>
      <c r="AK351" s="222"/>
      <c r="AL351" s="222"/>
      <c r="AM351" s="222"/>
      <c r="AN351" s="222"/>
      <c r="AO351" s="222"/>
      <c r="AP351" s="222"/>
      <c r="AQ351" s="222"/>
      <c r="AR351" s="222"/>
      <c r="AS351" s="222"/>
      <c r="AT351" s="222"/>
      <c r="AU351" s="222"/>
      <c r="AV351" s="222"/>
      <c r="AW351" s="222"/>
      <c r="AX351" s="222"/>
      <c r="AY351" s="222"/>
      <c r="AZ351" s="222"/>
      <c r="BA351" s="222"/>
      <c r="BB351" s="222"/>
      <c r="BC351" s="222"/>
      <c r="BD351" s="222"/>
      <c r="BE351" s="222"/>
      <c r="BF351" s="222"/>
      <c r="BG351" s="222"/>
      <c r="BH351" s="222"/>
      <c r="BI351" s="222"/>
      <c r="BJ351" s="222"/>
      <c r="BK351" s="118">
        <v>39.85</v>
      </c>
      <c r="BL351" s="223" t="s">
        <v>1885</v>
      </c>
      <c r="BM351" s="223"/>
      <c r="BN351" s="223"/>
      <c r="BO351" s="223"/>
      <c r="BP351" s="223"/>
      <c r="BQ351" s="223"/>
      <c r="BR351" s="223"/>
      <c r="BS351" s="223"/>
      <c r="BT351" s="31">
        <v>7.75</v>
      </c>
      <c r="BU351" s="31">
        <v>2.5</v>
      </c>
      <c r="BV351" s="31">
        <v>12.75</v>
      </c>
      <c r="BW351" s="223">
        <f t="shared" ref="BW351:BW365" si="75">(BV351*BU351*BT351)/1728</f>
        <v>0.14295789930555555</v>
      </c>
      <c r="BX351" s="31">
        <v>8.48</v>
      </c>
      <c r="BY351" s="31">
        <v>3</v>
      </c>
      <c r="BZ351" s="31">
        <v>13.49</v>
      </c>
      <c r="CA351" s="31">
        <v>3</v>
      </c>
      <c r="CB351" s="223">
        <f t="shared" ref="CB351:CB365" si="76">(CA351*BZ351*BX351)/1728</f>
        <v>0.19860277777777779</v>
      </c>
      <c r="CC351" s="31">
        <v>8.24</v>
      </c>
      <c r="CD351" s="31"/>
      <c r="CE351" s="31"/>
      <c r="CF351" s="223" t="s">
        <v>134</v>
      </c>
      <c r="CG351" s="223">
        <v>3</v>
      </c>
      <c r="CH351" s="223">
        <v>14</v>
      </c>
      <c r="CI351" s="223">
        <v>5</v>
      </c>
      <c r="CJ351" s="223">
        <f t="shared" ref="CJ351:CJ365" si="77">(CH351*3)*CI351</f>
        <v>210</v>
      </c>
      <c r="CK351" s="223">
        <f t="shared" ref="CK351:CK365" si="78">(CJ351*CC351)+50</f>
        <v>1780.4</v>
      </c>
      <c r="CL351" s="223" t="s">
        <v>256</v>
      </c>
      <c r="CM351" s="250" t="s">
        <v>136</v>
      </c>
      <c r="CN351" s="1"/>
      <c r="CO351" s="14"/>
      <c r="CP351" s="14"/>
      <c r="CQ351" s="14"/>
      <c r="CR351" s="14"/>
      <c r="CS351" s="14"/>
      <c r="CT351" s="14"/>
      <c r="CU351" s="14"/>
    </row>
    <row r="352" spans="1:99" s="105" customFormat="1" ht="30" x14ac:dyDescent="0.25">
      <c r="A352" s="239">
        <v>41518</v>
      </c>
      <c r="B352" s="239"/>
      <c r="C352" s="175" t="s">
        <v>1886</v>
      </c>
      <c r="D352" s="231" t="s">
        <v>54</v>
      </c>
      <c r="E352" s="175" t="s">
        <v>1882</v>
      </c>
      <c r="F352" s="269" t="s">
        <v>1887</v>
      </c>
      <c r="G352" s="269"/>
      <c r="H352" s="269"/>
      <c r="I352" s="269"/>
      <c r="J352" s="175" t="s">
        <v>1888</v>
      </c>
      <c r="K352" s="175" t="s">
        <v>1889</v>
      </c>
      <c r="L352" s="222"/>
      <c r="M352" s="222"/>
      <c r="N352" s="222"/>
      <c r="O352" s="222"/>
      <c r="P352" s="222"/>
      <c r="Q352" s="222"/>
      <c r="R352" s="222"/>
      <c r="S352" s="222"/>
      <c r="T352" s="222"/>
      <c r="U352" s="222"/>
      <c r="V352" s="222"/>
      <c r="W352" s="222"/>
      <c r="X352" s="222"/>
      <c r="Y352" s="222"/>
      <c r="Z352" s="222"/>
      <c r="AA352" s="222"/>
      <c r="AB352" s="222"/>
      <c r="AC352" s="222"/>
      <c r="AD352" s="222"/>
      <c r="AE352" s="222"/>
      <c r="AF352" s="222"/>
      <c r="AG352" s="222"/>
      <c r="AH352" s="222"/>
      <c r="AI352" s="222"/>
      <c r="AJ352" s="222"/>
      <c r="AK352" s="222"/>
      <c r="AL352" s="222"/>
      <c r="AM352" s="222"/>
      <c r="AN352" s="222"/>
      <c r="AO352" s="222"/>
      <c r="AP352" s="222"/>
      <c r="AQ352" s="222"/>
      <c r="AR352" s="222"/>
      <c r="AS352" s="222"/>
      <c r="AT352" s="222"/>
      <c r="AU352" s="222"/>
      <c r="AV352" s="222"/>
      <c r="AW352" s="222"/>
      <c r="AX352" s="222"/>
      <c r="AY352" s="222"/>
      <c r="AZ352" s="222"/>
      <c r="BA352" s="222"/>
      <c r="BB352" s="222"/>
      <c r="BC352" s="222"/>
      <c r="BD352" s="222"/>
      <c r="BE352" s="222"/>
      <c r="BF352" s="222"/>
      <c r="BG352" s="222"/>
      <c r="BH352" s="222"/>
      <c r="BI352" s="222"/>
      <c r="BJ352" s="222"/>
      <c r="BK352" s="118">
        <v>49.95</v>
      </c>
      <c r="BL352" s="223" t="s">
        <v>1890</v>
      </c>
      <c r="BM352" s="223"/>
      <c r="BN352" s="223"/>
      <c r="BO352" s="223"/>
      <c r="BP352" s="223"/>
      <c r="BQ352" s="223"/>
      <c r="BR352" s="223"/>
      <c r="BS352" s="223"/>
      <c r="BT352" s="31">
        <v>10.75</v>
      </c>
      <c r="BU352" s="31">
        <v>1.75</v>
      </c>
      <c r="BV352" s="31">
        <v>17.62</v>
      </c>
      <c r="BW352" s="223">
        <f t="shared" si="75"/>
        <v>0.1918265335648148</v>
      </c>
      <c r="BX352" s="31">
        <v>6.6</v>
      </c>
      <c r="BY352" s="31">
        <v>3</v>
      </c>
      <c r="BZ352" s="31">
        <v>18.11</v>
      </c>
      <c r="CA352" s="31">
        <v>3</v>
      </c>
      <c r="CB352" s="223">
        <f t="shared" si="76"/>
        <v>0.20751041666666664</v>
      </c>
      <c r="CC352" s="31">
        <v>12.24</v>
      </c>
      <c r="CD352" s="31"/>
      <c r="CE352" s="31"/>
      <c r="CF352" s="223" t="s">
        <v>134</v>
      </c>
      <c r="CG352" s="223">
        <v>3</v>
      </c>
      <c r="CH352" s="223">
        <v>7</v>
      </c>
      <c r="CI352" s="223">
        <v>6</v>
      </c>
      <c r="CJ352" s="223">
        <f t="shared" si="77"/>
        <v>126</v>
      </c>
      <c r="CK352" s="223">
        <f t="shared" si="78"/>
        <v>1592.24</v>
      </c>
      <c r="CL352" s="223" t="s">
        <v>256</v>
      </c>
      <c r="CM352" s="250" t="s">
        <v>136</v>
      </c>
      <c r="CN352" s="14"/>
      <c r="CO352" s="14"/>
      <c r="CP352" s="14"/>
      <c r="CQ352" s="14"/>
      <c r="CR352" s="14"/>
      <c r="CS352" s="14"/>
      <c r="CT352" s="14"/>
      <c r="CU352" s="14"/>
    </row>
    <row r="353" spans="1:99" s="105" customFormat="1" x14ac:dyDescent="0.25">
      <c r="A353" s="239">
        <v>41518</v>
      </c>
      <c r="B353" s="239"/>
      <c r="C353" s="175" t="s">
        <v>1891</v>
      </c>
      <c r="D353" s="231" t="s">
        <v>54</v>
      </c>
      <c r="E353" s="175" t="s">
        <v>1882</v>
      </c>
      <c r="F353" s="269" t="s">
        <v>1892</v>
      </c>
      <c r="G353" s="269"/>
      <c r="H353" s="269"/>
      <c r="I353" s="269"/>
      <c r="J353" s="175" t="s">
        <v>1893</v>
      </c>
      <c r="K353" s="175">
        <v>20435801</v>
      </c>
      <c r="L353" s="222"/>
      <c r="M353" s="222"/>
      <c r="N353" s="222"/>
      <c r="O353" s="222"/>
      <c r="P353" s="222"/>
      <c r="Q353" s="222"/>
      <c r="R353" s="222"/>
      <c r="S353" s="222"/>
      <c r="T353" s="222"/>
      <c r="U353" s="222"/>
      <c r="V353" s="222"/>
      <c r="W353" s="222"/>
      <c r="X353" s="222"/>
      <c r="Y353" s="222"/>
      <c r="Z353" s="222"/>
      <c r="AA353" s="222"/>
      <c r="AB353" s="222"/>
      <c r="AC353" s="222"/>
      <c r="AD353" s="222"/>
      <c r="AE353" s="222"/>
      <c r="AF353" s="222"/>
      <c r="AG353" s="222"/>
      <c r="AH353" s="222"/>
      <c r="AI353" s="222"/>
      <c r="AJ353" s="222"/>
      <c r="AK353" s="222"/>
      <c r="AL353" s="222"/>
      <c r="AM353" s="222"/>
      <c r="AN353" s="222"/>
      <c r="AO353" s="222"/>
      <c r="AP353" s="222"/>
      <c r="AQ353" s="222"/>
      <c r="AR353" s="222"/>
      <c r="AS353" s="222"/>
      <c r="AT353" s="222"/>
      <c r="AU353" s="222"/>
      <c r="AV353" s="222"/>
      <c r="AW353" s="222"/>
      <c r="AX353" s="222"/>
      <c r="AY353" s="222"/>
      <c r="AZ353" s="222"/>
      <c r="BA353" s="222"/>
      <c r="BB353" s="222"/>
      <c r="BC353" s="222"/>
      <c r="BD353" s="222"/>
      <c r="BE353" s="222"/>
      <c r="BF353" s="222"/>
      <c r="BG353" s="222"/>
      <c r="BH353" s="222"/>
      <c r="BI353" s="222"/>
      <c r="BJ353" s="222"/>
      <c r="BK353" s="118">
        <v>24.95</v>
      </c>
      <c r="BL353" s="223" t="s">
        <v>1894</v>
      </c>
      <c r="BM353" s="223"/>
      <c r="BN353" s="223"/>
      <c r="BO353" s="223"/>
      <c r="BP353" s="223"/>
      <c r="BQ353" s="223"/>
      <c r="BR353" s="223"/>
      <c r="BS353" s="223"/>
      <c r="BT353" s="31">
        <v>10.75</v>
      </c>
      <c r="BU353" s="31">
        <v>1.75</v>
      </c>
      <c r="BV353" s="31">
        <v>17.62</v>
      </c>
      <c r="BW353" s="223">
        <f t="shared" si="75"/>
        <v>0.1918265335648148</v>
      </c>
      <c r="BX353" s="31">
        <v>6.6</v>
      </c>
      <c r="BY353" s="31">
        <v>3</v>
      </c>
      <c r="BZ353" s="31">
        <v>18.11</v>
      </c>
      <c r="CA353" s="31">
        <v>3</v>
      </c>
      <c r="CB353" s="223">
        <f t="shared" si="76"/>
        <v>0.20751041666666664</v>
      </c>
      <c r="CC353" s="31">
        <v>12.24</v>
      </c>
      <c r="CD353" s="31"/>
      <c r="CE353" s="31"/>
      <c r="CF353" s="223" t="s">
        <v>134</v>
      </c>
      <c r="CG353" s="223">
        <v>3</v>
      </c>
      <c r="CH353" s="223">
        <v>7</v>
      </c>
      <c r="CI353" s="223">
        <v>6</v>
      </c>
      <c r="CJ353" s="223">
        <f t="shared" si="77"/>
        <v>126</v>
      </c>
      <c r="CK353" s="223">
        <f t="shared" si="78"/>
        <v>1592.24</v>
      </c>
      <c r="CL353" s="223" t="s">
        <v>256</v>
      </c>
      <c r="CM353" s="250" t="s">
        <v>136</v>
      </c>
      <c r="CN353" s="14"/>
      <c r="CO353" s="14"/>
      <c r="CP353" s="14"/>
      <c r="CQ353" s="14"/>
      <c r="CR353" s="14"/>
      <c r="CS353" s="14"/>
      <c r="CT353" s="14"/>
      <c r="CU353" s="14"/>
    </row>
    <row r="354" spans="1:99" s="105" customFormat="1" x14ac:dyDescent="0.25">
      <c r="A354" s="239">
        <v>41518</v>
      </c>
      <c r="B354" s="239"/>
      <c r="C354" s="175" t="s">
        <v>1895</v>
      </c>
      <c r="D354" s="231" t="s">
        <v>54</v>
      </c>
      <c r="E354" s="175" t="s">
        <v>1882</v>
      </c>
      <c r="F354" s="269" t="s">
        <v>1896</v>
      </c>
      <c r="G354" s="269"/>
      <c r="H354" s="269"/>
      <c r="I354" s="269"/>
      <c r="J354" s="175" t="s">
        <v>1893</v>
      </c>
      <c r="K354" s="175">
        <v>3948712</v>
      </c>
      <c r="L354" s="222"/>
      <c r="M354" s="222"/>
      <c r="N354" s="222"/>
      <c r="O354" s="222"/>
      <c r="P354" s="222"/>
      <c r="Q354" s="222"/>
      <c r="R354" s="222"/>
      <c r="S354" s="222"/>
      <c r="T354" s="222"/>
      <c r="U354" s="222"/>
      <c r="V354" s="222"/>
      <c r="W354" s="222"/>
      <c r="X354" s="222"/>
      <c r="Y354" s="222"/>
      <c r="Z354" s="222"/>
      <c r="AA354" s="222"/>
      <c r="AB354" s="222"/>
      <c r="AC354" s="222"/>
      <c r="AD354" s="222"/>
      <c r="AE354" s="222"/>
      <c r="AF354" s="222"/>
      <c r="AG354" s="222"/>
      <c r="AH354" s="222"/>
      <c r="AI354" s="222"/>
      <c r="AJ354" s="222"/>
      <c r="AK354" s="222"/>
      <c r="AL354" s="222"/>
      <c r="AM354" s="222"/>
      <c r="AN354" s="222"/>
      <c r="AO354" s="222"/>
      <c r="AP354" s="222"/>
      <c r="AQ354" s="222"/>
      <c r="AR354" s="222"/>
      <c r="AS354" s="222"/>
      <c r="AT354" s="222"/>
      <c r="AU354" s="222"/>
      <c r="AV354" s="222"/>
      <c r="AW354" s="222"/>
      <c r="AX354" s="222"/>
      <c r="AY354" s="222"/>
      <c r="AZ354" s="222"/>
      <c r="BA354" s="222"/>
      <c r="BB354" s="222"/>
      <c r="BC354" s="222"/>
      <c r="BD354" s="222"/>
      <c r="BE354" s="222"/>
      <c r="BF354" s="222"/>
      <c r="BG354" s="222"/>
      <c r="BH354" s="222"/>
      <c r="BI354" s="222"/>
      <c r="BJ354" s="222"/>
      <c r="BK354" s="118">
        <v>25.35</v>
      </c>
      <c r="BL354" s="223" t="s">
        <v>1897</v>
      </c>
      <c r="BM354" s="222"/>
      <c r="BN354" s="222"/>
      <c r="BO354" s="222"/>
      <c r="BP354" s="222"/>
      <c r="BQ354" s="222"/>
      <c r="BR354" s="222"/>
      <c r="BS354" s="222"/>
      <c r="BT354" s="31">
        <v>10.75</v>
      </c>
      <c r="BU354" s="31">
        <v>1.75</v>
      </c>
      <c r="BV354" s="31">
        <v>17.62</v>
      </c>
      <c r="BW354" s="223">
        <f t="shared" si="75"/>
        <v>0.1918265335648148</v>
      </c>
      <c r="BX354" s="31">
        <v>6.6</v>
      </c>
      <c r="BY354" s="31">
        <v>3</v>
      </c>
      <c r="BZ354" s="31">
        <v>18.11</v>
      </c>
      <c r="CA354" s="31">
        <v>3</v>
      </c>
      <c r="CB354" s="223">
        <f t="shared" si="76"/>
        <v>0.20751041666666664</v>
      </c>
      <c r="CC354" s="31">
        <v>12.24</v>
      </c>
      <c r="CD354" s="31"/>
      <c r="CE354" s="31"/>
      <c r="CF354" s="223" t="s">
        <v>134</v>
      </c>
      <c r="CG354" s="223">
        <v>3</v>
      </c>
      <c r="CH354" s="222">
        <v>7</v>
      </c>
      <c r="CI354" s="222">
        <v>6</v>
      </c>
      <c r="CJ354" s="223">
        <f t="shared" si="77"/>
        <v>126</v>
      </c>
      <c r="CK354" s="223">
        <f t="shared" si="78"/>
        <v>1592.24</v>
      </c>
      <c r="CL354" s="223" t="s">
        <v>256</v>
      </c>
      <c r="CM354" s="250" t="s">
        <v>136</v>
      </c>
      <c r="CN354" s="1"/>
      <c r="CO354" s="14"/>
      <c r="CP354" s="14"/>
      <c r="CQ354" s="14"/>
      <c r="CR354" s="14"/>
      <c r="CS354" s="14"/>
      <c r="CT354" s="14"/>
      <c r="CU354" s="14"/>
    </row>
    <row r="355" spans="1:99" s="105" customFormat="1" x14ac:dyDescent="0.25">
      <c r="A355" s="239">
        <v>41518</v>
      </c>
      <c r="B355" s="239"/>
      <c r="C355" s="175" t="s">
        <v>1898</v>
      </c>
      <c r="D355" s="231" t="s">
        <v>54</v>
      </c>
      <c r="E355" s="175" t="s">
        <v>1882</v>
      </c>
      <c r="F355" s="269" t="s">
        <v>1896</v>
      </c>
      <c r="G355" s="269"/>
      <c r="H355" s="269"/>
      <c r="I355" s="269"/>
      <c r="J355" s="175" t="s">
        <v>1893</v>
      </c>
      <c r="K355" s="175">
        <v>8089705</v>
      </c>
      <c r="L355" s="222"/>
      <c r="M355" s="222"/>
      <c r="N355" s="222"/>
      <c r="O355" s="222"/>
      <c r="P355" s="222"/>
      <c r="Q355" s="222"/>
      <c r="R355" s="222"/>
      <c r="S355" s="222"/>
      <c r="T355" s="222"/>
      <c r="U355" s="222"/>
      <c r="V355" s="222"/>
      <c r="W355" s="222"/>
      <c r="X355" s="222"/>
      <c r="Y355" s="222"/>
      <c r="Z355" s="222"/>
      <c r="AA355" s="222"/>
      <c r="AB355" s="222"/>
      <c r="AC355" s="222"/>
      <c r="AD355" s="222"/>
      <c r="AE355" s="222"/>
      <c r="AF355" s="222"/>
      <c r="AG355" s="222"/>
      <c r="AH355" s="222"/>
      <c r="AI355" s="222"/>
      <c r="AJ355" s="222"/>
      <c r="AK355" s="222"/>
      <c r="AL355" s="222"/>
      <c r="AM355" s="222"/>
      <c r="AN355" s="222"/>
      <c r="AO355" s="222"/>
      <c r="AP355" s="222"/>
      <c r="AQ355" s="222"/>
      <c r="AR355" s="222"/>
      <c r="AS355" s="222"/>
      <c r="AT355" s="222"/>
      <c r="AU355" s="222"/>
      <c r="AV355" s="222"/>
      <c r="AW355" s="222"/>
      <c r="AX355" s="222"/>
      <c r="AY355" s="222"/>
      <c r="AZ355" s="222"/>
      <c r="BA355" s="222"/>
      <c r="BB355" s="222"/>
      <c r="BC355" s="222"/>
      <c r="BD355" s="222"/>
      <c r="BE355" s="222"/>
      <c r="BF355" s="222"/>
      <c r="BG355" s="222"/>
      <c r="BH355" s="222"/>
      <c r="BI355" s="222"/>
      <c r="BJ355" s="222"/>
      <c r="BK355" s="118">
        <v>28.85</v>
      </c>
      <c r="BL355" s="223" t="s">
        <v>1899</v>
      </c>
      <c r="BM355" s="222"/>
      <c r="BN355" s="222"/>
      <c r="BO355" s="222"/>
      <c r="BP355" s="222"/>
      <c r="BQ355" s="222"/>
      <c r="BR355" s="222"/>
      <c r="BS355" s="222"/>
      <c r="BT355" s="31">
        <v>7.75</v>
      </c>
      <c r="BU355" s="31">
        <v>2.5</v>
      </c>
      <c r="BV355" s="31">
        <v>12.75</v>
      </c>
      <c r="BW355" s="223">
        <f t="shared" si="75"/>
        <v>0.14295789930555555</v>
      </c>
      <c r="BX355" s="31">
        <v>8.48</v>
      </c>
      <c r="BY355" s="31">
        <v>3</v>
      </c>
      <c r="BZ355" s="31">
        <v>13.49</v>
      </c>
      <c r="CA355" s="31">
        <v>3</v>
      </c>
      <c r="CB355" s="223">
        <f t="shared" si="76"/>
        <v>0.19860277777777779</v>
      </c>
      <c r="CC355" s="31">
        <v>8.24</v>
      </c>
      <c r="CD355" s="31"/>
      <c r="CE355" s="31"/>
      <c r="CF355" s="223" t="s">
        <v>134</v>
      </c>
      <c r="CG355" s="223">
        <v>3</v>
      </c>
      <c r="CH355" s="222">
        <v>14</v>
      </c>
      <c r="CI355" s="222">
        <v>5</v>
      </c>
      <c r="CJ355" s="223">
        <f t="shared" si="77"/>
        <v>210</v>
      </c>
      <c r="CK355" s="223">
        <f t="shared" si="78"/>
        <v>1780.4</v>
      </c>
      <c r="CL355" s="223" t="s">
        <v>256</v>
      </c>
      <c r="CM355" s="250" t="s">
        <v>136</v>
      </c>
      <c r="CN355" s="1"/>
      <c r="CO355" s="14"/>
      <c r="CP355" s="14"/>
      <c r="CQ355" s="14"/>
      <c r="CR355" s="14"/>
      <c r="CS355" s="14"/>
      <c r="CT355" s="14"/>
      <c r="CU355" s="14"/>
    </row>
    <row r="356" spans="1:99" s="105" customFormat="1" ht="30" x14ac:dyDescent="0.25">
      <c r="A356" s="239">
        <v>41518</v>
      </c>
      <c r="B356" s="239"/>
      <c r="C356" s="175" t="s">
        <v>1900</v>
      </c>
      <c r="D356" s="231" t="s">
        <v>54</v>
      </c>
      <c r="E356" s="175" t="s">
        <v>1882</v>
      </c>
      <c r="F356" s="269" t="s">
        <v>1901</v>
      </c>
      <c r="G356" s="269"/>
      <c r="H356" s="269"/>
      <c r="I356" s="269"/>
      <c r="J356" s="269" t="s">
        <v>1902</v>
      </c>
      <c r="K356" s="269">
        <v>91559</v>
      </c>
      <c r="L356" s="222"/>
      <c r="M356" s="222"/>
      <c r="N356" s="222"/>
      <c r="O356" s="222"/>
      <c r="P356" s="222"/>
      <c r="Q356" s="222"/>
      <c r="R356" s="222"/>
      <c r="S356" s="222"/>
      <c r="T356" s="222"/>
      <c r="U356" s="222"/>
      <c r="V356" s="222"/>
      <c r="W356" s="222"/>
      <c r="X356" s="222"/>
      <c r="Y356" s="222"/>
      <c r="Z356" s="222"/>
      <c r="AA356" s="222"/>
      <c r="AB356" s="222"/>
      <c r="AC356" s="222"/>
      <c r="AD356" s="222"/>
      <c r="AE356" s="222"/>
      <c r="AF356" s="222"/>
      <c r="AG356" s="222"/>
      <c r="AH356" s="222"/>
      <c r="AI356" s="222"/>
      <c r="AJ356" s="222"/>
      <c r="AK356" s="222"/>
      <c r="AL356" s="222"/>
      <c r="AM356" s="222"/>
      <c r="AN356" s="222"/>
      <c r="AO356" s="222"/>
      <c r="AP356" s="222"/>
      <c r="AQ356" s="222"/>
      <c r="AR356" s="222"/>
      <c r="AS356" s="222"/>
      <c r="AT356" s="222"/>
      <c r="AU356" s="222"/>
      <c r="AV356" s="222"/>
      <c r="AW356" s="222"/>
      <c r="AX356" s="222"/>
      <c r="AY356" s="222"/>
      <c r="AZ356" s="222"/>
      <c r="BA356" s="222"/>
      <c r="BB356" s="222"/>
      <c r="BC356" s="222"/>
      <c r="BD356" s="222"/>
      <c r="BE356" s="222"/>
      <c r="BF356" s="222"/>
      <c r="BG356" s="222"/>
      <c r="BH356" s="222"/>
      <c r="BI356" s="222"/>
      <c r="BJ356" s="222"/>
      <c r="BK356" s="118">
        <v>27.75</v>
      </c>
      <c r="BL356" s="223" t="s">
        <v>1903</v>
      </c>
      <c r="BM356" s="223"/>
      <c r="BN356" s="223"/>
      <c r="BO356" s="223"/>
      <c r="BP356" s="223"/>
      <c r="BQ356" s="223"/>
      <c r="BR356" s="223"/>
      <c r="BS356" s="223"/>
      <c r="BT356" s="31">
        <v>11.25</v>
      </c>
      <c r="BU356" s="31">
        <v>2.68</v>
      </c>
      <c r="BV356" s="31">
        <v>11.25</v>
      </c>
      <c r="BW356" s="223">
        <f t="shared" si="75"/>
        <v>0.1962890625</v>
      </c>
      <c r="BX356" s="31">
        <v>9</v>
      </c>
      <c r="BY356" s="31">
        <v>3</v>
      </c>
      <c r="BZ356" s="31">
        <v>11.75</v>
      </c>
      <c r="CA356" s="31">
        <v>3</v>
      </c>
      <c r="CB356" s="223">
        <f t="shared" si="76"/>
        <v>0.18359375</v>
      </c>
      <c r="CC356" s="31">
        <v>11.75</v>
      </c>
      <c r="CD356" s="31"/>
      <c r="CE356" s="31"/>
      <c r="CF356" s="223" t="s">
        <v>134</v>
      </c>
      <c r="CG356" s="223">
        <v>3</v>
      </c>
      <c r="CH356" s="223">
        <v>12</v>
      </c>
      <c r="CI356" s="223">
        <v>5</v>
      </c>
      <c r="CJ356" s="223">
        <f t="shared" si="77"/>
        <v>180</v>
      </c>
      <c r="CK356" s="223">
        <f t="shared" si="78"/>
        <v>2165</v>
      </c>
      <c r="CL356" s="223" t="s">
        <v>256</v>
      </c>
      <c r="CM356" s="250" t="s">
        <v>136</v>
      </c>
      <c r="CN356" s="1"/>
      <c r="CO356" s="14"/>
      <c r="CP356" s="14"/>
      <c r="CQ356" s="14"/>
      <c r="CR356" s="14"/>
      <c r="CS356" s="14"/>
      <c r="CT356" s="14"/>
      <c r="CU356" s="14"/>
    </row>
    <row r="357" spans="1:99" s="105" customFormat="1" x14ac:dyDescent="0.25">
      <c r="A357" s="239">
        <v>41518</v>
      </c>
      <c r="B357" s="239"/>
      <c r="C357" s="175" t="s">
        <v>1904</v>
      </c>
      <c r="D357" s="231" t="s">
        <v>54</v>
      </c>
      <c r="E357" s="175" t="s">
        <v>1882</v>
      </c>
      <c r="F357" s="269" t="s">
        <v>1905</v>
      </c>
      <c r="G357" s="269"/>
      <c r="H357" s="269"/>
      <c r="I357" s="269"/>
      <c r="J357" s="269" t="s">
        <v>1902</v>
      </c>
      <c r="K357" s="269" t="s">
        <v>1906</v>
      </c>
      <c r="L357" s="222"/>
      <c r="M357" s="222"/>
      <c r="N357" s="222"/>
      <c r="O357" s="222"/>
      <c r="P357" s="222"/>
      <c r="Q357" s="222"/>
      <c r="R357" s="222"/>
      <c r="S357" s="222"/>
      <c r="T357" s="222"/>
      <c r="U357" s="222"/>
      <c r="V357" s="222"/>
      <c r="W357" s="222"/>
      <c r="X357" s="222"/>
      <c r="Y357" s="222"/>
      <c r="Z357" s="222"/>
      <c r="AA357" s="222"/>
      <c r="AB357" s="222"/>
      <c r="AC357" s="222"/>
      <c r="AD357" s="222"/>
      <c r="AE357" s="222"/>
      <c r="AF357" s="222"/>
      <c r="AG357" s="222"/>
      <c r="AH357" s="222"/>
      <c r="AI357" s="222"/>
      <c r="AJ357" s="222"/>
      <c r="AK357" s="222"/>
      <c r="AL357" s="222"/>
      <c r="AM357" s="222"/>
      <c r="AN357" s="222"/>
      <c r="AO357" s="222"/>
      <c r="AP357" s="222"/>
      <c r="AQ357" s="222"/>
      <c r="AR357" s="222"/>
      <c r="AS357" s="222"/>
      <c r="AT357" s="222"/>
      <c r="AU357" s="222"/>
      <c r="AV357" s="222"/>
      <c r="AW357" s="222"/>
      <c r="AX357" s="222"/>
      <c r="AY357" s="222"/>
      <c r="AZ357" s="222"/>
      <c r="BA357" s="222"/>
      <c r="BB357" s="222"/>
      <c r="BC357" s="222"/>
      <c r="BD357" s="222"/>
      <c r="BE357" s="222"/>
      <c r="BF357" s="222"/>
      <c r="BG357" s="222"/>
      <c r="BH357" s="222"/>
      <c r="BI357" s="222"/>
      <c r="BJ357" s="222"/>
      <c r="BK357" s="118">
        <v>46.85</v>
      </c>
      <c r="BL357" s="223" t="s">
        <v>1907</v>
      </c>
      <c r="BM357" s="223"/>
      <c r="BN357" s="223"/>
      <c r="BO357" s="223"/>
      <c r="BP357" s="223"/>
      <c r="BQ357" s="223"/>
      <c r="BR357" s="223"/>
      <c r="BS357" s="223"/>
      <c r="BT357" s="31">
        <v>11.25</v>
      </c>
      <c r="BU357" s="31">
        <v>2.68</v>
      </c>
      <c r="BV357" s="31">
        <v>11.25</v>
      </c>
      <c r="BW357" s="223">
        <f t="shared" si="75"/>
        <v>0.1962890625</v>
      </c>
      <c r="BX357" s="31">
        <v>9</v>
      </c>
      <c r="BY357" s="31">
        <v>3</v>
      </c>
      <c r="BZ357" s="31">
        <v>11.75</v>
      </c>
      <c r="CA357" s="31">
        <v>3</v>
      </c>
      <c r="CB357" s="223">
        <f t="shared" si="76"/>
        <v>0.18359375</v>
      </c>
      <c r="CC357" s="31">
        <v>11.75</v>
      </c>
      <c r="CD357" s="31"/>
      <c r="CE357" s="31"/>
      <c r="CF357" s="223" t="s">
        <v>134</v>
      </c>
      <c r="CG357" s="223">
        <v>3</v>
      </c>
      <c r="CH357" s="223">
        <v>12</v>
      </c>
      <c r="CI357" s="223">
        <v>5</v>
      </c>
      <c r="CJ357" s="223">
        <f t="shared" si="77"/>
        <v>180</v>
      </c>
      <c r="CK357" s="223">
        <f t="shared" si="78"/>
        <v>2165</v>
      </c>
      <c r="CL357" s="223" t="s">
        <v>256</v>
      </c>
      <c r="CM357" s="250" t="s">
        <v>136</v>
      </c>
      <c r="CN357" s="1"/>
      <c r="CO357" s="14"/>
      <c r="CP357" s="14"/>
      <c r="CQ357" s="14"/>
      <c r="CR357" s="14"/>
      <c r="CS357" s="14"/>
      <c r="CT357" s="14"/>
      <c r="CU357" s="14"/>
    </row>
    <row r="358" spans="1:99" s="105" customFormat="1" x14ac:dyDescent="0.25">
      <c r="A358" s="239">
        <v>41518</v>
      </c>
      <c r="B358" s="239"/>
      <c r="C358" s="175" t="s">
        <v>1908</v>
      </c>
      <c r="D358" s="231" t="s">
        <v>54</v>
      </c>
      <c r="E358" s="175" t="s">
        <v>1882</v>
      </c>
      <c r="F358" s="269" t="s">
        <v>1909</v>
      </c>
      <c r="G358" s="269"/>
      <c r="H358" s="269"/>
      <c r="I358" s="269"/>
      <c r="J358" s="175" t="s">
        <v>518</v>
      </c>
      <c r="K358" s="175" t="s">
        <v>1910</v>
      </c>
      <c r="L358" s="222"/>
      <c r="M358" s="222"/>
      <c r="N358" s="222"/>
      <c r="O358" s="222"/>
      <c r="P358" s="222"/>
      <c r="Q358" s="222"/>
      <c r="R358" s="222"/>
      <c r="S358" s="222"/>
      <c r="T358" s="222"/>
      <c r="U358" s="222"/>
      <c r="V358" s="222"/>
      <c r="W358" s="222"/>
      <c r="X358" s="222"/>
      <c r="Y358" s="222"/>
      <c r="Z358" s="222"/>
      <c r="AA358" s="222"/>
      <c r="AB358" s="222"/>
      <c r="AC358" s="222"/>
      <c r="AD358" s="222"/>
      <c r="AE358" s="222"/>
      <c r="AF358" s="222"/>
      <c r="AG358" s="222"/>
      <c r="AH358" s="222"/>
      <c r="AI358" s="222"/>
      <c r="AJ358" s="222"/>
      <c r="AK358" s="222"/>
      <c r="AL358" s="222"/>
      <c r="AM358" s="222"/>
      <c r="AN358" s="222"/>
      <c r="AO358" s="222"/>
      <c r="AP358" s="222"/>
      <c r="AQ358" s="222"/>
      <c r="AR358" s="222"/>
      <c r="AS358" s="222"/>
      <c r="AT358" s="222"/>
      <c r="AU358" s="222"/>
      <c r="AV358" s="222"/>
      <c r="AW358" s="222"/>
      <c r="AX358" s="222"/>
      <c r="AY358" s="222"/>
      <c r="AZ358" s="222"/>
      <c r="BA358" s="222"/>
      <c r="BB358" s="222"/>
      <c r="BC358" s="222"/>
      <c r="BD358" s="222"/>
      <c r="BE358" s="222"/>
      <c r="BF358" s="222"/>
      <c r="BG358" s="222"/>
      <c r="BH358" s="222"/>
      <c r="BI358" s="222"/>
      <c r="BJ358" s="222"/>
      <c r="BK358" s="118">
        <v>34.950000000000003</v>
      </c>
      <c r="BL358" s="223" t="s">
        <v>1911</v>
      </c>
      <c r="BM358" s="223"/>
      <c r="BN358" s="223"/>
      <c r="BO358" s="223"/>
      <c r="BP358" s="223"/>
      <c r="BQ358" s="223"/>
      <c r="BR358" s="223"/>
      <c r="BS358" s="223"/>
      <c r="BT358" s="31">
        <v>7.5</v>
      </c>
      <c r="BU358" s="31">
        <v>1.31</v>
      </c>
      <c r="BV358" s="31">
        <v>13</v>
      </c>
      <c r="BW358" s="223">
        <f t="shared" si="75"/>
        <v>7.3914930555555564E-2</v>
      </c>
      <c r="BX358" s="31">
        <v>4.6399999999999997</v>
      </c>
      <c r="BY358" s="31">
        <v>3</v>
      </c>
      <c r="BZ358" s="31">
        <v>14.26</v>
      </c>
      <c r="CA358" s="31">
        <v>3</v>
      </c>
      <c r="CB358" s="223">
        <f t="shared" si="76"/>
        <v>0.11487222222222222</v>
      </c>
      <c r="CC358" s="31">
        <v>9.6300000000000008</v>
      </c>
      <c r="CD358" s="31"/>
      <c r="CE358" s="31"/>
      <c r="CF358" s="223" t="s">
        <v>134</v>
      </c>
      <c r="CG358" s="223">
        <v>3</v>
      </c>
      <c r="CH358" s="223">
        <v>12</v>
      </c>
      <c r="CI358" s="223">
        <v>9</v>
      </c>
      <c r="CJ358" s="223">
        <f t="shared" si="77"/>
        <v>324</v>
      </c>
      <c r="CK358" s="223">
        <f t="shared" si="78"/>
        <v>3170.1200000000003</v>
      </c>
      <c r="CL358" s="223" t="s">
        <v>256</v>
      </c>
      <c r="CM358" s="250" t="s">
        <v>136</v>
      </c>
      <c r="CN358" s="1"/>
      <c r="CO358" s="14"/>
      <c r="CP358" s="14"/>
      <c r="CQ358" s="14"/>
      <c r="CR358" s="14"/>
      <c r="CS358" s="14"/>
      <c r="CT358" s="14"/>
      <c r="CU358" s="14"/>
    </row>
    <row r="359" spans="1:99" s="105" customFormat="1" x14ac:dyDescent="0.25">
      <c r="A359" s="239">
        <v>41518</v>
      </c>
      <c r="B359" s="239"/>
      <c r="C359" s="175" t="s">
        <v>1912</v>
      </c>
      <c r="D359" s="231" t="s">
        <v>54</v>
      </c>
      <c r="E359" s="175" t="s">
        <v>1882</v>
      </c>
      <c r="F359" s="269" t="s">
        <v>1913</v>
      </c>
      <c r="G359" s="269"/>
      <c r="H359" s="269"/>
      <c r="I359" s="269"/>
      <c r="J359" s="175" t="s">
        <v>1914</v>
      </c>
      <c r="K359" s="175" t="s">
        <v>1915</v>
      </c>
      <c r="L359" s="222"/>
      <c r="M359" s="222"/>
      <c r="N359" s="222"/>
      <c r="O359" s="222"/>
      <c r="P359" s="222"/>
      <c r="Q359" s="222"/>
      <c r="R359" s="222"/>
      <c r="S359" s="222"/>
      <c r="T359" s="222"/>
      <c r="U359" s="222"/>
      <c r="V359" s="222"/>
      <c r="W359" s="222"/>
      <c r="X359" s="222"/>
      <c r="Y359" s="222"/>
      <c r="Z359" s="222"/>
      <c r="AA359" s="222"/>
      <c r="AB359" s="222"/>
      <c r="AC359" s="222"/>
      <c r="AD359" s="222"/>
      <c r="AE359" s="222"/>
      <c r="AF359" s="222"/>
      <c r="AG359" s="222"/>
      <c r="AH359" s="222"/>
      <c r="AI359" s="222"/>
      <c r="AJ359" s="222"/>
      <c r="AK359" s="222"/>
      <c r="AL359" s="222"/>
      <c r="AM359" s="222"/>
      <c r="AN359" s="222"/>
      <c r="AO359" s="222"/>
      <c r="AP359" s="222"/>
      <c r="AQ359" s="222"/>
      <c r="AR359" s="222"/>
      <c r="AS359" s="222"/>
      <c r="AT359" s="222"/>
      <c r="AU359" s="222"/>
      <c r="AV359" s="222"/>
      <c r="AW359" s="222"/>
      <c r="AX359" s="222"/>
      <c r="AY359" s="222"/>
      <c r="AZ359" s="222"/>
      <c r="BA359" s="222"/>
      <c r="BB359" s="222"/>
      <c r="BC359" s="222"/>
      <c r="BD359" s="222"/>
      <c r="BE359" s="222"/>
      <c r="BF359" s="222"/>
      <c r="BG359" s="222"/>
      <c r="BH359" s="222"/>
      <c r="BI359" s="222"/>
      <c r="BJ359" s="222"/>
      <c r="BK359" s="118">
        <v>29.95</v>
      </c>
      <c r="BL359" s="223" t="s">
        <v>1916</v>
      </c>
      <c r="BM359" s="223"/>
      <c r="BN359" s="223"/>
      <c r="BO359" s="223"/>
      <c r="BP359" s="223"/>
      <c r="BQ359" s="223"/>
      <c r="BR359" s="223"/>
      <c r="BS359" s="223"/>
      <c r="BT359" s="31">
        <v>10.75</v>
      </c>
      <c r="BU359" s="31">
        <v>1.75</v>
      </c>
      <c r="BV359" s="31">
        <v>17.62</v>
      </c>
      <c r="BW359" s="223">
        <f t="shared" si="75"/>
        <v>0.1918265335648148</v>
      </c>
      <c r="BX359" s="31">
        <v>6.6</v>
      </c>
      <c r="BY359" s="31">
        <v>3</v>
      </c>
      <c r="BZ359" s="31">
        <v>18.11</v>
      </c>
      <c r="CA359" s="31">
        <v>3</v>
      </c>
      <c r="CB359" s="223">
        <f t="shared" si="76"/>
        <v>0.20751041666666664</v>
      </c>
      <c r="CC359" s="31">
        <v>12.24</v>
      </c>
      <c r="CD359" s="31"/>
      <c r="CE359" s="31"/>
      <c r="CF359" s="223" t="s">
        <v>134</v>
      </c>
      <c r="CG359" s="223">
        <v>3</v>
      </c>
      <c r="CH359" s="223">
        <v>7</v>
      </c>
      <c r="CI359" s="223">
        <v>6</v>
      </c>
      <c r="CJ359" s="223">
        <f t="shared" si="77"/>
        <v>126</v>
      </c>
      <c r="CK359" s="223">
        <f t="shared" si="78"/>
        <v>1592.24</v>
      </c>
      <c r="CL359" s="223" t="s">
        <v>256</v>
      </c>
      <c r="CM359" s="250" t="s">
        <v>136</v>
      </c>
      <c r="CN359" s="1"/>
      <c r="CO359" s="14"/>
      <c r="CP359" s="14"/>
      <c r="CQ359" s="14"/>
      <c r="CR359" s="14"/>
      <c r="CS359" s="14"/>
      <c r="CT359" s="14"/>
      <c r="CU359" s="14"/>
    </row>
    <row r="360" spans="1:99" s="105" customFormat="1" x14ac:dyDescent="0.25">
      <c r="A360" s="239">
        <v>41518</v>
      </c>
      <c r="B360" s="239"/>
      <c r="C360" s="175" t="s">
        <v>1917</v>
      </c>
      <c r="D360" s="231" t="s">
        <v>54</v>
      </c>
      <c r="E360" s="175" t="s">
        <v>1882</v>
      </c>
      <c r="F360" s="269" t="s">
        <v>1918</v>
      </c>
      <c r="G360" s="269"/>
      <c r="H360" s="269"/>
      <c r="I360" s="269"/>
      <c r="J360" s="175" t="s">
        <v>518</v>
      </c>
      <c r="K360" s="175" t="s">
        <v>1919</v>
      </c>
      <c r="L360" s="222"/>
      <c r="M360" s="222"/>
      <c r="N360" s="222"/>
      <c r="O360" s="222"/>
      <c r="P360" s="222"/>
      <c r="Q360" s="222"/>
      <c r="R360" s="222"/>
      <c r="S360" s="222"/>
      <c r="T360" s="222"/>
      <c r="U360" s="222"/>
      <c r="V360" s="222"/>
      <c r="W360" s="222"/>
      <c r="X360" s="222"/>
      <c r="Y360" s="222"/>
      <c r="Z360" s="222"/>
      <c r="AA360" s="222"/>
      <c r="AB360" s="222"/>
      <c r="AC360" s="222"/>
      <c r="AD360" s="222"/>
      <c r="AE360" s="222"/>
      <c r="AF360" s="222"/>
      <c r="AG360" s="222"/>
      <c r="AH360" s="222"/>
      <c r="AI360" s="222"/>
      <c r="AJ360" s="222"/>
      <c r="AK360" s="222"/>
      <c r="AL360" s="222"/>
      <c r="AM360" s="222"/>
      <c r="AN360" s="222"/>
      <c r="AO360" s="222"/>
      <c r="AP360" s="222"/>
      <c r="AQ360" s="222"/>
      <c r="AR360" s="222"/>
      <c r="AS360" s="222"/>
      <c r="AT360" s="222"/>
      <c r="AU360" s="222"/>
      <c r="AV360" s="222"/>
      <c r="AW360" s="222"/>
      <c r="AX360" s="222"/>
      <c r="AY360" s="222"/>
      <c r="AZ360" s="222"/>
      <c r="BA360" s="222"/>
      <c r="BB360" s="222"/>
      <c r="BC360" s="222"/>
      <c r="BD360" s="222"/>
      <c r="BE360" s="222"/>
      <c r="BF360" s="222"/>
      <c r="BG360" s="222"/>
      <c r="BH360" s="222"/>
      <c r="BI360" s="222"/>
      <c r="BJ360" s="222"/>
      <c r="BK360" s="118">
        <v>28.58</v>
      </c>
      <c r="BL360" s="223" t="s">
        <v>1920</v>
      </c>
      <c r="BM360" s="223"/>
      <c r="BN360" s="223"/>
      <c r="BO360" s="223"/>
      <c r="BP360" s="223"/>
      <c r="BQ360" s="223"/>
      <c r="BR360" s="223"/>
      <c r="BS360" s="223"/>
      <c r="BT360" s="31">
        <v>14</v>
      </c>
      <c r="BU360" s="31">
        <v>3.06</v>
      </c>
      <c r="BV360" s="31">
        <v>14</v>
      </c>
      <c r="BW360" s="223">
        <f t="shared" si="75"/>
        <v>0.34708333333333335</v>
      </c>
      <c r="BX360" s="31">
        <v>14.73</v>
      </c>
      <c r="BY360" s="31">
        <v>3</v>
      </c>
      <c r="BZ360" s="31">
        <v>14.49</v>
      </c>
      <c r="CA360" s="31">
        <v>3</v>
      </c>
      <c r="CB360" s="223">
        <f t="shared" si="76"/>
        <v>0.37055156249999999</v>
      </c>
      <c r="CC360" s="31">
        <v>9.86</v>
      </c>
      <c r="CD360" s="31"/>
      <c r="CE360" s="31"/>
      <c r="CF360" s="223" t="s">
        <v>134</v>
      </c>
      <c r="CG360" s="223">
        <v>3</v>
      </c>
      <c r="CH360" s="223">
        <v>6</v>
      </c>
      <c r="CI360" s="223">
        <v>4</v>
      </c>
      <c r="CJ360" s="223">
        <f t="shared" si="77"/>
        <v>72</v>
      </c>
      <c r="CK360" s="223">
        <f t="shared" si="78"/>
        <v>759.92</v>
      </c>
      <c r="CL360" s="223" t="s">
        <v>256</v>
      </c>
      <c r="CM360" s="250" t="s">
        <v>136</v>
      </c>
      <c r="CN360" s="1"/>
      <c r="CO360" s="14"/>
      <c r="CP360" s="14"/>
      <c r="CQ360" s="14"/>
      <c r="CR360" s="14"/>
      <c r="CS360" s="14"/>
      <c r="CT360" s="14"/>
      <c r="CU360" s="14"/>
    </row>
    <row r="361" spans="1:99" s="105" customFormat="1" x14ac:dyDescent="0.25">
      <c r="A361" s="239">
        <v>41518</v>
      </c>
      <c r="B361" s="239"/>
      <c r="C361" s="175" t="s">
        <v>1921</v>
      </c>
      <c r="D361" s="231" t="s">
        <v>54</v>
      </c>
      <c r="E361" s="175" t="s">
        <v>1882</v>
      </c>
      <c r="F361" s="269" t="s">
        <v>1922</v>
      </c>
      <c r="G361" s="269"/>
      <c r="H361" s="269"/>
      <c r="I361" s="269"/>
      <c r="J361" s="175" t="s">
        <v>1902</v>
      </c>
      <c r="K361" s="175">
        <v>8031900159</v>
      </c>
      <c r="L361" s="222"/>
      <c r="M361" s="222"/>
      <c r="N361" s="222"/>
      <c r="O361" s="222"/>
      <c r="P361" s="222"/>
      <c r="Q361" s="222"/>
      <c r="R361" s="222"/>
      <c r="S361" s="222"/>
      <c r="T361" s="222"/>
      <c r="U361" s="222"/>
      <c r="V361" s="222"/>
      <c r="W361" s="222"/>
      <c r="X361" s="222"/>
      <c r="Y361" s="222"/>
      <c r="Z361" s="222"/>
      <c r="AA361" s="222"/>
      <c r="AB361" s="222"/>
      <c r="AC361" s="222"/>
      <c r="AD361" s="222"/>
      <c r="AE361" s="222"/>
      <c r="AF361" s="222"/>
      <c r="AG361" s="222"/>
      <c r="AH361" s="222"/>
      <c r="AI361" s="222"/>
      <c r="AJ361" s="222"/>
      <c r="AK361" s="222"/>
      <c r="AL361" s="222"/>
      <c r="AM361" s="222"/>
      <c r="AN361" s="222"/>
      <c r="AO361" s="222"/>
      <c r="AP361" s="222"/>
      <c r="AQ361" s="222"/>
      <c r="AR361" s="222"/>
      <c r="AS361" s="222"/>
      <c r="AT361" s="222"/>
      <c r="AU361" s="222"/>
      <c r="AV361" s="222"/>
      <c r="AW361" s="222"/>
      <c r="AX361" s="222"/>
      <c r="AY361" s="222"/>
      <c r="AZ361" s="222"/>
      <c r="BA361" s="222"/>
      <c r="BB361" s="222"/>
      <c r="BC361" s="222"/>
      <c r="BD361" s="222"/>
      <c r="BE361" s="222"/>
      <c r="BF361" s="222"/>
      <c r="BG361" s="222"/>
      <c r="BH361" s="222"/>
      <c r="BI361" s="222"/>
      <c r="BJ361" s="222"/>
      <c r="BK361" s="118">
        <v>14.95</v>
      </c>
      <c r="BL361" s="223" t="s">
        <v>1923</v>
      </c>
      <c r="BM361" s="223"/>
      <c r="BN361" s="223"/>
      <c r="BO361" s="223"/>
      <c r="BP361" s="223"/>
      <c r="BQ361" s="223"/>
      <c r="BR361" s="223"/>
      <c r="BS361" s="223"/>
      <c r="BT361" s="31">
        <v>9.06</v>
      </c>
      <c r="BU361" s="31">
        <v>1.37</v>
      </c>
      <c r="BV361" s="31">
        <v>9.25</v>
      </c>
      <c r="BW361" s="223">
        <f t="shared" si="75"/>
        <v>6.6442621527777787E-2</v>
      </c>
      <c r="BX361" s="31">
        <v>4.7300000000000004</v>
      </c>
      <c r="BY361" s="31">
        <v>3</v>
      </c>
      <c r="BZ361" s="31">
        <v>10.49</v>
      </c>
      <c r="CA361" s="31">
        <v>3</v>
      </c>
      <c r="CB361" s="223">
        <f t="shared" si="76"/>
        <v>8.6141840277777784E-2</v>
      </c>
      <c r="CC361" s="31">
        <v>9.99</v>
      </c>
      <c r="CD361" s="31"/>
      <c r="CE361" s="31"/>
      <c r="CF361" s="223" t="s">
        <v>134</v>
      </c>
      <c r="CG361" s="223">
        <v>3</v>
      </c>
      <c r="CH361" s="223">
        <v>16</v>
      </c>
      <c r="CI361" s="223">
        <v>9</v>
      </c>
      <c r="CJ361" s="223">
        <f t="shared" si="77"/>
        <v>432</v>
      </c>
      <c r="CK361" s="223">
        <f t="shared" si="78"/>
        <v>4365.68</v>
      </c>
      <c r="CL361" s="223" t="s">
        <v>256</v>
      </c>
      <c r="CM361" s="250" t="s">
        <v>136</v>
      </c>
      <c r="CN361" s="1"/>
      <c r="CO361" s="14"/>
      <c r="CP361" s="14"/>
      <c r="CQ361" s="14"/>
      <c r="CR361" s="14"/>
      <c r="CS361" s="14"/>
      <c r="CT361" s="14"/>
      <c r="CU361" s="14"/>
    </row>
    <row r="362" spans="1:99" s="105" customFormat="1" x14ac:dyDescent="0.25">
      <c r="A362" s="239">
        <v>41518</v>
      </c>
      <c r="B362" s="239"/>
      <c r="C362" s="175" t="s">
        <v>1924</v>
      </c>
      <c r="D362" s="231" t="s">
        <v>54</v>
      </c>
      <c r="E362" s="175" t="s">
        <v>1882</v>
      </c>
      <c r="F362" s="269" t="s">
        <v>1925</v>
      </c>
      <c r="G362" s="269"/>
      <c r="H362" s="269"/>
      <c r="I362" s="269"/>
      <c r="J362" s="175" t="s">
        <v>1902</v>
      </c>
      <c r="K362" s="175">
        <v>91595</v>
      </c>
      <c r="L362" s="222"/>
      <c r="M362" s="222"/>
      <c r="N362" s="222"/>
      <c r="O362" s="222"/>
      <c r="P362" s="222"/>
      <c r="Q362" s="222"/>
      <c r="R362" s="222"/>
      <c r="S362" s="222"/>
      <c r="T362" s="222"/>
      <c r="U362" s="222"/>
      <c r="V362" s="222"/>
      <c r="W362" s="222"/>
      <c r="X362" s="222"/>
      <c r="Y362" s="222"/>
      <c r="Z362" s="222"/>
      <c r="AA362" s="222"/>
      <c r="AB362" s="222"/>
      <c r="AC362" s="222"/>
      <c r="AD362" s="222"/>
      <c r="AE362" s="222"/>
      <c r="AF362" s="222"/>
      <c r="AG362" s="222"/>
      <c r="AH362" s="222"/>
      <c r="AI362" s="222"/>
      <c r="AJ362" s="222"/>
      <c r="AK362" s="222"/>
      <c r="AL362" s="222"/>
      <c r="AM362" s="222"/>
      <c r="AN362" s="222"/>
      <c r="AO362" s="222"/>
      <c r="AP362" s="222"/>
      <c r="AQ362" s="222"/>
      <c r="AR362" s="222"/>
      <c r="AS362" s="222"/>
      <c r="AT362" s="222"/>
      <c r="AU362" s="222"/>
      <c r="AV362" s="222"/>
      <c r="AW362" s="222"/>
      <c r="AX362" s="222"/>
      <c r="AY362" s="222"/>
      <c r="AZ362" s="222"/>
      <c r="BA362" s="222"/>
      <c r="BB362" s="222"/>
      <c r="BC362" s="222"/>
      <c r="BD362" s="222"/>
      <c r="BE362" s="222"/>
      <c r="BF362" s="222"/>
      <c r="BG362" s="222"/>
      <c r="BH362" s="222"/>
      <c r="BI362" s="222"/>
      <c r="BJ362" s="222"/>
      <c r="BK362" s="118">
        <v>12.95</v>
      </c>
      <c r="BL362" s="223" t="s">
        <v>1926</v>
      </c>
      <c r="BM362" s="223"/>
      <c r="BN362" s="223"/>
      <c r="BO362" s="223"/>
      <c r="BP362" s="223"/>
      <c r="BQ362" s="223"/>
      <c r="BR362" s="223"/>
      <c r="BS362" s="223"/>
      <c r="BT362" s="31">
        <v>9.06</v>
      </c>
      <c r="BU362" s="31">
        <v>1.37</v>
      </c>
      <c r="BV362" s="31">
        <v>9.25</v>
      </c>
      <c r="BW362" s="223">
        <f t="shared" si="75"/>
        <v>6.6442621527777787E-2</v>
      </c>
      <c r="BX362" s="31">
        <v>4.7300000000000004</v>
      </c>
      <c r="BY362" s="31">
        <v>3</v>
      </c>
      <c r="BZ362" s="31">
        <v>10.49</v>
      </c>
      <c r="CA362" s="31">
        <v>3</v>
      </c>
      <c r="CB362" s="223">
        <f t="shared" si="76"/>
        <v>8.6141840277777784E-2</v>
      </c>
      <c r="CC362" s="31">
        <v>9.99</v>
      </c>
      <c r="CD362" s="31"/>
      <c r="CE362" s="31"/>
      <c r="CF362" s="223" t="s">
        <v>134</v>
      </c>
      <c r="CG362" s="223">
        <v>3</v>
      </c>
      <c r="CH362" s="223">
        <v>16</v>
      </c>
      <c r="CI362" s="223">
        <v>9</v>
      </c>
      <c r="CJ362" s="223">
        <f t="shared" si="77"/>
        <v>432</v>
      </c>
      <c r="CK362" s="223">
        <f t="shared" si="78"/>
        <v>4365.68</v>
      </c>
      <c r="CL362" s="223" t="s">
        <v>256</v>
      </c>
      <c r="CM362" s="250" t="s">
        <v>136</v>
      </c>
      <c r="CN362" s="1"/>
      <c r="CO362" s="14"/>
      <c r="CP362" s="14"/>
      <c r="CQ362" s="14"/>
      <c r="CR362" s="14"/>
      <c r="CS362" s="14"/>
      <c r="CT362" s="14"/>
      <c r="CU362" s="14"/>
    </row>
    <row r="363" spans="1:99" s="105" customFormat="1" x14ac:dyDescent="0.25">
      <c r="A363" s="239">
        <v>41518</v>
      </c>
      <c r="B363" s="239"/>
      <c r="C363" s="175" t="s">
        <v>1927</v>
      </c>
      <c r="D363" s="231" t="s">
        <v>54</v>
      </c>
      <c r="E363" s="175" t="s">
        <v>1882</v>
      </c>
      <c r="F363" s="269" t="s">
        <v>1928</v>
      </c>
      <c r="G363" s="269"/>
      <c r="H363" s="269"/>
      <c r="I363" s="269"/>
      <c r="J363" s="175" t="s">
        <v>1929</v>
      </c>
      <c r="K363" s="175" t="s">
        <v>1930</v>
      </c>
      <c r="L363" s="222"/>
      <c r="M363" s="222"/>
      <c r="N363" s="222"/>
      <c r="O363" s="222"/>
      <c r="P363" s="222"/>
      <c r="Q363" s="222"/>
      <c r="R363" s="222"/>
      <c r="S363" s="222"/>
      <c r="T363" s="222"/>
      <c r="U363" s="222"/>
      <c r="V363" s="222"/>
      <c r="W363" s="222"/>
      <c r="X363" s="222"/>
      <c r="Y363" s="222"/>
      <c r="Z363" s="222"/>
      <c r="AA363" s="222"/>
      <c r="AB363" s="222"/>
      <c r="AC363" s="222"/>
      <c r="AD363" s="222"/>
      <c r="AE363" s="222"/>
      <c r="AF363" s="222"/>
      <c r="AG363" s="222"/>
      <c r="AH363" s="222"/>
      <c r="AI363" s="222"/>
      <c r="AJ363" s="222"/>
      <c r="AK363" s="222"/>
      <c r="AL363" s="222"/>
      <c r="AM363" s="222"/>
      <c r="AN363" s="222"/>
      <c r="AO363" s="222"/>
      <c r="AP363" s="222"/>
      <c r="AQ363" s="222"/>
      <c r="AR363" s="222"/>
      <c r="AS363" s="222"/>
      <c r="AT363" s="222"/>
      <c r="AU363" s="222"/>
      <c r="AV363" s="222"/>
      <c r="AW363" s="222"/>
      <c r="AX363" s="222"/>
      <c r="AY363" s="222"/>
      <c r="AZ363" s="222"/>
      <c r="BA363" s="222"/>
      <c r="BB363" s="222"/>
      <c r="BC363" s="222"/>
      <c r="BD363" s="222"/>
      <c r="BE363" s="222"/>
      <c r="BF363" s="222"/>
      <c r="BG363" s="222"/>
      <c r="BH363" s="222"/>
      <c r="BI363" s="222"/>
      <c r="BJ363" s="222"/>
      <c r="BK363" s="118">
        <v>34.299999999999997</v>
      </c>
      <c r="BL363" s="223" t="s">
        <v>1931</v>
      </c>
      <c r="BM363" s="223"/>
      <c r="BN363" s="223"/>
      <c r="BO363" s="223"/>
      <c r="BP363" s="223"/>
      <c r="BQ363" s="223"/>
      <c r="BR363" s="223"/>
      <c r="BS363" s="223"/>
      <c r="BT363" s="31">
        <v>7.09</v>
      </c>
      <c r="BU363" s="31">
        <v>1.53</v>
      </c>
      <c r="BV363" s="31">
        <v>11.5</v>
      </c>
      <c r="BW363" s="223">
        <f t="shared" si="75"/>
        <v>7.2192447916666666E-2</v>
      </c>
      <c r="BX363" s="31">
        <v>5.23</v>
      </c>
      <c r="BY363" s="31">
        <v>3</v>
      </c>
      <c r="BZ363" s="31">
        <v>11.92</v>
      </c>
      <c r="CA363" s="31">
        <v>3</v>
      </c>
      <c r="CB363" s="223">
        <f t="shared" si="76"/>
        <v>0.10823194444444445</v>
      </c>
      <c r="CC363" s="31">
        <v>7.99</v>
      </c>
      <c r="CD363" s="31"/>
      <c r="CE363" s="31"/>
      <c r="CF363" s="223" t="s">
        <v>134</v>
      </c>
      <c r="CG363" s="223">
        <v>3</v>
      </c>
      <c r="CH363" s="223">
        <v>20</v>
      </c>
      <c r="CI363" s="223">
        <v>8</v>
      </c>
      <c r="CJ363" s="223">
        <f t="shared" si="77"/>
        <v>480</v>
      </c>
      <c r="CK363" s="223">
        <f t="shared" si="78"/>
        <v>3885.2000000000003</v>
      </c>
      <c r="CL363" s="223" t="s">
        <v>256</v>
      </c>
      <c r="CM363" s="250" t="s">
        <v>136</v>
      </c>
      <c r="CN363" s="1"/>
      <c r="CO363" s="14"/>
      <c r="CP363" s="14"/>
      <c r="CQ363" s="14"/>
      <c r="CR363" s="14"/>
      <c r="CS363" s="14"/>
      <c r="CT363" s="14"/>
      <c r="CU363" s="14"/>
    </row>
    <row r="364" spans="1:99" s="105" customFormat="1" x14ac:dyDescent="0.25">
      <c r="A364" s="239">
        <v>41518</v>
      </c>
      <c r="B364" s="239"/>
      <c r="C364" s="175" t="s">
        <v>1932</v>
      </c>
      <c r="D364" s="231" t="s">
        <v>54</v>
      </c>
      <c r="E364" s="175" t="s">
        <v>1882</v>
      </c>
      <c r="F364" s="269" t="s">
        <v>1933</v>
      </c>
      <c r="G364" s="269"/>
      <c r="H364" s="269"/>
      <c r="I364" s="269"/>
      <c r="J364" s="175" t="s">
        <v>518</v>
      </c>
      <c r="K364" s="175" t="s">
        <v>1934</v>
      </c>
      <c r="L364" s="222"/>
      <c r="M364" s="222"/>
      <c r="N364" s="222"/>
      <c r="O364" s="222"/>
      <c r="P364" s="222"/>
      <c r="Q364" s="222"/>
      <c r="R364" s="222"/>
      <c r="S364" s="222"/>
      <c r="T364" s="222"/>
      <c r="U364" s="222"/>
      <c r="V364" s="222"/>
      <c r="W364" s="222"/>
      <c r="X364" s="222"/>
      <c r="Y364" s="222"/>
      <c r="Z364" s="222"/>
      <c r="AA364" s="222"/>
      <c r="AB364" s="222"/>
      <c r="AC364" s="222"/>
      <c r="AD364" s="222"/>
      <c r="AE364" s="222"/>
      <c r="AF364" s="222"/>
      <c r="AG364" s="222"/>
      <c r="AH364" s="222"/>
      <c r="AI364" s="222"/>
      <c r="AJ364" s="222"/>
      <c r="AK364" s="222"/>
      <c r="AL364" s="222"/>
      <c r="AM364" s="222"/>
      <c r="AN364" s="222"/>
      <c r="AO364" s="222"/>
      <c r="AP364" s="222"/>
      <c r="AQ364" s="222"/>
      <c r="AR364" s="222"/>
      <c r="AS364" s="222"/>
      <c r="AT364" s="222"/>
      <c r="AU364" s="222"/>
      <c r="AV364" s="222"/>
      <c r="AW364" s="222"/>
      <c r="AX364" s="222"/>
      <c r="AY364" s="222"/>
      <c r="AZ364" s="222"/>
      <c r="BA364" s="222"/>
      <c r="BB364" s="222"/>
      <c r="BC364" s="222"/>
      <c r="BD364" s="222"/>
      <c r="BE364" s="222"/>
      <c r="BF364" s="222"/>
      <c r="BG364" s="222"/>
      <c r="BH364" s="222"/>
      <c r="BI364" s="222"/>
      <c r="BJ364" s="222"/>
      <c r="BK364" s="118">
        <v>38.9</v>
      </c>
      <c r="BL364" s="223" t="s">
        <v>1935</v>
      </c>
      <c r="BM364" s="223"/>
      <c r="BN364" s="223"/>
      <c r="BO364" s="223"/>
      <c r="BP364" s="223"/>
      <c r="BQ364" s="223"/>
      <c r="BR364" s="223"/>
      <c r="BS364" s="223"/>
      <c r="BT364" s="31">
        <v>7.5</v>
      </c>
      <c r="BU364" s="31">
        <v>1.31</v>
      </c>
      <c r="BV364" s="31">
        <v>13</v>
      </c>
      <c r="BW364" s="223">
        <f t="shared" si="75"/>
        <v>7.3914930555555564E-2</v>
      </c>
      <c r="BX364" s="31">
        <v>4.6399999999999997</v>
      </c>
      <c r="BY364" s="31">
        <v>3</v>
      </c>
      <c r="BZ364" s="31">
        <v>14.26</v>
      </c>
      <c r="CA364" s="31">
        <v>3</v>
      </c>
      <c r="CB364" s="223">
        <f t="shared" si="76"/>
        <v>0.11487222222222222</v>
      </c>
      <c r="CC364" s="31">
        <v>9.6300000000000008</v>
      </c>
      <c r="CD364" s="31"/>
      <c r="CE364" s="31"/>
      <c r="CF364" s="223" t="s">
        <v>134</v>
      </c>
      <c r="CG364" s="223">
        <v>3</v>
      </c>
      <c r="CH364" s="223">
        <v>12</v>
      </c>
      <c r="CI364" s="223">
        <v>9</v>
      </c>
      <c r="CJ364" s="223">
        <f t="shared" si="77"/>
        <v>324</v>
      </c>
      <c r="CK364" s="223">
        <f t="shared" si="78"/>
        <v>3170.1200000000003</v>
      </c>
      <c r="CL364" s="223" t="s">
        <v>256</v>
      </c>
      <c r="CM364" s="250" t="s">
        <v>136</v>
      </c>
      <c r="CN364" s="14"/>
      <c r="CO364" s="14"/>
      <c r="CP364" s="14"/>
      <c r="CQ364" s="14"/>
      <c r="CR364" s="14"/>
      <c r="CS364" s="14"/>
      <c r="CT364" s="14"/>
      <c r="CU364" s="14"/>
    </row>
    <row r="365" spans="1:99" s="105" customFormat="1" x14ac:dyDescent="0.25">
      <c r="A365" s="239">
        <v>41518</v>
      </c>
      <c r="B365" s="239"/>
      <c r="C365" s="175" t="s">
        <v>1936</v>
      </c>
      <c r="D365" s="231" t="s">
        <v>54</v>
      </c>
      <c r="E365" s="175" t="s">
        <v>1882</v>
      </c>
      <c r="F365" s="269" t="s">
        <v>1937</v>
      </c>
      <c r="G365" s="269"/>
      <c r="H365" s="269"/>
      <c r="I365" s="269"/>
      <c r="J365" s="175" t="s">
        <v>1902</v>
      </c>
      <c r="K365" s="175" t="s">
        <v>1938</v>
      </c>
      <c r="L365" s="222"/>
      <c r="M365" s="222"/>
      <c r="N365" s="222"/>
      <c r="O365" s="222"/>
      <c r="P365" s="222"/>
      <c r="Q365" s="222"/>
      <c r="R365" s="222"/>
      <c r="S365" s="222"/>
      <c r="T365" s="222"/>
      <c r="U365" s="222"/>
      <c r="V365" s="222"/>
      <c r="W365" s="222"/>
      <c r="X365" s="222"/>
      <c r="Y365" s="222"/>
      <c r="Z365" s="222"/>
      <c r="AA365" s="222"/>
      <c r="AB365" s="222"/>
      <c r="AC365" s="222"/>
      <c r="AD365" s="222"/>
      <c r="AE365" s="222"/>
      <c r="AF365" s="222"/>
      <c r="AG365" s="222"/>
      <c r="AH365" s="222"/>
      <c r="AI365" s="222"/>
      <c r="AJ365" s="222"/>
      <c r="AK365" s="222"/>
      <c r="AL365" s="222"/>
      <c r="AM365" s="222"/>
      <c r="AN365" s="222"/>
      <c r="AO365" s="222"/>
      <c r="AP365" s="222"/>
      <c r="AQ365" s="222"/>
      <c r="AR365" s="222"/>
      <c r="AS365" s="222"/>
      <c r="AT365" s="222"/>
      <c r="AU365" s="222"/>
      <c r="AV365" s="222"/>
      <c r="AW365" s="222"/>
      <c r="AX365" s="222"/>
      <c r="AY365" s="222"/>
      <c r="AZ365" s="222"/>
      <c r="BA365" s="222"/>
      <c r="BB365" s="222"/>
      <c r="BC365" s="222"/>
      <c r="BD365" s="222"/>
      <c r="BE365" s="222"/>
      <c r="BF365" s="222"/>
      <c r="BG365" s="222"/>
      <c r="BH365" s="222"/>
      <c r="BI365" s="222"/>
      <c r="BJ365" s="222"/>
      <c r="BK365" s="118">
        <v>23.95</v>
      </c>
      <c r="BL365" s="223" t="s">
        <v>1939</v>
      </c>
      <c r="BM365" s="223"/>
      <c r="BN365" s="223"/>
      <c r="BO365" s="223"/>
      <c r="BP365" s="223"/>
      <c r="BQ365" s="223"/>
      <c r="BR365" s="223"/>
      <c r="BS365" s="223"/>
      <c r="BT365" s="31">
        <v>9.06</v>
      </c>
      <c r="BU365" s="31">
        <v>1.37</v>
      </c>
      <c r="BV365" s="31">
        <v>9.25</v>
      </c>
      <c r="BW365" s="223">
        <f t="shared" si="75"/>
        <v>6.6442621527777787E-2</v>
      </c>
      <c r="BX365" s="31">
        <v>4.7300000000000004</v>
      </c>
      <c r="BY365" s="31">
        <v>3</v>
      </c>
      <c r="BZ365" s="31">
        <v>10.49</v>
      </c>
      <c r="CA365" s="31">
        <v>3</v>
      </c>
      <c r="CB365" s="223">
        <f t="shared" si="76"/>
        <v>8.6141840277777784E-2</v>
      </c>
      <c r="CC365" s="31">
        <v>9.99</v>
      </c>
      <c r="CD365" s="31"/>
      <c r="CE365" s="31"/>
      <c r="CF365" s="223" t="s">
        <v>134</v>
      </c>
      <c r="CG365" s="223">
        <v>3</v>
      </c>
      <c r="CH365" s="223">
        <v>16</v>
      </c>
      <c r="CI365" s="223">
        <v>9</v>
      </c>
      <c r="CJ365" s="223">
        <f t="shared" si="77"/>
        <v>432</v>
      </c>
      <c r="CK365" s="223">
        <f t="shared" si="78"/>
        <v>4365.68</v>
      </c>
      <c r="CL365" s="223" t="s">
        <v>256</v>
      </c>
      <c r="CM365" s="250" t="s">
        <v>136</v>
      </c>
      <c r="CN365" s="14"/>
      <c r="CO365" s="14"/>
      <c r="CP365" s="14"/>
      <c r="CQ365" s="14"/>
      <c r="CR365" s="14"/>
      <c r="CS365" s="14"/>
      <c r="CT365" s="14"/>
      <c r="CU365" s="14"/>
    </row>
    <row r="366" spans="1:99" s="105" customFormat="1" x14ac:dyDescent="0.25">
      <c r="A366" s="239">
        <v>41518</v>
      </c>
      <c r="B366" s="239"/>
      <c r="C366" s="175" t="s">
        <v>1940</v>
      </c>
      <c r="D366" s="231" t="s">
        <v>54</v>
      </c>
      <c r="E366" s="175" t="s">
        <v>1882</v>
      </c>
      <c r="F366" s="269" t="s">
        <v>1941</v>
      </c>
      <c r="G366" s="269"/>
      <c r="H366" s="269"/>
      <c r="I366" s="269"/>
      <c r="J366" s="175" t="s">
        <v>1942</v>
      </c>
      <c r="K366" s="175" t="s">
        <v>1943</v>
      </c>
      <c r="L366" s="222"/>
      <c r="M366" s="222"/>
      <c r="N366" s="222"/>
      <c r="O366" s="222"/>
      <c r="P366" s="222"/>
      <c r="Q366" s="222"/>
      <c r="R366" s="222"/>
      <c r="S366" s="222"/>
      <c r="T366" s="222"/>
      <c r="U366" s="222"/>
      <c r="V366" s="222"/>
      <c r="W366" s="222"/>
      <c r="X366" s="222"/>
      <c r="Y366" s="222"/>
      <c r="Z366" s="222"/>
      <c r="AA366" s="222"/>
      <c r="AB366" s="222"/>
      <c r="AC366" s="222"/>
      <c r="AD366" s="222"/>
      <c r="AE366" s="222"/>
      <c r="AF366" s="222"/>
      <c r="AG366" s="222"/>
      <c r="AH366" s="222"/>
      <c r="AI366" s="222"/>
      <c r="AJ366" s="222"/>
      <c r="AK366" s="222"/>
      <c r="AL366" s="222"/>
      <c r="AM366" s="222"/>
      <c r="AN366" s="222"/>
      <c r="AO366" s="222"/>
      <c r="AP366" s="222"/>
      <c r="AQ366" s="222"/>
      <c r="AR366" s="222"/>
      <c r="AS366" s="222"/>
      <c r="AT366" s="222"/>
      <c r="AU366" s="222"/>
      <c r="AV366" s="222"/>
      <c r="AW366" s="222"/>
      <c r="AX366" s="222"/>
      <c r="AY366" s="222"/>
      <c r="AZ366" s="222"/>
      <c r="BA366" s="222"/>
      <c r="BB366" s="222"/>
      <c r="BC366" s="222"/>
      <c r="BD366" s="222"/>
      <c r="BE366" s="222"/>
      <c r="BF366" s="222"/>
      <c r="BG366" s="222"/>
      <c r="BH366" s="222"/>
      <c r="BI366" s="222"/>
      <c r="BJ366" s="222"/>
      <c r="BK366" s="118">
        <v>69.900000000000006</v>
      </c>
      <c r="BL366" s="223"/>
      <c r="BM366" s="222"/>
      <c r="BN366" s="222"/>
      <c r="BO366" s="222"/>
      <c r="BP366" s="222"/>
      <c r="BQ366" s="222"/>
      <c r="BR366" s="222"/>
      <c r="BS366" s="222"/>
      <c r="BT366" s="222"/>
      <c r="BU366" s="222"/>
      <c r="BV366" s="222"/>
      <c r="BW366" s="222"/>
      <c r="BX366" s="222"/>
      <c r="BY366" s="222"/>
      <c r="BZ366" s="222"/>
      <c r="CA366" s="222"/>
      <c r="CB366" s="222"/>
      <c r="CC366" s="222"/>
      <c r="CD366" s="222"/>
      <c r="CE366" s="222"/>
      <c r="CF366" s="223" t="s">
        <v>134</v>
      </c>
      <c r="CG366" s="222"/>
      <c r="CH366" s="222"/>
      <c r="CI366" s="222"/>
      <c r="CJ366" s="222"/>
      <c r="CK366" s="223"/>
      <c r="CL366" s="222"/>
      <c r="CM366" s="250" t="s">
        <v>136</v>
      </c>
      <c r="CN366" s="14"/>
      <c r="CO366" s="14"/>
      <c r="CP366" s="14"/>
      <c r="CQ366" s="14"/>
      <c r="CR366" s="14"/>
      <c r="CS366" s="14"/>
      <c r="CT366" s="14"/>
      <c r="CU366" s="14"/>
    </row>
    <row r="367" spans="1:99" s="105" customFormat="1" x14ac:dyDescent="0.25">
      <c r="A367" s="239">
        <v>41518</v>
      </c>
      <c r="B367" s="239"/>
      <c r="C367" s="222" t="s">
        <v>1944</v>
      </c>
      <c r="D367" s="231" t="s">
        <v>54</v>
      </c>
      <c r="E367" s="223" t="s">
        <v>1785</v>
      </c>
      <c r="F367" s="175" t="s">
        <v>1945</v>
      </c>
      <c r="G367" s="175"/>
      <c r="H367" s="175"/>
      <c r="I367" s="175"/>
      <c r="J367" s="222" t="s">
        <v>1946</v>
      </c>
      <c r="K367" s="222" t="s">
        <v>1947</v>
      </c>
      <c r="L367" s="222"/>
      <c r="M367" s="222"/>
      <c r="N367" s="222"/>
      <c r="O367" s="222"/>
      <c r="P367" s="222"/>
      <c r="Q367" s="222"/>
      <c r="R367" s="222"/>
      <c r="S367" s="222"/>
      <c r="T367" s="222"/>
      <c r="U367" s="222"/>
      <c r="V367" s="222"/>
      <c r="W367" s="222"/>
      <c r="X367" s="222"/>
      <c r="Y367" s="222"/>
      <c r="Z367" s="222"/>
      <c r="AA367" s="222"/>
      <c r="AB367" s="222"/>
      <c r="AC367" s="222"/>
      <c r="AD367" s="222"/>
      <c r="AE367" s="222"/>
      <c r="AF367" s="222"/>
      <c r="AG367" s="222"/>
      <c r="AH367" s="222"/>
      <c r="AI367" s="222"/>
      <c r="AJ367" s="222"/>
      <c r="AK367" s="222"/>
      <c r="AL367" s="222"/>
      <c r="AM367" s="222"/>
      <c r="AN367" s="222" t="s">
        <v>1948</v>
      </c>
      <c r="AO367" s="222"/>
      <c r="AP367" s="222">
        <v>89117</v>
      </c>
      <c r="AQ367" s="222"/>
      <c r="AR367" s="222"/>
      <c r="AS367" s="222"/>
      <c r="AT367" s="222" t="s">
        <v>1949</v>
      </c>
      <c r="AU367" s="222"/>
      <c r="AV367" s="222" t="s">
        <v>1950</v>
      </c>
      <c r="AW367" s="222"/>
      <c r="AX367" s="222"/>
      <c r="AY367" s="222"/>
      <c r="AZ367" s="222"/>
      <c r="BA367" s="222"/>
      <c r="BB367" s="222"/>
      <c r="BC367" s="222"/>
      <c r="BD367" s="222">
        <v>4117</v>
      </c>
      <c r="BE367" s="222"/>
      <c r="BF367" s="222"/>
      <c r="BG367" s="222"/>
      <c r="BH367" s="222"/>
      <c r="BI367" s="222"/>
      <c r="BJ367" s="222">
        <v>24117</v>
      </c>
      <c r="BK367" s="118">
        <v>12.16</v>
      </c>
      <c r="BL367" s="223"/>
      <c r="BM367" s="222"/>
      <c r="BN367" s="222"/>
      <c r="BO367" s="222"/>
      <c r="BP367" s="222"/>
      <c r="BQ367" s="222"/>
      <c r="BR367" s="222"/>
      <c r="BS367" s="222"/>
      <c r="BT367" s="222"/>
      <c r="BU367" s="222"/>
      <c r="BV367" s="222"/>
      <c r="BW367" s="222"/>
      <c r="BX367" s="222"/>
      <c r="BY367" s="222"/>
      <c r="BZ367" s="222"/>
      <c r="CA367" s="222"/>
      <c r="CB367" s="222"/>
      <c r="CC367" s="222"/>
      <c r="CD367" s="222"/>
      <c r="CE367" s="222"/>
      <c r="CF367" s="223" t="s">
        <v>134</v>
      </c>
      <c r="CG367" s="222"/>
      <c r="CH367" s="222">
        <v>26</v>
      </c>
      <c r="CI367" s="222">
        <v>7</v>
      </c>
      <c r="CJ367" s="222">
        <v>546</v>
      </c>
      <c r="CK367" s="223"/>
      <c r="CL367" s="222"/>
      <c r="CM367" s="250" t="s">
        <v>136</v>
      </c>
      <c r="CN367" s="14"/>
      <c r="CO367" s="14"/>
      <c r="CP367" s="14"/>
      <c r="CQ367" s="14"/>
      <c r="CR367" s="14"/>
      <c r="CS367" s="14"/>
      <c r="CT367" s="14"/>
      <c r="CU367" s="14"/>
    </row>
    <row r="368" spans="1:99" s="105" customFormat="1" x14ac:dyDescent="0.25">
      <c r="A368" s="239">
        <v>41518</v>
      </c>
      <c r="B368" s="239"/>
      <c r="C368" s="222" t="s">
        <v>1951</v>
      </c>
      <c r="D368" s="231" t="s">
        <v>54</v>
      </c>
      <c r="E368" s="223" t="s">
        <v>71</v>
      </c>
      <c r="F368" s="262" t="s">
        <v>1952</v>
      </c>
      <c r="G368" s="403"/>
      <c r="H368" s="403"/>
      <c r="I368" s="403"/>
      <c r="J368" s="222" t="s">
        <v>155</v>
      </c>
      <c r="K368" s="222">
        <v>87720899</v>
      </c>
      <c r="L368" s="222" t="s">
        <v>350</v>
      </c>
      <c r="M368" s="222" t="s">
        <v>1953</v>
      </c>
      <c r="N368" s="222"/>
      <c r="O368" s="222"/>
      <c r="P368" s="222"/>
      <c r="Q368" s="222"/>
      <c r="R368" s="222"/>
      <c r="S368" s="222"/>
      <c r="T368" s="222"/>
      <c r="U368" s="222"/>
      <c r="V368" s="222"/>
      <c r="W368" s="222"/>
      <c r="X368" s="222"/>
      <c r="Y368" s="222"/>
      <c r="Z368" s="222"/>
      <c r="AA368" s="222"/>
      <c r="AB368" s="222"/>
      <c r="AC368" s="222"/>
      <c r="AD368" s="222"/>
      <c r="AE368" s="222"/>
      <c r="AF368" s="222"/>
      <c r="AG368" s="222"/>
      <c r="AH368" s="222"/>
      <c r="AI368" s="222"/>
      <c r="AJ368" s="222"/>
      <c r="AK368" s="222"/>
      <c r="AL368" s="222"/>
      <c r="AM368" s="222"/>
      <c r="AN368" s="222" t="s">
        <v>1954</v>
      </c>
      <c r="AO368" s="222"/>
      <c r="AP368" s="222">
        <v>87795</v>
      </c>
      <c r="AQ368" s="222"/>
      <c r="AR368" s="222" t="s">
        <v>1955</v>
      </c>
      <c r="AS368" s="222"/>
      <c r="AT368" s="222" t="s">
        <v>1956</v>
      </c>
      <c r="AU368" s="222"/>
      <c r="AV368" s="222" t="s">
        <v>1957</v>
      </c>
      <c r="AW368" s="222" t="s">
        <v>1958</v>
      </c>
      <c r="AX368" s="222"/>
      <c r="AY368" s="222"/>
      <c r="AZ368" s="222"/>
      <c r="BA368" s="222" t="s">
        <v>1959</v>
      </c>
      <c r="BB368" s="222"/>
      <c r="BC368" s="222"/>
      <c r="BD368" s="222">
        <v>2795</v>
      </c>
      <c r="BE368" s="222"/>
      <c r="BF368" s="222"/>
      <c r="BG368" s="222"/>
      <c r="BH368" s="222"/>
      <c r="BI368" s="222"/>
      <c r="BJ368" s="222">
        <v>42795</v>
      </c>
      <c r="BK368" s="118">
        <v>59.92</v>
      </c>
      <c r="BL368" s="223"/>
      <c r="BM368" s="222"/>
      <c r="BN368" s="222"/>
      <c r="BO368" s="222"/>
      <c r="BP368" s="222"/>
      <c r="BQ368" s="222"/>
      <c r="BR368" s="222"/>
      <c r="BS368" s="222"/>
      <c r="BT368" s="222"/>
      <c r="BU368" s="222"/>
      <c r="BV368" s="222"/>
      <c r="BW368" s="222"/>
      <c r="BX368" s="222"/>
      <c r="BY368" s="222"/>
      <c r="BZ368" s="222"/>
      <c r="CA368" s="222"/>
      <c r="CB368" s="222"/>
      <c r="CC368" s="222"/>
      <c r="CD368" s="222"/>
      <c r="CE368" s="222"/>
      <c r="CF368" s="223" t="s">
        <v>134</v>
      </c>
      <c r="CG368" s="222"/>
      <c r="CH368" s="222">
        <v>136</v>
      </c>
      <c r="CI368" s="222">
        <v>3</v>
      </c>
      <c r="CJ368" s="222">
        <v>408</v>
      </c>
      <c r="CK368" s="223"/>
      <c r="CL368" s="222"/>
      <c r="CM368" s="250" t="s">
        <v>136</v>
      </c>
      <c r="CN368" s="14"/>
      <c r="CO368" s="14"/>
      <c r="CP368" s="14"/>
      <c r="CQ368" s="14"/>
      <c r="CR368" s="14"/>
      <c r="CS368" s="14"/>
      <c r="CT368" s="14"/>
      <c r="CU368" s="14"/>
    </row>
    <row r="369" spans="1:99" s="105" customFormat="1" ht="30" x14ac:dyDescent="0.25">
      <c r="A369" s="239">
        <v>41518</v>
      </c>
      <c r="B369" s="239"/>
      <c r="C369" s="222" t="s">
        <v>1960</v>
      </c>
      <c r="D369" s="231" t="s">
        <v>54</v>
      </c>
      <c r="E369" s="223" t="s">
        <v>71</v>
      </c>
      <c r="F369" s="262" t="s">
        <v>1961</v>
      </c>
      <c r="G369" s="403"/>
      <c r="H369" s="403"/>
      <c r="I369" s="403"/>
      <c r="J369" s="222" t="s">
        <v>226</v>
      </c>
      <c r="K369" s="222">
        <v>3903343</v>
      </c>
      <c r="L369" s="222" t="s">
        <v>848</v>
      </c>
      <c r="M369" s="222" t="s">
        <v>1962</v>
      </c>
      <c r="N369" s="222" t="s">
        <v>1963</v>
      </c>
      <c r="O369" s="222" t="s">
        <v>1964</v>
      </c>
      <c r="P369" s="222"/>
      <c r="Q369" s="222"/>
      <c r="R369" s="222"/>
      <c r="S369" s="222"/>
      <c r="T369" s="222"/>
      <c r="U369" s="222"/>
      <c r="V369" s="222"/>
      <c r="W369" s="222"/>
      <c r="X369" s="222"/>
      <c r="Y369" s="222"/>
      <c r="Z369" s="222"/>
      <c r="AA369" s="222"/>
      <c r="AB369" s="222"/>
      <c r="AC369" s="222"/>
      <c r="AD369" s="222"/>
      <c r="AE369" s="222"/>
      <c r="AF369" s="222"/>
      <c r="AG369" s="222"/>
      <c r="AH369" s="222"/>
      <c r="AI369" s="222"/>
      <c r="AJ369" s="222"/>
      <c r="AK369" s="222"/>
      <c r="AL369" s="222"/>
      <c r="AM369" s="222"/>
      <c r="AN369" s="222"/>
      <c r="AO369" s="222"/>
      <c r="AP369" s="222"/>
      <c r="AQ369" s="222"/>
      <c r="AR369" s="222"/>
      <c r="AS369" s="222"/>
      <c r="AT369" s="222"/>
      <c r="AU369" s="222"/>
      <c r="AV369" s="222"/>
      <c r="AW369" s="222"/>
      <c r="AX369" s="222"/>
      <c r="AY369" s="222"/>
      <c r="AZ369" s="222"/>
      <c r="BA369" s="222"/>
      <c r="BB369" s="222"/>
      <c r="BC369" s="222"/>
      <c r="BD369" s="222"/>
      <c r="BE369" s="222"/>
      <c r="BF369" s="222"/>
      <c r="BG369" s="222"/>
      <c r="BH369" s="222"/>
      <c r="BI369" s="222"/>
      <c r="BJ369" s="222"/>
      <c r="BK369" s="118">
        <v>355</v>
      </c>
      <c r="BL369" s="223"/>
      <c r="BM369" s="222"/>
      <c r="BN369" s="222"/>
      <c r="BO369" s="222"/>
      <c r="BP369" s="222"/>
      <c r="BQ369" s="222"/>
      <c r="BR369" s="222"/>
      <c r="BS369" s="222"/>
      <c r="BT369" s="222"/>
      <c r="BU369" s="222"/>
      <c r="BV369" s="222"/>
      <c r="BW369" s="222"/>
      <c r="BX369" s="222"/>
      <c r="BY369" s="222"/>
      <c r="BZ369" s="222"/>
      <c r="CA369" s="222"/>
      <c r="CB369" s="222"/>
      <c r="CC369" s="222"/>
      <c r="CD369" s="222"/>
      <c r="CE369" s="222"/>
      <c r="CF369" s="223" t="s">
        <v>134</v>
      </c>
      <c r="CG369" s="222"/>
      <c r="CH369" s="222">
        <v>4</v>
      </c>
      <c r="CI369" s="222">
        <v>4</v>
      </c>
      <c r="CJ369" s="222">
        <v>16</v>
      </c>
      <c r="CK369" s="223"/>
      <c r="CL369" s="222"/>
      <c r="CM369" s="250" t="s">
        <v>136</v>
      </c>
      <c r="CN369" s="1"/>
      <c r="CO369" s="14"/>
      <c r="CP369" s="14"/>
      <c r="CQ369" s="14"/>
      <c r="CR369" s="14"/>
      <c r="CS369" s="14"/>
      <c r="CT369" s="14"/>
      <c r="CU369" s="14"/>
    </row>
    <row r="370" spans="1:99" s="105" customFormat="1" x14ac:dyDescent="0.25">
      <c r="A370" s="239">
        <v>41518</v>
      </c>
      <c r="B370" s="239"/>
      <c r="C370" s="222" t="s">
        <v>1965</v>
      </c>
      <c r="D370" s="231" t="s">
        <v>54</v>
      </c>
      <c r="E370" s="223" t="s">
        <v>1966</v>
      </c>
      <c r="F370" s="262" t="s">
        <v>1967</v>
      </c>
      <c r="G370" s="403"/>
      <c r="H370" s="403"/>
      <c r="I370" s="403"/>
      <c r="J370" s="222" t="s">
        <v>518</v>
      </c>
      <c r="K370" s="222" t="s">
        <v>1968</v>
      </c>
      <c r="L370" s="222"/>
      <c r="M370" s="222"/>
      <c r="N370" s="222"/>
      <c r="O370" s="222"/>
      <c r="P370" s="222"/>
      <c r="Q370" s="222"/>
      <c r="R370" s="222"/>
      <c r="S370" s="222"/>
      <c r="T370" s="222"/>
      <c r="U370" s="222"/>
      <c r="V370" s="222"/>
      <c r="W370" s="222"/>
      <c r="X370" s="222"/>
      <c r="Y370" s="222"/>
      <c r="Z370" s="222"/>
      <c r="AA370" s="222"/>
      <c r="AB370" s="222"/>
      <c r="AC370" s="222"/>
      <c r="AD370" s="222"/>
      <c r="AE370" s="222"/>
      <c r="AF370" s="222"/>
      <c r="AG370" s="222"/>
      <c r="AH370" s="222"/>
      <c r="AI370" s="222"/>
      <c r="AJ370" s="222"/>
      <c r="AK370" s="222"/>
      <c r="AL370" s="222"/>
      <c r="AM370" s="222"/>
      <c r="AN370" s="222"/>
      <c r="AO370" s="222"/>
      <c r="AP370" s="222">
        <v>84708</v>
      </c>
      <c r="AQ370" s="222"/>
      <c r="AR370" s="222"/>
      <c r="AS370" s="222"/>
      <c r="AT370" s="222" t="s">
        <v>1969</v>
      </c>
      <c r="AU370" s="222"/>
      <c r="AV370" s="222"/>
      <c r="AW370" s="222"/>
      <c r="AX370" s="222"/>
      <c r="AY370" s="222"/>
      <c r="AZ370" s="222"/>
      <c r="BA370" s="222"/>
      <c r="BB370" s="222"/>
      <c r="BC370" s="222"/>
      <c r="BD370" s="222">
        <v>7708</v>
      </c>
      <c r="BE370" s="222"/>
      <c r="BF370" s="222"/>
      <c r="BG370" s="222"/>
      <c r="BH370" s="222"/>
      <c r="BI370" s="222"/>
      <c r="BJ370" s="222">
        <v>57708</v>
      </c>
      <c r="BK370" s="118">
        <v>66.42</v>
      </c>
      <c r="BL370" s="223"/>
      <c r="BM370" s="222"/>
      <c r="BN370" s="222"/>
      <c r="BO370" s="222"/>
      <c r="BP370" s="222"/>
      <c r="BQ370" s="222"/>
      <c r="BR370" s="222"/>
      <c r="BS370" s="222"/>
      <c r="BT370" s="222"/>
      <c r="BU370" s="222"/>
      <c r="BV370" s="222"/>
      <c r="BW370" s="222"/>
      <c r="BX370" s="222"/>
      <c r="BY370" s="222"/>
      <c r="BZ370" s="222"/>
      <c r="CA370" s="222"/>
      <c r="CB370" s="222"/>
      <c r="CC370" s="222"/>
      <c r="CD370" s="222"/>
      <c r="CE370" s="222"/>
      <c r="CF370" s="223" t="s">
        <v>134</v>
      </c>
      <c r="CG370" s="222"/>
      <c r="CH370" s="222">
        <v>10</v>
      </c>
      <c r="CI370" s="222">
        <v>3</v>
      </c>
      <c r="CJ370" s="222">
        <v>180</v>
      </c>
      <c r="CK370" s="223"/>
      <c r="CL370" s="222"/>
      <c r="CM370" s="250" t="s">
        <v>136</v>
      </c>
      <c r="CN370" s="14"/>
      <c r="CO370" s="14"/>
      <c r="CP370" s="14"/>
      <c r="CQ370" s="14"/>
      <c r="CR370" s="14"/>
      <c r="CS370" s="14"/>
      <c r="CT370" s="14"/>
      <c r="CU370" s="14"/>
    </row>
    <row r="371" spans="1:99" s="105" customFormat="1" x14ac:dyDescent="0.25">
      <c r="A371" s="239">
        <v>41518</v>
      </c>
      <c r="B371" s="239"/>
      <c r="C371" s="223" t="s">
        <v>1970</v>
      </c>
      <c r="D371" s="231" t="s">
        <v>54</v>
      </c>
      <c r="E371" s="223" t="s">
        <v>1850</v>
      </c>
      <c r="F371" s="271" t="s">
        <v>1971</v>
      </c>
      <c r="G371" s="271"/>
      <c r="H371" s="271"/>
      <c r="I371" s="271"/>
      <c r="J371" s="222" t="s">
        <v>1972</v>
      </c>
      <c r="K371" s="222"/>
      <c r="L371" s="222"/>
      <c r="M371" s="222"/>
      <c r="N371" s="222"/>
      <c r="O371" s="222"/>
      <c r="P371" s="222"/>
      <c r="Q371" s="222"/>
      <c r="R371" s="222"/>
      <c r="S371" s="222"/>
      <c r="T371" s="222"/>
      <c r="U371" s="222"/>
      <c r="V371" s="222"/>
      <c r="W371" s="222"/>
      <c r="X371" s="222"/>
      <c r="Y371" s="222"/>
      <c r="Z371" s="222"/>
      <c r="AA371" s="222"/>
      <c r="AB371" s="222"/>
      <c r="AC371" s="222"/>
      <c r="AD371" s="222"/>
      <c r="AE371" s="222"/>
      <c r="AF371" s="222"/>
      <c r="AG371" s="222"/>
      <c r="AH371" s="222"/>
      <c r="AI371" s="222"/>
      <c r="AJ371" s="222"/>
      <c r="AK371" s="222"/>
      <c r="AL371" s="222"/>
      <c r="AM371" s="222"/>
      <c r="AN371" s="222"/>
      <c r="AO371" s="222"/>
      <c r="AP371" s="222"/>
      <c r="AQ371" s="222"/>
      <c r="AR371" s="222"/>
      <c r="AS371" s="222"/>
      <c r="AT371" s="222"/>
      <c r="AU371" s="222"/>
      <c r="AV371" s="222"/>
      <c r="AW371" s="222"/>
      <c r="AX371" s="222"/>
      <c r="AY371" s="222"/>
      <c r="AZ371" s="222"/>
      <c r="BA371" s="222"/>
      <c r="BB371" s="222"/>
      <c r="BC371" s="222"/>
      <c r="BD371" s="222"/>
      <c r="BE371" s="222"/>
      <c r="BF371" s="222"/>
      <c r="BG371" s="222"/>
      <c r="BH371" s="222"/>
      <c r="BI371" s="222"/>
      <c r="BJ371" s="222"/>
      <c r="BK371" s="118">
        <v>118.03</v>
      </c>
      <c r="BL371" s="223"/>
      <c r="BM371" s="223"/>
      <c r="BN371" s="223"/>
      <c r="BO371" s="223"/>
      <c r="BP371" s="223"/>
      <c r="BQ371" s="223"/>
      <c r="BR371" s="223"/>
      <c r="BS371" s="223"/>
      <c r="BT371" s="223"/>
      <c r="BU371" s="223"/>
      <c r="BV371" s="223"/>
      <c r="BW371" s="223"/>
      <c r="BX371" s="223"/>
      <c r="BY371" s="223"/>
      <c r="BZ371" s="223"/>
      <c r="CA371" s="223"/>
      <c r="CB371" s="223"/>
      <c r="CC371" s="223"/>
      <c r="CD371" s="223"/>
      <c r="CE371" s="223"/>
      <c r="CF371" s="223" t="s">
        <v>134</v>
      </c>
      <c r="CG371" s="223"/>
      <c r="CH371" s="223"/>
      <c r="CI371" s="223"/>
      <c r="CJ371" s="223"/>
      <c r="CK371" s="223"/>
      <c r="CL371" s="223"/>
      <c r="CM371" s="250" t="s">
        <v>150</v>
      </c>
      <c r="CN371" s="14"/>
      <c r="CO371" s="14"/>
      <c r="CP371" s="14"/>
      <c r="CQ371" s="14"/>
      <c r="CR371" s="14"/>
      <c r="CS371" s="14"/>
      <c r="CT371" s="14"/>
      <c r="CU371" s="14"/>
    </row>
    <row r="372" spans="1:99" s="105" customFormat="1" x14ac:dyDescent="0.25">
      <c r="A372" s="239">
        <v>41334</v>
      </c>
      <c r="B372" s="239"/>
      <c r="C372" s="26" t="s">
        <v>1973</v>
      </c>
      <c r="D372" s="231" t="s">
        <v>54</v>
      </c>
      <c r="E372" s="222" t="s">
        <v>71</v>
      </c>
      <c r="F372" s="262"/>
      <c r="G372" s="403"/>
      <c r="H372" s="403"/>
      <c r="I372" s="403"/>
      <c r="J372" s="222"/>
      <c r="K372" s="222"/>
      <c r="L372" s="222"/>
      <c r="M372" s="222"/>
      <c r="N372" s="222"/>
      <c r="O372" s="222"/>
      <c r="P372" s="222"/>
      <c r="Q372" s="222"/>
      <c r="R372" s="222"/>
      <c r="S372" s="222"/>
      <c r="T372" s="222"/>
      <c r="U372" s="222"/>
      <c r="V372" s="222"/>
      <c r="W372" s="222"/>
      <c r="X372" s="222"/>
      <c r="Y372" s="222"/>
      <c r="Z372" s="222"/>
      <c r="AA372" s="222"/>
      <c r="AB372" s="222"/>
      <c r="AC372" s="222"/>
      <c r="AD372" s="222"/>
      <c r="AE372" s="222"/>
      <c r="AF372" s="222"/>
      <c r="AG372" s="222"/>
      <c r="AH372" s="222"/>
      <c r="AI372" s="222"/>
      <c r="AJ372" s="222"/>
      <c r="AK372" s="222"/>
      <c r="AL372" s="222"/>
      <c r="AM372" s="222"/>
      <c r="AN372" s="222"/>
      <c r="AO372" s="222"/>
      <c r="AP372" s="222"/>
      <c r="AQ372" s="222"/>
      <c r="AR372" s="222"/>
      <c r="AS372" s="222"/>
      <c r="AT372" s="222"/>
      <c r="AU372" s="222"/>
      <c r="AV372" s="222"/>
      <c r="AW372" s="222"/>
      <c r="AX372" s="222"/>
      <c r="AY372" s="222"/>
      <c r="AZ372" s="222"/>
      <c r="BA372" s="222"/>
      <c r="BB372" s="222"/>
      <c r="BC372" s="222"/>
      <c r="BD372" s="222"/>
      <c r="BE372" s="222"/>
      <c r="BF372" s="222"/>
      <c r="BG372" s="222"/>
      <c r="BH372" s="222"/>
      <c r="BI372" s="222"/>
      <c r="BJ372" s="222"/>
      <c r="BK372" s="118">
        <v>52.95</v>
      </c>
      <c r="BL372" s="222"/>
      <c r="BM372" s="222"/>
      <c r="BN372" s="222"/>
      <c r="BO372" s="222"/>
      <c r="BP372" s="222"/>
      <c r="BQ372" s="222"/>
      <c r="BR372" s="222"/>
      <c r="BS372" s="222"/>
      <c r="BT372" s="222"/>
      <c r="BU372" s="222"/>
      <c r="BV372" s="222"/>
      <c r="BW372" s="222"/>
      <c r="BX372" s="222"/>
      <c r="BY372" s="222"/>
      <c r="BZ372" s="222"/>
      <c r="CA372" s="222"/>
      <c r="CB372" s="222"/>
      <c r="CC372" s="222"/>
      <c r="CD372" s="222"/>
      <c r="CE372" s="222"/>
      <c r="CF372" s="222"/>
      <c r="CG372" s="222"/>
      <c r="CH372" s="222"/>
      <c r="CI372" s="222"/>
      <c r="CJ372" s="222"/>
      <c r="CK372" s="222"/>
      <c r="CL372" s="222"/>
      <c r="CM372" s="222"/>
      <c r="CN372" s="14"/>
      <c r="CO372" s="14"/>
      <c r="CP372" s="14"/>
      <c r="CQ372" s="14"/>
      <c r="CR372" s="14"/>
      <c r="CS372" s="14"/>
      <c r="CT372" s="14"/>
      <c r="CU372" s="14"/>
    </row>
    <row r="373" spans="1:99" s="105" customFormat="1" x14ac:dyDescent="0.25">
      <c r="A373" s="239">
        <v>41334</v>
      </c>
      <c r="B373" s="239"/>
      <c r="C373" s="26" t="s">
        <v>1974</v>
      </c>
      <c r="D373" s="231" t="s">
        <v>54</v>
      </c>
      <c r="E373" s="222"/>
      <c r="F373" s="262"/>
      <c r="G373" s="403"/>
      <c r="H373" s="403"/>
      <c r="I373" s="403"/>
      <c r="J373" s="222"/>
      <c r="K373" s="222"/>
      <c r="L373" s="222"/>
      <c r="M373" s="222"/>
      <c r="N373" s="222"/>
      <c r="O373" s="222"/>
      <c r="P373" s="222"/>
      <c r="Q373" s="222"/>
      <c r="R373" s="222"/>
      <c r="S373" s="222"/>
      <c r="T373" s="222"/>
      <c r="U373" s="222"/>
      <c r="V373" s="222"/>
      <c r="W373" s="222"/>
      <c r="X373" s="222"/>
      <c r="Y373" s="222"/>
      <c r="Z373" s="222"/>
      <c r="AA373" s="222"/>
      <c r="AB373" s="222"/>
      <c r="AC373" s="222"/>
      <c r="AD373" s="222"/>
      <c r="AE373" s="222"/>
      <c r="AF373" s="222"/>
      <c r="AG373" s="222"/>
      <c r="AH373" s="222"/>
      <c r="AI373" s="222"/>
      <c r="AJ373" s="222"/>
      <c r="AK373" s="222"/>
      <c r="AL373" s="222"/>
      <c r="AM373" s="222"/>
      <c r="AN373" s="222"/>
      <c r="AO373" s="222"/>
      <c r="AP373" s="222"/>
      <c r="AQ373" s="222"/>
      <c r="AR373" s="222"/>
      <c r="AS373" s="222"/>
      <c r="AT373" s="222"/>
      <c r="AU373" s="222"/>
      <c r="AV373" s="222"/>
      <c r="AW373" s="222"/>
      <c r="AX373" s="222"/>
      <c r="AY373" s="222"/>
      <c r="AZ373" s="222"/>
      <c r="BA373" s="222"/>
      <c r="BB373" s="222"/>
      <c r="BC373" s="222"/>
      <c r="BD373" s="222"/>
      <c r="BE373" s="222"/>
      <c r="BF373" s="222"/>
      <c r="BG373" s="222"/>
      <c r="BH373" s="222"/>
      <c r="BI373" s="222"/>
      <c r="BJ373" s="222"/>
      <c r="BK373" s="118">
        <v>14.71</v>
      </c>
      <c r="BL373" s="222"/>
      <c r="BM373" s="222"/>
      <c r="BN373" s="222"/>
      <c r="BO373" s="222"/>
      <c r="BP373" s="222"/>
      <c r="BQ373" s="222"/>
      <c r="BR373" s="222"/>
      <c r="BS373" s="222"/>
      <c r="BT373" s="222"/>
      <c r="BU373" s="222"/>
      <c r="BV373" s="222"/>
      <c r="BW373" s="222"/>
      <c r="BX373" s="222"/>
      <c r="BY373" s="222"/>
      <c r="BZ373" s="222"/>
      <c r="CA373" s="222"/>
      <c r="CB373" s="222"/>
      <c r="CC373" s="222"/>
      <c r="CD373" s="222"/>
      <c r="CE373" s="222"/>
      <c r="CF373" s="222"/>
      <c r="CG373" s="222"/>
      <c r="CH373" s="222"/>
      <c r="CI373" s="222"/>
      <c r="CJ373" s="222"/>
      <c r="CK373" s="222"/>
      <c r="CL373" s="222"/>
      <c r="CM373" s="222"/>
      <c r="CN373" s="14"/>
      <c r="CO373" s="14"/>
      <c r="CP373" s="14"/>
      <c r="CQ373" s="14"/>
      <c r="CR373" s="14"/>
      <c r="CS373" s="14"/>
      <c r="CT373" s="14"/>
      <c r="CU373" s="14"/>
    </row>
    <row r="374" spans="1:99" s="105" customFormat="1" x14ac:dyDescent="0.25">
      <c r="A374" s="239">
        <v>41334</v>
      </c>
      <c r="B374" s="239"/>
      <c r="C374" s="26" t="s">
        <v>1975</v>
      </c>
      <c r="D374" s="231" t="s">
        <v>54</v>
      </c>
      <c r="E374" s="222" t="s">
        <v>71</v>
      </c>
      <c r="F374" s="262"/>
      <c r="G374" s="403"/>
      <c r="H374" s="403"/>
      <c r="I374" s="403"/>
      <c r="J374" s="222"/>
      <c r="K374" s="222"/>
      <c r="L374" s="222"/>
      <c r="M374" s="222"/>
      <c r="N374" s="222"/>
      <c r="O374" s="222"/>
      <c r="P374" s="222"/>
      <c r="Q374" s="222"/>
      <c r="R374" s="222"/>
      <c r="S374" s="222"/>
      <c r="T374" s="222"/>
      <c r="U374" s="222"/>
      <c r="V374" s="222"/>
      <c r="W374" s="222"/>
      <c r="X374" s="222"/>
      <c r="Y374" s="222"/>
      <c r="Z374" s="222"/>
      <c r="AA374" s="222"/>
      <c r="AB374" s="222"/>
      <c r="AC374" s="222"/>
      <c r="AD374" s="222"/>
      <c r="AE374" s="222"/>
      <c r="AF374" s="222"/>
      <c r="AG374" s="222"/>
      <c r="AH374" s="222"/>
      <c r="AI374" s="222"/>
      <c r="AJ374" s="222"/>
      <c r="AK374" s="222"/>
      <c r="AL374" s="222"/>
      <c r="AM374" s="222"/>
      <c r="AN374" s="222"/>
      <c r="AO374" s="222"/>
      <c r="AP374" s="222"/>
      <c r="AQ374" s="222"/>
      <c r="AR374" s="222"/>
      <c r="AS374" s="222"/>
      <c r="AT374" s="222"/>
      <c r="AU374" s="222"/>
      <c r="AV374" s="222"/>
      <c r="AW374" s="222"/>
      <c r="AX374" s="222"/>
      <c r="AY374" s="222"/>
      <c r="AZ374" s="222"/>
      <c r="BA374" s="222"/>
      <c r="BB374" s="222"/>
      <c r="BC374" s="222"/>
      <c r="BD374" s="222"/>
      <c r="BE374" s="222"/>
      <c r="BF374" s="222"/>
      <c r="BG374" s="222"/>
      <c r="BH374" s="222"/>
      <c r="BI374" s="222"/>
      <c r="BJ374" s="222"/>
      <c r="BK374" s="118">
        <v>29.57</v>
      </c>
      <c r="BL374" s="222"/>
      <c r="BM374" s="222"/>
      <c r="BN374" s="222"/>
      <c r="BO374" s="222"/>
      <c r="BP374" s="222"/>
      <c r="BQ374" s="222"/>
      <c r="BR374" s="222"/>
      <c r="BS374" s="222"/>
      <c r="BT374" s="222"/>
      <c r="BU374" s="222"/>
      <c r="BV374" s="222"/>
      <c r="BW374" s="222"/>
      <c r="BX374" s="222"/>
      <c r="BY374" s="222"/>
      <c r="BZ374" s="222"/>
      <c r="CA374" s="222"/>
      <c r="CB374" s="222"/>
      <c r="CC374" s="222"/>
      <c r="CD374" s="222"/>
      <c r="CE374" s="222"/>
      <c r="CF374" s="222"/>
      <c r="CG374" s="222"/>
      <c r="CH374" s="222"/>
      <c r="CI374" s="222"/>
      <c r="CJ374" s="222"/>
      <c r="CK374" s="222"/>
      <c r="CL374" s="222"/>
      <c r="CM374" s="222"/>
      <c r="CN374" s="14"/>
      <c r="CO374" s="14"/>
      <c r="CP374" s="14"/>
      <c r="CQ374" s="14"/>
      <c r="CR374" s="14"/>
      <c r="CS374" s="14"/>
      <c r="CT374" s="14"/>
      <c r="CU374" s="14"/>
    </row>
    <row r="375" spans="1:99" s="105" customFormat="1" x14ac:dyDescent="0.25">
      <c r="A375" s="239">
        <v>41334</v>
      </c>
      <c r="B375" s="239"/>
      <c r="C375" s="25" t="s">
        <v>1976</v>
      </c>
      <c r="D375" s="231" t="s">
        <v>54</v>
      </c>
      <c r="E375" s="222"/>
      <c r="F375" s="262"/>
      <c r="G375" s="403"/>
      <c r="H375" s="403"/>
      <c r="I375" s="403"/>
      <c r="J375" s="222"/>
      <c r="K375" s="222"/>
      <c r="L375" s="222"/>
      <c r="M375" s="222"/>
      <c r="N375" s="222"/>
      <c r="O375" s="222"/>
      <c r="P375" s="222"/>
      <c r="Q375" s="222"/>
      <c r="R375" s="222"/>
      <c r="S375" s="222"/>
      <c r="T375" s="222"/>
      <c r="U375" s="222"/>
      <c r="V375" s="222"/>
      <c r="W375" s="222"/>
      <c r="X375" s="222"/>
      <c r="Y375" s="222"/>
      <c r="Z375" s="222"/>
      <c r="AA375" s="222"/>
      <c r="AB375" s="222"/>
      <c r="AC375" s="222"/>
      <c r="AD375" s="222"/>
      <c r="AE375" s="222"/>
      <c r="AF375" s="222"/>
      <c r="AG375" s="222"/>
      <c r="AH375" s="222"/>
      <c r="AI375" s="222"/>
      <c r="AJ375" s="222"/>
      <c r="AK375" s="222"/>
      <c r="AL375" s="222"/>
      <c r="AM375" s="222"/>
      <c r="AN375" s="222"/>
      <c r="AO375" s="222"/>
      <c r="AP375" s="222"/>
      <c r="AQ375" s="222"/>
      <c r="AR375" s="222"/>
      <c r="AS375" s="222"/>
      <c r="AT375" s="222"/>
      <c r="AU375" s="222"/>
      <c r="AV375" s="222"/>
      <c r="AW375" s="222"/>
      <c r="AX375" s="222"/>
      <c r="AY375" s="222"/>
      <c r="AZ375" s="222"/>
      <c r="BA375" s="222"/>
      <c r="BB375" s="222"/>
      <c r="BC375" s="222"/>
      <c r="BD375" s="222"/>
      <c r="BE375" s="222"/>
      <c r="BF375" s="222"/>
      <c r="BG375" s="222"/>
      <c r="BH375" s="222"/>
      <c r="BI375" s="222"/>
      <c r="BJ375" s="222"/>
      <c r="BK375" s="118">
        <v>43.8</v>
      </c>
      <c r="BL375" s="222"/>
      <c r="BM375" s="222"/>
      <c r="BN375" s="222"/>
      <c r="BO375" s="222"/>
      <c r="BP375" s="222"/>
      <c r="BQ375" s="222"/>
      <c r="BR375" s="222"/>
      <c r="BS375" s="222"/>
      <c r="BT375" s="222"/>
      <c r="BU375" s="222"/>
      <c r="BV375" s="222"/>
      <c r="BW375" s="222"/>
      <c r="BX375" s="222"/>
      <c r="BY375" s="222"/>
      <c r="BZ375" s="222"/>
      <c r="CA375" s="222"/>
      <c r="CB375" s="222"/>
      <c r="CC375" s="222"/>
      <c r="CD375" s="222"/>
      <c r="CE375" s="222"/>
      <c r="CF375" s="222"/>
      <c r="CG375" s="222"/>
      <c r="CH375" s="222"/>
      <c r="CI375" s="222"/>
      <c r="CJ375" s="222"/>
      <c r="CK375" s="222"/>
      <c r="CL375" s="222"/>
      <c r="CM375" s="222"/>
      <c r="CN375" s="14"/>
      <c r="CO375" s="14"/>
      <c r="CP375" s="14"/>
      <c r="CQ375" s="14"/>
      <c r="CR375" s="14"/>
      <c r="CS375" s="14"/>
      <c r="CT375" s="14"/>
      <c r="CU375" s="14"/>
    </row>
    <row r="376" spans="1:99" s="105" customFormat="1" x14ac:dyDescent="0.25">
      <c r="A376" s="262" t="s">
        <v>1977</v>
      </c>
      <c r="B376" s="262"/>
      <c r="C376" s="272" t="s">
        <v>1978</v>
      </c>
      <c r="D376" s="231" t="s">
        <v>54</v>
      </c>
      <c r="E376" s="222" t="s">
        <v>71</v>
      </c>
      <c r="F376" s="262"/>
      <c r="G376" s="403"/>
      <c r="H376" s="403"/>
      <c r="I376" s="403"/>
      <c r="J376" s="222"/>
      <c r="K376" s="222"/>
      <c r="L376" s="222"/>
      <c r="M376" s="222"/>
      <c r="N376" s="222"/>
      <c r="O376" s="222"/>
      <c r="P376" s="222"/>
      <c r="Q376" s="222"/>
      <c r="R376" s="222"/>
      <c r="S376" s="222"/>
      <c r="T376" s="222"/>
      <c r="U376" s="222"/>
      <c r="V376" s="222"/>
      <c r="W376" s="222"/>
      <c r="X376" s="222"/>
      <c r="Y376" s="222"/>
      <c r="Z376" s="222"/>
      <c r="AA376" s="222"/>
      <c r="AB376" s="222"/>
      <c r="AC376" s="222"/>
      <c r="AD376" s="222"/>
      <c r="AE376" s="222"/>
      <c r="AF376" s="222"/>
      <c r="AG376" s="222"/>
      <c r="AH376" s="222"/>
      <c r="AI376" s="222"/>
      <c r="AJ376" s="222"/>
      <c r="AK376" s="222"/>
      <c r="AL376" s="222"/>
      <c r="AM376" s="222"/>
      <c r="AN376" s="222"/>
      <c r="AO376" s="222"/>
      <c r="AP376" s="222"/>
      <c r="AQ376" s="222"/>
      <c r="AR376" s="222"/>
      <c r="AS376" s="222"/>
      <c r="AT376" s="222"/>
      <c r="AU376" s="222"/>
      <c r="AV376" s="222"/>
      <c r="AW376" s="222"/>
      <c r="AX376" s="222"/>
      <c r="AY376" s="222"/>
      <c r="AZ376" s="222"/>
      <c r="BA376" s="222"/>
      <c r="BB376" s="222"/>
      <c r="BC376" s="222"/>
      <c r="BD376" s="222"/>
      <c r="BE376" s="222"/>
      <c r="BF376" s="222"/>
      <c r="BG376" s="222"/>
      <c r="BH376" s="222"/>
      <c r="BI376" s="222"/>
      <c r="BJ376" s="222"/>
      <c r="BK376" s="118">
        <v>109.5</v>
      </c>
      <c r="BL376" s="222"/>
      <c r="BM376" s="222"/>
      <c r="BN376" s="222"/>
      <c r="BO376" s="222"/>
      <c r="BP376" s="222"/>
      <c r="BQ376" s="222"/>
      <c r="BR376" s="222"/>
      <c r="BS376" s="222"/>
      <c r="BT376" s="222"/>
      <c r="BU376" s="222"/>
      <c r="BV376" s="222"/>
      <c r="BW376" s="222"/>
      <c r="BX376" s="222"/>
      <c r="BY376" s="222"/>
      <c r="BZ376" s="222"/>
      <c r="CA376" s="222"/>
      <c r="CB376" s="222"/>
      <c r="CC376" s="222"/>
      <c r="CD376" s="222"/>
      <c r="CE376" s="222"/>
      <c r="CF376" s="222"/>
      <c r="CG376" s="222"/>
      <c r="CH376" s="222"/>
      <c r="CI376" s="222"/>
      <c r="CJ376" s="222"/>
      <c r="CK376" s="222"/>
      <c r="CL376" s="222"/>
      <c r="CM376" s="222"/>
      <c r="CN376" s="14"/>
      <c r="CO376" s="14"/>
      <c r="CP376" s="14"/>
      <c r="CQ376" s="14"/>
      <c r="CR376" s="14"/>
      <c r="CS376" s="14"/>
      <c r="CT376" s="14"/>
      <c r="CU376" s="14"/>
    </row>
    <row r="377" spans="1:99" s="105" customFormat="1" x14ac:dyDescent="0.25">
      <c r="A377" s="262" t="s">
        <v>1977</v>
      </c>
      <c r="B377" s="262"/>
      <c r="C377" s="272" t="s">
        <v>1979</v>
      </c>
      <c r="D377" s="231" t="s">
        <v>54</v>
      </c>
      <c r="E377" s="222" t="s">
        <v>71</v>
      </c>
      <c r="F377" s="262"/>
      <c r="G377" s="403"/>
      <c r="H377" s="403"/>
      <c r="I377" s="403"/>
      <c r="J377" s="222"/>
      <c r="K377" s="222"/>
      <c r="L377" s="222"/>
      <c r="M377" s="222"/>
      <c r="N377" s="222"/>
      <c r="O377" s="222"/>
      <c r="P377" s="222"/>
      <c r="Q377" s="222"/>
      <c r="R377" s="222"/>
      <c r="S377" s="222"/>
      <c r="T377" s="222"/>
      <c r="U377" s="222"/>
      <c r="V377" s="222"/>
      <c r="W377" s="222"/>
      <c r="X377" s="222"/>
      <c r="Y377" s="222"/>
      <c r="Z377" s="222"/>
      <c r="AA377" s="222"/>
      <c r="AB377" s="222"/>
      <c r="AC377" s="222"/>
      <c r="AD377" s="222"/>
      <c r="AE377" s="222"/>
      <c r="AF377" s="222"/>
      <c r="AG377" s="222"/>
      <c r="AH377" s="222"/>
      <c r="AI377" s="222"/>
      <c r="AJ377" s="222"/>
      <c r="AK377" s="222"/>
      <c r="AL377" s="222"/>
      <c r="AM377" s="222"/>
      <c r="AN377" s="222"/>
      <c r="AO377" s="222"/>
      <c r="AP377" s="222"/>
      <c r="AQ377" s="222"/>
      <c r="AR377" s="222"/>
      <c r="AS377" s="222"/>
      <c r="AT377" s="222"/>
      <c r="AU377" s="222"/>
      <c r="AV377" s="222"/>
      <c r="AW377" s="222"/>
      <c r="AX377" s="222"/>
      <c r="AY377" s="222"/>
      <c r="AZ377" s="222"/>
      <c r="BA377" s="222"/>
      <c r="BB377" s="222"/>
      <c r="BC377" s="222"/>
      <c r="BD377" s="222"/>
      <c r="BE377" s="222"/>
      <c r="BF377" s="222"/>
      <c r="BG377" s="222"/>
      <c r="BH377" s="222"/>
      <c r="BI377" s="222"/>
      <c r="BJ377" s="222"/>
      <c r="BK377" s="118">
        <v>48.26</v>
      </c>
      <c r="BL377" s="222"/>
      <c r="BM377" s="222"/>
      <c r="BN377" s="222"/>
      <c r="BO377" s="222"/>
      <c r="BP377" s="222"/>
      <c r="BQ377" s="222"/>
      <c r="BR377" s="222"/>
      <c r="BS377" s="222"/>
      <c r="BT377" s="222"/>
      <c r="BU377" s="222"/>
      <c r="BV377" s="222"/>
      <c r="BW377" s="222"/>
      <c r="BX377" s="222"/>
      <c r="BY377" s="222"/>
      <c r="BZ377" s="222"/>
      <c r="CA377" s="222"/>
      <c r="CB377" s="222"/>
      <c r="CC377" s="222"/>
      <c r="CD377" s="222"/>
      <c r="CE377" s="222"/>
      <c r="CF377" s="222"/>
      <c r="CG377" s="222"/>
      <c r="CH377" s="222"/>
      <c r="CI377" s="222"/>
      <c r="CJ377" s="222"/>
      <c r="CK377" s="222"/>
      <c r="CL377" s="222"/>
      <c r="CM377" s="222"/>
      <c r="CN377" s="14"/>
      <c r="CO377" s="14"/>
      <c r="CP377" s="14"/>
      <c r="CQ377" s="14"/>
      <c r="CR377" s="14"/>
      <c r="CS377" s="14"/>
      <c r="CT377" s="14"/>
      <c r="CU377" s="14"/>
    </row>
    <row r="378" spans="1:99" s="105" customFormat="1" x14ac:dyDescent="0.25">
      <c r="A378" s="262" t="s">
        <v>1977</v>
      </c>
      <c r="B378" s="262"/>
      <c r="C378" s="223" t="s">
        <v>1980</v>
      </c>
      <c r="D378" s="231" t="s">
        <v>54</v>
      </c>
      <c r="E378" s="222" t="s">
        <v>71</v>
      </c>
      <c r="F378" s="262"/>
      <c r="G378" s="403"/>
      <c r="H378" s="403"/>
      <c r="I378" s="403"/>
      <c r="J378" s="222"/>
      <c r="K378" s="222"/>
      <c r="L378" s="222"/>
      <c r="M378" s="222"/>
      <c r="N378" s="222"/>
      <c r="O378" s="222"/>
      <c r="P378" s="222"/>
      <c r="Q378" s="222"/>
      <c r="R378" s="222"/>
      <c r="S378" s="222"/>
      <c r="T378" s="222"/>
      <c r="U378" s="222"/>
      <c r="V378" s="222"/>
      <c r="W378" s="222"/>
      <c r="X378" s="222"/>
      <c r="Y378" s="222"/>
      <c r="Z378" s="222"/>
      <c r="AA378" s="222"/>
      <c r="AB378" s="222"/>
      <c r="AC378" s="222"/>
      <c r="AD378" s="222"/>
      <c r="AE378" s="222"/>
      <c r="AF378" s="222"/>
      <c r="AG378" s="222"/>
      <c r="AH378" s="222"/>
      <c r="AI378" s="222"/>
      <c r="AJ378" s="222"/>
      <c r="AK378" s="222"/>
      <c r="AL378" s="222"/>
      <c r="AM378" s="222"/>
      <c r="AN378" s="222"/>
      <c r="AO378" s="222"/>
      <c r="AP378" s="222"/>
      <c r="AQ378" s="222"/>
      <c r="AR378" s="222"/>
      <c r="AS378" s="222"/>
      <c r="AT378" s="222"/>
      <c r="AU378" s="222"/>
      <c r="AV378" s="222"/>
      <c r="AW378" s="222"/>
      <c r="AX378" s="222"/>
      <c r="AY378" s="222"/>
      <c r="AZ378" s="222"/>
      <c r="BA378" s="222"/>
      <c r="BB378" s="222"/>
      <c r="BC378" s="222"/>
      <c r="BD378" s="222"/>
      <c r="BE378" s="222"/>
      <c r="BF378" s="222"/>
      <c r="BG378" s="222"/>
      <c r="BH378" s="222"/>
      <c r="BI378" s="222"/>
      <c r="BJ378" s="222"/>
      <c r="BK378" s="118">
        <v>91.12</v>
      </c>
      <c r="BL378" s="222"/>
      <c r="BM378" s="222"/>
      <c r="BN378" s="222"/>
      <c r="BO378" s="222"/>
      <c r="BP378" s="222"/>
      <c r="BQ378" s="222"/>
      <c r="BR378" s="222"/>
      <c r="BS378" s="222"/>
      <c r="BT378" s="222"/>
      <c r="BU378" s="222"/>
      <c r="BV378" s="222"/>
      <c r="BW378" s="222"/>
      <c r="BX378" s="222"/>
      <c r="BY378" s="222"/>
      <c r="BZ378" s="222"/>
      <c r="CA378" s="222"/>
      <c r="CB378" s="222"/>
      <c r="CC378" s="222"/>
      <c r="CD378" s="222"/>
      <c r="CE378" s="222"/>
      <c r="CF378" s="222"/>
      <c r="CG378" s="222"/>
      <c r="CH378" s="222"/>
      <c r="CI378" s="222"/>
      <c r="CJ378" s="222"/>
      <c r="CK378" s="222"/>
      <c r="CL378" s="222"/>
      <c r="CM378" s="222"/>
      <c r="CN378" s="14"/>
      <c r="CO378" s="14"/>
      <c r="CP378" s="14"/>
      <c r="CQ378" s="14"/>
      <c r="CR378" s="14"/>
      <c r="CS378" s="14"/>
      <c r="CT378" s="14"/>
      <c r="CU378" s="14"/>
    </row>
    <row r="379" spans="1:99" s="105" customFormat="1" x14ac:dyDescent="0.25">
      <c r="A379" s="262" t="s">
        <v>1977</v>
      </c>
      <c r="B379" s="262"/>
      <c r="C379" s="223" t="s">
        <v>1981</v>
      </c>
      <c r="D379" s="231" t="s">
        <v>54</v>
      </c>
      <c r="E379" s="222" t="s">
        <v>71</v>
      </c>
      <c r="F379" s="262"/>
      <c r="G379" s="403"/>
      <c r="H379" s="403"/>
      <c r="I379" s="403"/>
      <c r="J379" s="222"/>
      <c r="K379" s="222"/>
      <c r="L379" s="222"/>
      <c r="M379" s="222"/>
      <c r="N379" s="222"/>
      <c r="O379" s="222"/>
      <c r="P379" s="222"/>
      <c r="Q379" s="222"/>
      <c r="R379" s="222"/>
      <c r="S379" s="222"/>
      <c r="T379" s="222"/>
      <c r="U379" s="222"/>
      <c r="V379" s="222"/>
      <c r="W379" s="222"/>
      <c r="X379" s="222"/>
      <c r="Y379" s="222"/>
      <c r="Z379" s="222"/>
      <c r="AA379" s="222"/>
      <c r="AB379" s="222"/>
      <c r="AC379" s="222"/>
      <c r="AD379" s="222"/>
      <c r="AE379" s="222"/>
      <c r="AF379" s="222"/>
      <c r="AG379" s="222"/>
      <c r="AH379" s="222"/>
      <c r="AI379" s="222"/>
      <c r="AJ379" s="222"/>
      <c r="AK379" s="222"/>
      <c r="AL379" s="222"/>
      <c r="AM379" s="222"/>
      <c r="AN379" s="222"/>
      <c r="AO379" s="222"/>
      <c r="AP379" s="222"/>
      <c r="AQ379" s="222"/>
      <c r="AR379" s="222"/>
      <c r="AS379" s="222"/>
      <c r="AT379" s="222"/>
      <c r="AU379" s="222"/>
      <c r="AV379" s="222"/>
      <c r="AW379" s="222"/>
      <c r="AX379" s="222"/>
      <c r="AY379" s="222"/>
      <c r="AZ379" s="222"/>
      <c r="BA379" s="222"/>
      <c r="BB379" s="222"/>
      <c r="BC379" s="222"/>
      <c r="BD379" s="222"/>
      <c r="BE379" s="222"/>
      <c r="BF379" s="222"/>
      <c r="BG379" s="222"/>
      <c r="BH379" s="222"/>
      <c r="BI379" s="222"/>
      <c r="BJ379" s="222"/>
      <c r="BK379" s="118">
        <v>66.39</v>
      </c>
      <c r="BL379" s="222"/>
      <c r="BM379" s="222"/>
      <c r="BN379" s="222"/>
      <c r="BO379" s="222"/>
      <c r="BP379" s="222"/>
      <c r="BQ379" s="222"/>
      <c r="BR379" s="222"/>
      <c r="BS379" s="222"/>
      <c r="BT379" s="222"/>
      <c r="BU379" s="222"/>
      <c r="BV379" s="222"/>
      <c r="BW379" s="222"/>
      <c r="BX379" s="222"/>
      <c r="BY379" s="222"/>
      <c r="BZ379" s="222"/>
      <c r="CA379" s="222"/>
      <c r="CB379" s="222"/>
      <c r="CC379" s="222"/>
      <c r="CD379" s="222"/>
      <c r="CE379" s="222"/>
      <c r="CF379" s="222"/>
      <c r="CG379" s="222"/>
      <c r="CH379" s="222"/>
      <c r="CI379" s="222"/>
      <c r="CJ379" s="222"/>
      <c r="CK379" s="222"/>
      <c r="CL379" s="222"/>
      <c r="CM379" s="222"/>
      <c r="CN379" s="14"/>
      <c r="CO379" s="14"/>
      <c r="CP379" s="14"/>
      <c r="CQ379" s="14"/>
      <c r="CR379" s="14"/>
      <c r="CS379" s="14"/>
      <c r="CT379" s="14"/>
      <c r="CU379" s="14"/>
    </row>
    <row r="380" spans="1:99" s="105" customFormat="1" x14ac:dyDescent="0.25">
      <c r="A380" s="262" t="s">
        <v>1977</v>
      </c>
      <c r="B380" s="262"/>
      <c r="C380" s="272" t="s">
        <v>1982</v>
      </c>
      <c r="D380" s="231" t="s">
        <v>54</v>
      </c>
      <c r="E380" s="222" t="s">
        <v>59</v>
      </c>
      <c r="F380" s="262"/>
      <c r="G380" s="403"/>
      <c r="H380" s="403"/>
      <c r="I380" s="403"/>
      <c r="J380" s="222"/>
      <c r="K380" s="222"/>
      <c r="L380" s="222"/>
      <c r="M380" s="222"/>
      <c r="N380" s="222"/>
      <c r="O380" s="222"/>
      <c r="P380" s="222"/>
      <c r="Q380" s="222"/>
      <c r="R380" s="222"/>
      <c r="S380" s="222"/>
      <c r="T380" s="222"/>
      <c r="U380" s="222"/>
      <c r="V380" s="222"/>
      <c r="W380" s="222"/>
      <c r="X380" s="222"/>
      <c r="Y380" s="222"/>
      <c r="Z380" s="222"/>
      <c r="AA380" s="222"/>
      <c r="AB380" s="222"/>
      <c r="AC380" s="222"/>
      <c r="AD380" s="222"/>
      <c r="AE380" s="222"/>
      <c r="AF380" s="222"/>
      <c r="AG380" s="222"/>
      <c r="AH380" s="222"/>
      <c r="AI380" s="222"/>
      <c r="AJ380" s="222"/>
      <c r="AK380" s="222"/>
      <c r="AL380" s="222"/>
      <c r="AM380" s="222"/>
      <c r="AN380" s="222"/>
      <c r="AO380" s="222"/>
      <c r="AP380" s="222"/>
      <c r="AQ380" s="222"/>
      <c r="AR380" s="222"/>
      <c r="AS380" s="222"/>
      <c r="AT380" s="222"/>
      <c r="AU380" s="222"/>
      <c r="AV380" s="222"/>
      <c r="AW380" s="222"/>
      <c r="AX380" s="222"/>
      <c r="AY380" s="222"/>
      <c r="AZ380" s="222"/>
      <c r="BA380" s="222"/>
      <c r="BB380" s="222"/>
      <c r="BC380" s="222"/>
      <c r="BD380" s="222"/>
      <c r="BE380" s="222"/>
      <c r="BF380" s="222"/>
      <c r="BG380" s="222"/>
      <c r="BH380" s="222"/>
      <c r="BI380" s="222"/>
      <c r="BJ380" s="222"/>
      <c r="BK380" s="118">
        <v>31.38</v>
      </c>
      <c r="BL380" s="222"/>
      <c r="BM380" s="222"/>
      <c r="BN380" s="222"/>
      <c r="BO380" s="222"/>
      <c r="BP380" s="222"/>
      <c r="BQ380" s="222"/>
      <c r="BR380" s="222"/>
      <c r="BS380" s="222"/>
      <c r="BT380" s="222"/>
      <c r="BU380" s="222"/>
      <c r="BV380" s="222"/>
      <c r="BW380" s="222"/>
      <c r="BX380" s="222"/>
      <c r="BY380" s="222"/>
      <c r="BZ380" s="222"/>
      <c r="CA380" s="222"/>
      <c r="CB380" s="222"/>
      <c r="CC380" s="222"/>
      <c r="CD380" s="222"/>
      <c r="CE380" s="222"/>
      <c r="CF380" s="222"/>
      <c r="CG380" s="222"/>
      <c r="CH380" s="222"/>
      <c r="CI380" s="222"/>
      <c r="CJ380" s="222"/>
      <c r="CK380" s="222"/>
      <c r="CL380" s="222"/>
      <c r="CM380" s="222"/>
      <c r="CN380" s="14"/>
      <c r="CO380" s="14"/>
      <c r="CP380" s="14"/>
      <c r="CQ380" s="14"/>
      <c r="CR380" s="14"/>
      <c r="CS380" s="14"/>
      <c r="CT380" s="14"/>
      <c r="CU380" s="14"/>
    </row>
    <row r="381" spans="1:99" s="105" customFormat="1" x14ac:dyDescent="0.25">
      <c r="A381" s="262" t="s">
        <v>1977</v>
      </c>
      <c r="B381" s="262"/>
      <c r="C381" s="226" t="s">
        <v>1983</v>
      </c>
      <c r="D381" s="231" t="s">
        <v>54</v>
      </c>
      <c r="E381" s="222" t="s">
        <v>59</v>
      </c>
      <c r="F381" s="262"/>
      <c r="G381" s="403"/>
      <c r="H381" s="403"/>
      <c r="I381" s="403"/>
      <c r="J381" s="222"/>
      <c r="K381" s="222"/>
      <c r="L381" s="222"/>
      <c r="M381" s="222"/>
      <c r="N381" s="222"/>
      <c r="O381" s="222"/>
      <c r="P381" s="222"/>
      <c r="Q381" s="222"/>
      <c r="R381" s="222"/>
      <c r="S381" s="222"/>
      <c r="T381" s="222"/>
      <c r="U381" s="222"/>
      <c r="V381" s="222"/>
      <c r="W381" s="222"/>
      <c r="X381" s="222"/>
      <c r="Y381" s="222"/>
      <c r="Z381" s="222"/>
      <c r="AA381" s="222"/>
      <c r="AB381" s="222"/>
      <c r="AC381" s="222"/>
      <c r="AD381" s="222"/>
      <c r="AE381" s="222"/>
      <c r="AF381" s="222"/>
      <c r="AG381" s="222"/>
      <c r="AH381" s="222"/>
      <c r="AI381" s="222"/>
      <c r="AJ381" s="222"/>
      <c r="AK381" s="222"/>
      <c r="AL381" s="222"/>
      <c r="AM381" s="222"/>
      <c r="AN381" s="222"/>
      <c r="AO381" s="222"/>
      <c r="AP381" s="222"/>
      <c r="AQ381" s="222"/>
      <c r="AR381" s="222"/>
      <c r="AS381" s="222"/>
      <c r="AT381" s="222"/>
      <c r="AU381" s="222"/>
      <c r="AV381" s="222"/>
      <c r="AW381" s="222"/>
      <c r="AX381" s="222"/>
      <c r="AY381" s="222"/>
      <c r="AZ381" s="222"/>
      <c r="BA381" s="222"/>
      <c r="BB381" s="222"/>
      <c r="BC381" s="222"/>
      <c r="BD381" s="222"/>
      <c r="BE381" s="222"/>
      <c r="BF381" s="222"/>
      <c r="BG381" s="222"/>
      <c r="BH381" s="222"/>
      <c r="BI381" s="222"/>
      <c r="BJ381" s="222"/>
      <c r="BK381" s="118">
        <v>41.94</v>
      </c>
      <c r="BL381" s="222"/>
      <c r="BM381" s="222"/>
      <c r="BN381" s="222"/>
      <c r="BO381" s="222"/>
      <c r="BP381" s="222"/>
      <c r="BQ381" s="222"/>
      <c r="BR381" s="222"/>
      <c r="BS381" s="222"/>
      <c r="BT381" s="222"/>
      <c r="BU381" s="222"/>
      <c r="BV381" s="222"/>
      <c r="BW381" s="222"/>
      <c r="BX381" s="222"/>
      <c r="BY381" s="222"/>
      <c r="BZ381" s="222"/>
      <c r="CA381" s="222"/>
      <c r="CB381" s="222"/>
      <c r="CC381" s="222"/>
      <c r="CD381" s="222"/>
      <c r="CE381" s="222"/>
      <c r="CF381" s="222"/>
      <c r="CG381" s="222"/>
      <c r="CH381" s="222"/>
      <c r="CI381" s="222"/>
      <c r="CJ381" s="222"/>
      <c r="CK381" s="222"/>
      <c r="CL381" s="222"/>
      <c r="CM381" s="222"/>
      <c r="CN381" s="14"/>
      <c r="CO381" s="14"/>
      <c r="CP381" s="14"/>
      <c r="CQ381" s="14"/>
      <c r="CR381" s="14"/>
      <c r="CS381" s="14"/>
      <c r="CT381" s="14"/>
      <c r="CU381" s="14"/>
    </row>
    <row r="382" spans="1:99" s="105" customFormat="1" x14ac:dyDescent="0.25">
      <c r="A382" s="262" t="s">
        <v>1977</v>
      </c>
      <c r="B382" s="262"/>
      <c r="C382" s="223" t="s">
        <v>1984</v>
      </c>
      <c r="D382" s="231" t="s">
        <v>54</v>
      </c>
      <c r="E382" s="222" t="s">
        <v>59</v>
      </c>
      <c r="F382" s="262"/>
      <c r="G382" s="403"/>
      <c r="H382" s="403"/>
      <c r="I382" s="403"/>
      <c r="J382" s="222"/>
      <c r="K382" s="222"/>
      <c r="L382" s="222"/>
      <c r="M382" s="222"/>
      <c r="N382" s="222"/>
      <c r="O382" s="222"/>
      <c r="P382" s="222"/>
      <c r="Q382" s="222"/>
      <c r="R382" s="222"/>
      <c r="S382" s="222"/>
      <c r="T382" s="222"/>
      <c r="U382" s="222"/>
      <c r="V382" s="222"/>
      <c r="W382" s="222"/>
      <c r="X382" s="222"/>
      <c r="Y382" s="222"/>
      <c r="Z382" s="222"/>
      <c r="AA382" s="222"/>
      <c r="AB382" s="222"/>
      <c r="AC382" s="222"/>
      <c r="AD382" s="222"/>
      <c r="AE382" s="222"/>
      <c r="AF382" s="222"/>
      <c r="AG382" s="222"/>
      <c r="AH382" s="222"/>
      <c r="AI382" s="222"/>
      <c r="AJ382" s="222"/>
      <c r="AK382" s="222"/>
      <c r="AL382" s="222"/>
      <c r="AM382" s="222"/>
      <c r="AN382" s="222"/>
      <c r="AO382" s="222"/>
      <c r="AP382" s="222"/>
      <c r="AQ382" s="222"/>
      <c r="AR382" s="222"/>
      <c r="AS382" s="222"/>
      <c r="AT382" s="222"/>
      <c r="AU382" s="222"/>
      <c r="AV382" s="222"/>
      <c r="AW382" s="222"/>
      <c r="AX382" s="222"/>
      <c r="AY382" s="222"/>
      <c r="AZ382" s="222"/>
      <c r="BA382" s="222"/>
      <c r="BB382" s="222"/>
      <c r="BC382" s="222"/>
      <c r="BD382" s="222"/>
      <c r="BE382" s="222"/>
      <c r="BF382" s="222"/>
      <c r="BG382" s="222"/>
      <c r="BH382" s="222"/>
      <c r="BI382" s="222"/>
      <c r="BJ382" s="222"/>
      <c r="BK382" s="118">
        <v>55.1</v>
      </c>
      <c r="BL382" s="222"/>
      <c r="BM382" s="222"/>
      <c r="BN382" s="222"/>
      <c r="BO382" s="222"/>
      <c r="BP382" s="222"/>
      <c r="BQ382" s="222"/>
      <c r="BR382" s="222"/>
      <c r="BS382" s="222"/>
      <c r="BT382" s="222"/>
      <c r="BU382" s="222"/>
      <c r="BV382" s="222"/>
      <c r="BW382" s="222"/>
      <c r="BX382" s="222"/>
      <c r="BY382" s="222"/>
      <c r="BZ382" s="222"/>
      <c r="CA382" s="222"/>
      <c r="CB382" s="222"/>
      <c r="CC382" s="222"/>
      <c r="CD382" s="222"/>
      <c r="CE382" s="222"/>
      <c r="CF382" s="222"/>
      <c r="CG382" s="222"/>
      <c r="CH382" s="222"/>
      <c r="CI382" s="222"/>
      <c r="CJ382" s="222"/>
      <c r="CK382" s="222"/>
      <c r="CL382" s="222"/>
      <c r="CM382" s="222"/>
      <c r="CN382" s="14"/>
      <c r="CO382" s="14"/>
      <c r="CP382" s="14"/>
      <c r="CQ382" s="14"/>
      <c r="CR382" s="14"/>
      <c r="CS382" s="14"/>
      <c r="CT382" s="14"/>
      <c r="CU382" s="14"/>
    </row>
    <row r="383" spans="1:99" s="105" customFormat="1" x14ac:dyDescent="0.25">
      <c r="A383" s="262" t="s">
        <v>1977</v>
      </c>
      <c r="B383" s="262"/>
      <c r="C383" s="223" t="s">
        <v>1985</v>
      </c>
      <c r="D383" s="231" t="s">
        <v>54</v>
      </c>
      <c r="E383" s="222" t="s">
        <v>59</v>
      </c>
      <c r="F383" s="262"/>
      <c r="G383" s="403"/>
      <c r="H383" s="403"/>
      <c r="I383" s="403"/>
      <c r="J383" s="222"/>
      <c r="K383" s="222"/>
      <c r="L383" s="222"/>
      <c r="M383" s="222"/>
      <c r="N383" s="222"/>
      <c r="O383" s="222"/>
      <c r="P383" s="222"/>
      <c r="Q383" s="222"/>
      <c r="R383" s="222"/>
      <c r="S383" s="222"/>
      <c r="T383" s="222"/>
      <c r="U383" s="222"/>
      <c r="V383" s="222"/>
      <c r="W383" s="222"/>
      <c r="X383" s="222"/>
      <c r="Y383" s="222"/>
      <c r="Z383" s="222"/>
      <c r="AA383" s="222"/>
      <c r="AB383" s="222"/>
      <c r="AC383" s="222"/>
      <c r="AD383" s="222"/>
      <c r="AE383" s="222"/>
      <c r="AF383" s="222"/>
      <c r="AG383" s="222"/>
      <c r="AH383" s="222"/>
      <c r="AI383" s="222"/>
      <c r="AJ383" s="222"/>
      <c r="AK383" s="222"/>
      <c r="AL383" s="222"/>
      <c r="AM383" s="222"/>
      <c r="AN383" s="222"/>
      <c r="AO383" s="222"/>
      <c r="AP383" s="222"/>
      <c r="AQ383" s="222"/>
      <c r="AR383" s="222"/>
      <c r="AS383" s="222"/>
      <c r="AT383" s="222"/>
      <c r="AU383" s="222"/>
      <c r="AV383" s="222"/>
      <c r="AW383" s="222"/>
      <c r="AX383" s="222"/>
      <c r="AY383" s="222"/>
      <c r="AZ383" s="222"/>
      <c r="BA383" s="222"/>
      <c r="BB383" s="222"/>
      <c r="BC383" s="222"/>
      <c r="BD383" s="222"/>
      <c r="BE383" s="222"/>
      <c r="BF383" s="222"/>
      <c r="BG383" s="222"/>
      <c r="BH383" s="222"/>
      <c r="BI383" s="222"/>
      <c r="BJ383" s="222"/>
      <c r="BK383" s="118">
        <v>27.84</v>
      </c>
      <c r="BL383" s="222"/>
      <c r="BM383" s="222"/>
      <c r="BN383" s="222"/>
      <c r="BO383" s="222"/>
      <c r="BP383" s="222"/>
      <c r="BQ383" s="222"/>
      <c r="BR383" s="222"/>
      <c r="BS383" s="222"/>
      <c r="BT383" s="222"/>
      <c r="BU383" s="222"/>
      <c r="BV383" s="222"/>
      <c r="BW383" s="222"/>
      <c r="BX383" s="222"/>
      <c r="BY383" s="222"/>
      <c r="BZ383" s="222"/>
      <c r="CA383" s="222"/>
      <c r="CB383" s="222"/>
      <c r="CC383" s="222"/>
      <c r="CD383" s="222"/>
      <c r="CE383" s="222"/>
      <c r="CF383" s="222"/>
      <c r="CG383" s="222"/>
      <c r="CH383" s="222"/>
      <c r="CI383" s="222"/>
      <c r="CJ383" s="222"/>
      <c r="CK383" s="222"/>
      <c r="CL383" s="222"/>
      <c r="CM383" s="222"/>
      <c r="CN383" s="14"/>
      <c r="CO383" s="14"/>
      <c r="CP383" s="14"/>
      <c r="CQ383" s="14"/>
      <c r="CR383" s="14"/>
      <c r="CS383" s="14"/>
      <c r="CT383" s="14"/>
      <c r="CU383" s="14"/>
    </row>
    <row r="384" spans="1:99" s="105" customFormat="1" x14ac:dyDescent="0.25">
      <c r="A384" s="262" t="s">
        <v>1977</v>
      </c>
      <c r="B384" s="262"/>
      <c r="C384" s="223" t="s">
        <v>1986</v>
      </c>
      <c r="D384" s="231" t="s">
        <v>54</v>
      </c>
      <c r="E384" s="222" t="s">
        <v>59</v>
      </c>
      <c r="F384" s="262"/>
      <c r="G384" s="403"/>
      <c r="H384" s="403"/>
      <c r="I384" s="403"/>
      <c r="J384" s="222"/>
      <c r="K384" s="222"/>
      <c r="L384" s="222"/>
      <c r="M384" s="222"/>
      <c r="N384" s="222"/>
      <c r="O384" s="222"/>
      <c r="P384" s="222"/>
      <c r="Q384" s="222"/>
      <c r="R384" s="222"/>
      <c r="S384" s="222"/>
      <c r="T384" s="222"/>
      <c r="U384" s="222"/>
      <c r="V384" s="222"/>
      <c r="W384" s="222"/>
      <c r="X384" s="222"/>
      <c r="Y384" s="222"/>
      <c r="Z384" s="222"/>
      <c r="AA384" s="222"/>
      <c r="AB384" s="222"/>
      <c r="AC384" s="222"/>
      <c r="AD384" s="222"/>
      <c r="AE384" s="222"/>
      <c r="AF384" s="222"/>
      <c r="AG384" s="222"/>
      <c r="AH384" s="222"/>
      <c r="AI384" s="222"/>
      <c r="AJ384" s="222"/>
      <c r="AK384" s="222"/>
      <c r="AL384" s="222"/>
      <c r="AM384" s="222"/>
      <c r="AN384" s="222"/>
      <c r="AO384" s="222"/>
      <c r="AP384" s="222"/>
      <c r="AQ384" s="222"/>
      <c r="AR384" s="222"/>
      <c r="AS384" s="222"/>
      <c r="AT384" s="222"/>
      <c r="AU384" s="222"/>
      <c r="AV384" s="222"/>
      <c r="AW384" s="222"/>
      <c r="AX384" s="222"/>
      <c r="AY384" s="222"/>
      <c r="AZ384" s="222"/>
      <c r="BA384" s="222"/>
      <c r="BB384" s="222"/>
      <c r="BC384" s="222"/>
      <c r="BD384" s="222"/>
      <c r="BE384" s="222"/>
      <c r="BF384" s="222"/>
      <c r="BG384" s="222"/>
      <c r="BH384" s="222"/>
      <c r="BI384" s="222"/>
      <c r="BJ384" s="222"/>
      <c r="BK384" s="118">
        <v>40.369999999999997</v>
      </c>
      <c r="BL384" s="222"/>
      <c r="BM384" s="222"/>
      <c r="BN384" s="222"/>
      <c r="BO384" s="222"/>
      <c r="BP384" s="222"/>
      <c r="BQ384" s="222"/>
      <c r="BR384" s="222"/>
      <c r="BS384" s="222"/>
      <c r="BT384" s="222"/>
      <c r="BU384" s="222"/>
      <c r="BV384" s="222"/>
      <c r="BW384" s="222"/>
      <c r="BX384" s="222"/>
      <c r="BY384" s="222"/>
      <c r="BZ384" s="222"/>
      <c r="CA384" s="222"/>
      <c r="CB384" s="222"/>
      <c r="CC384" s="222"/>
      <c r="CD384" s="222"/>
      <c r="CE384" s="222"/>
      <c r="CF384" s="222"/>
      <c r="CG384" s="222"/>
      <c r="CH384" s="222"/>
      <c r="CI384" s="222"/>
      <c r="CJ384" s="222"/>
      <c r="CK384" s="222"/>
      <c r="CL384" s="222"/>
      <c r="CM384" s="222"/>
      <c r="CN384" s="14"/>
      <c r="CO384" s="14"/>
      <c r="CP384" s="14"/>
      <c r="CQ384" s="14"/>
      <c r="CR384" s="14"/>
      <c r="CS384" s="14"/>
      <c r="CT384" s="14"/>
      <c r="CU384" s="14"/>
    </row>
    <row r="385" spans="1:99" s="105" customFormat="1" x14ac:dyDescent="0.25">
      <c r="A385" s="262" t="s">
        <v>1977</v>
      </c>
      <c r="B385" s="262"/>
      <c r="C385" s="223" t="s">
        <v>1987</v>
      </c>
      <c r="D385" s="231" t="s">
        <v>54</v>
      </c>
      <c r="E385" s="222" t="s">
        <v>59</v>
      </c>
      <c r="F385" s="262"/>
      <c r="G385" s="403"/>
      <c r="H385" s="403"/>
      <c r="I385" s="403"/>
      <c r="J385" s="222"/>
      <c r="K385" s="222"/>
      <c r="L385" s="222"/>
      <c r="M385" s="222"/>
      <c r="N385" s="222"/>
      <c r="O385" s="222"/>
      <c r="P385" s="222"/>
      <c r="Q385" s="222"/>
      <c r="R385" s="222"/>
      <c r="S385" s="222"/>
      <c r="T385" s="222"/>
      <c r="U385" s="222"/>
      <c r="V385" s="222"/>
      <c r="W385" s="222"/>
      <c r="X385" s="222"/>
      <c r="Y385" s="222"/>
      <c r="Z385" s="222"/>
      <c r="AA385" s="222"/>
      <c r="AB385" s="222"/>
      <c r="AC385" s="222"/>
      <c r="AD385" s="222"/>
      <c r="AE385" s="222"/>
      <c r="AF385" s="222"/>
      <c r="AG385" s="222"/>
      <c r="AH385" s="222"/>
      <c r="AI385" s="222"/>
      <c r="AJ385" s="222"/>
      <c r="AK385" s="222"/>
      <c r="AL385" s="222"/>
      <c r="AM385" s="222"/>
      <c r="AN385" s="222"/>
      <c r="AO385" s="222"/>
      <c r="AP385" s="222"/>
      <c r="AQ385" s="222"/>
      <c r="AR385" s="222"/>
      <c r="AS385" s="222"/>
      <c r="AT385" s="222"/>
      <c r="AU385" s="222"/>
      <c r="AV385" s="222"/>
      <c r="AW385" s="222"/>
      <c r="AX385" s="222"/>
      <c r="AY385" s="222"/>
      <c r="AZ385" s="222"/>
      <c r="BA385" s="222"/>
      <c r="BB385" s="222"/>
      <c r="BC385" s="222"/>
      <c r="BD385" s="222"/>
      <c r="BE385" s="222"/>
      <c r="BF385" s="222"/>
      <c r="BG385" s="222"/>
      <c r="BH385" s="222"/>
      <c r="BI385" s="222"/>
      <c r="BJ385" s="222"/>
      <c r="BK385" s="118">
        <v>49.43</v>
      </c>
      <c r="BL385" s="222"/>
      <c r="BM385" s="222"/>
      <c r="BN385" s="222"/>
      <c r="BO385" s="222"/>
      <c r="BP385" s="222"/>
      <c r="BQ385" s="222"/>
      <c r="BR385" s="222"/>
      <c r="BS385" s="222"/>
      <c r="BT385" s="222"/>
      <c r="BU385" s="222"/>
      <c r="BV385" s="222"/>
      <c r="BW385" s="222"/>
      <c r="BX385" s="222"/>
      <c r="BY385" s="222"/>
      <c r="BZ385" s="222"/>
      <c r="CA385" s="222"/>
      <c r="CB385" s="222"/>
      <c r="CC385" s="222"/>
      <c r="CD385" s="222"/>
      <c r="CE385" s="222"/>
      <c r="CF385" s="222"/>
      <c r="CG385" s="222"/>
      <c r="CH385" s="222"/>
      <c r="CI385" s="222"/>
      <c r="CJ385" s="222"/>
      <c r="CK385" s="222"/>
      <c r="CL385" s="222"/>
      <c r="CM385" s="222"/>
      <c r="CN385" s="14"/>
      <c r="CO385" s="14"/>
      <c r="CP385" s="14"/>
      <c r="CQ385" s="14"/>
      <c r="CR385" s="14"/>
      <c r="CS385" s="14"/>
      <c r="CT385" s="14"/>
      <c r="CU385" s="14"/>
    </row>
    <row r="386" spans="1:99" s="105" customFormat="1" x14ac:dyDescent="0.25">
      <c r="A386" s="262" t="s">
        <v>1977</v>
      </c>
      <c r="B386" s="262"/>
      <c r="C386" s="271" t="s">
        <v>1988</v>
      </c>
      <c r="D386" s="231" t="s">
        <v>54</v>
      </c>
      <c r="E386" s="222" t="s">
        <v>59</v>
      </c>
      <c r="F386" s="262"/>
      <c r="G386" s="403"/>
      <c r="H386" s="403"/>
      <c r="I386" s="403"/>
      <c r="J386" s="222"/>
      <c r="K386" s="222"/>
      <c r="L386" s="222"/>
      <c r="M386" s="222"/>
      <c r="N386" s="222"/>
      <c r="O386" s="222"/>
      <c r="P386" s="222"/>
      <c r="Q386" s="222"/>
      <c r="R386" s="222"/>
      <c r="S386" s="222"/>
      <c r="T386" s="222"/>
      <c r="U386" s="222"/>
      <c r="V386" s="222"/>
      <c r="W386" s="222"/>
      <c r="X386" s="222"/>
      <c r="Y386" s="222"/>
      <c r="Z386" s="222"/>
      <c r="AA386" s="222"/>
      <c r="AB386" s="222"/>
      <c r="AC386" s="222"/>
      <c r="AD386" s="222"/>
      <c r="AE386" s="222"/>
      <c r="AF386" s="222"/>
      <c r="AG386" s="222"/>
      <c r="AH386" s="222"/>
      <c r="AI386" s="222"/>
      <c r="AJ386" s="222"/>
      <c r="AK386" s="222"/>
      <c r="AL386" s="222"/>
      <c r="AM386" s="222"/>
      <c r="AN386" s="222"/>
      <c r="AO386" s="222"/>
      <c r="AP386" s="222"/>
      <c r="AQ386" s="222"/>
      <c r="AR386" s="222"/>
      <c r="AS386" s="222"/>
      <c r="AT386" s="222"/>
      <c r="AU386" s="222"/>
      <c r="AV386" s="222"/>
      <c r="AW386" s="222"/>
      <c r="AX386" s="222"/>
      <c r="AY386" s="222"/>
      <c r="AZ386" s="222"/>
      <c r="BA386" s="222"/>
      <c r="BB386" s="222"/>
      <c r="BC386" s="222"/>
      <c r="BD386" s="222"/>
      <c r="BE386" s="222"/>
      <c r="BF386" s="222"/>
      <c r="BG386" s="222"/>
      <c r="BH386" s="222"/>
      <c r="BI386" s="222"/>
      <c r="BJ386" s="222"/>
      <c r="BK386" s="118">
        <v>35.75</v>
      </c>
      <c r="BL386" s="222"/>
      <c r="BM386" s="222"/>
      <c r="BN386" s="222"/>
      <c r="BO386" s="222"/>
      <c r="BP386" s="222"/>
      <c r="BQ386" s="222"/>
      <c r="BR386" s="222"/>
      <c r="BS386" s="222"/>
      <c r="BT386" s="222"/>
      <c r="BU386" s="222"/>
      <c r="BV386" s="222"/>
      <c r="BW386" s="222"/>
      <c r="BX386" s="222"/>
      <c r="BY386" s="222"/>
      <c r="BZ386" s="222"/>
      <c r="CA386" s="222"/>
      <c r="CB386" s="222"/>
      <c r="CC386" s="222"/>
      <c r="CD386" s="222"/>
      <c r="CE386" s="222"/>
      <c r="CF386" s="222"/>
      <c r="CG386" s="222"/>
      <c r="CH386" s="222"/>
      <c r="CI386" s="222"/>
      <c r="CJ386" s="222"/>
      <c r="CK386" s="222"/>
      <c r="CL386" s="222"/>
      <c r="CM386" s="222"/>
      <c r="CN386" s="14"/>
      <c r="CO386" s="14"/>
      <c r="CP386" s="14"/>
      <c r="CQ386" s="14"/>
      <c r="CR386" s="14"/>
      <c r="CS386" s="14"/>
      <c r="CT386" s="14"/>
      <c r="CU386" s="14"/>
    </row>
    <row r="387" spans="1:99" s="105" customFormat="1" x14ac:dyDescent="0.25">
      <c r="A387" s="262" t="s">
        <v>1977</v>
      </c>
      <c r="B387" s="262"/>
      <c r="C387" s="271" t="s">
        <v>1989</v>
      </c>
      <c r="D387" s="231" t="s">
        <v>54</v>
      </c>
      <c r="E387" s="222" t="s">
        <v>59</v>
      </c>
      <c r="F387" s="262"/>
      <c r="G387" s="403"/>
      <c r="H387" s="403"/>
      <c r="I387" s="403"/>
      <c r="J387" s="222"/>
      <c r="K387" s="222"/>
      <c r="L387" s="222"/>
      <c r="M387" s="222"/>
      <c r="N387" s="222"/>
      <c r="O387" s="222"/>
      <c r="P387" s="222"/>
      <c r="Q387" s="222"/>
      <c r="R387" s="222"/>
      <c r="S387" s="222"/>
      <c r="T387" s="222"/>
      <c r="U387" s="222"/>
      <c r="V387" s="222"/>
      <c r="W387" s="222"/>
      <c r="X387" s="222"/>
      <c r="Y387" s="222"/>
      <c r="Z387" s="222"/>
      <c r="AA387" s="222"/>
      <c r="AB387" s="222"/>
      <c r="AC387" s="222"/>
      <c r="AD387" s="222"/>
      <c r="AE387" s="222"/>
      <c r="AF387" s="222"/>
      <c r="AG387" s="222"/>
      <c r="AH387" s="222"/>
      <c r="AI387" s="222"/>
      <c r="AJ387" s="222"/>
      <c r="AK387" s="222"/>
      <c r="AL387" s="222"/>
      <c r="AM387" s="222"/>
      <c r="AN387" s="222"/>
      <c r="AO387" s="222"/>
      <c r="AP387" s="222"/>
      <c r="AQ387" s="222"/>
      <c r="AR387" s="222"/>
      <c r="AS387" s="222"/>
      <c r="AT387" s="222"/>
      <c r="AU387" s="222"/>
      <c r="AV387" s="222"/>
      <c r="AW387" s="222"/>
      <c r="AX387" s="222"/>
      <c r="AY387" s="222"/>
      <c r="AZ387" s="222"/>
      <c r="BA387" s="222"/>
      <c r="BB387" s="222"/>
      <c r="BC387" s="222"/>
      <c r="BD387" s="222"/>
      <c r="BE387" s="222"/>
      <c r="BF387" s="222"/>
      <c r="BG387" s="222"/>
      <c r="BH387" s="222"/>
      <c r="BI387" s="222"/>
      <c r="BJ387" s="222"/>
      <c r="BK387" s="118">
        <v>35.83</v>
      </c>
      <c r="BL387" s="222"/>
      <c r="BM387" s="222"/>
      <c r="BN387" s="222"/>
      <c r="BO387" s="222"/>
      <c r="BP387" s="222"/>
      <c r="BQ387" s="222"/>
      <c r="BR387" s="222"/>
      <c r="BS387" s="222"/>
      <c r="BT387" s="222"/>
      <c r="BU387" s="222"/>
      <c r="BV387" s="222"/>
      <c r="BW387" s="222"/>
      <c r="BX387" s="222"/>
      <c r="BY387" s="222"/>
      <c r="BZ387" s="222"/>
      <c r="CA387" s="222"/>
      <c r="CB387" s="222"/>
      <c r="CC387" s="222"/>
      <c r="CD387" s="222"/>
      <c r="CE387" s="222"/>
      <c r="CF387" s="222"/>
      <c r="CG387" s="222"/>
      <c r="CH387" s="222"/>
      <c r="CI387" s="222"/>
      <c r="CJ387" s="222"/>
      <c r="CK387" s="222"/>
      <c r="CL387" s="222"/>
      <c r="CM387" s="222"/>
      <c r="CN387" s="14"/>
      <c r="CO387" s="14"/>
      <c r="CP387" s="14"/>
      <c r="CQ387" s="14"/>
      <c r="CR387" s="14"/>
      <c r="CS387" s="14"/>
      <c r="CT387" s="14"/>
      <c r="CU387" s="14"/>
    </row>
    <row r="388" spans="1:99" s="105" customFormat="1" x14ac:dyDescent="0.25">
      <c r="A388" s="262" t="s">
        <v>1977</v>
      </c>
      <c r="B388" s="262"/>
      <c r="C388" s="226" t="s">
        <v>1134</v>
      </c>
      <c r="D388" s="231" t="s">
        <v>54</v>
      </c>
      <c r="E388" s="222" t="s">
        <v>1990</v>
      </c>
      <c r="F388" s="262"/>
      <c r="G388" s="403"/>
      <c r="H388" s="403"/>
      <c r="I388" s="403"/>
      <c r="J388" s="222"/>
      <c r="K388" s="222"/>
      <c r="L388" s="222"/>
      <c r="M388" s="222"/>
      <c r="N388" s="222"/>
      <c r="O388" s="222"/>
      <c r="P388" s="222"/>
      <c r="Q388" s="222"/>
      <c r="R388" s="222"/>
      <c r="S388" s="222"/>
      <c r="T388" s="222"/>
      <c r="U388" s="222"/>
      <c r="V388" s="222"/>
      <c r="W388" s="222"/>
      <c r="X388" s="222"/>
      <c r="Y388" s="222"/>
      <c r="Z388" s="222"/>
      <c r="AA388" s="222"/>
      <c r="AB388" s="222"/>
      <c r="AC388" s="222"/>
      <c r="AD388" s="222"/>
      <c r="AE388" s="222"/>
      <c r="AF388" s="222"/>
      <c r="AG388" s="222"/>
      <c r="AH388" s="222"/>
      <c r="AI388" s="222"/>
      <c r="AJ388" s="222"/>
      <c r="AK388" s="222"/>
      <c r="AL388" s="222"/>
      <c r="AM388" s="222"/>
      <c r="AN388" s="222"/>
      <c r="AO388" s="222"/>
      <c r="AP388" s="222"/>
      <c r="AQ388" s="222"/>
      <c r="AR388" s="222"/>
      <c r="AS388" s="222"/>
      <c r="AT388" s="222"/>
      <c r="AU388" s="222"/>
      <c r="AV388" s="222"/>
      <c r="AW388" s="222"/>
      <c r="AX388" s="222"/>
      <c r="AY388" s="222"/>
      <c r="AZ388" s="222"/>
      <c r="BA388" s="222"/>
      <c r="BB388" s="222"/>
      <c r="BC388" s="222"/>
      <c r="BD388" s="222"/>
      <c r="BE388" s="222"/>
      <c r="BF388" s="222"/>
      <c r="BG388" s="222"/>
      <c r="BH388" s="222"/>
      <c r="BI388" s="222"/>
      <c r="BJ388" s="222"/>
      <c r="BK388" s="118">
        <v>89.43</v>
      </c>
      <c r="BL388" s="222"/>
      <c r="BM388" s="222"/>
      <c r="BN388" s="222"/>
      <c r="BO388" s="222"/>
      <c r="BP388" s="222"/>
      <c r="BQ388" s="222"/>
      <c r="BR388" s="222"/>
      <c r="BS388" s="222"/>
      <c r="BT388" s="222"/>
      <c r="BU388" s="222"/>
      <c r="BV388" s="222"/>
      <c r="BW388" s="222"/>
      <c r="BX388" s="222"/>
      <c r="BY388" s="222"/>
      <c r="BZ388" s="222"/>
      <c r="CA388" s="222"/>
      <c r="CB388" s="222"/>
      <c r="CC388" s="222"/>
      <c r="CD388" s="222"/>
      <c r="CE388" s="222"/>
      <c r="CF388" s="222"/>
      <c r="CG388" s="222"/>
      <c r="CH388" s="222"/>
      <c r="CI388" s="222"/>
      <c r="CJ388" s="222"/>
      <c r="CK388" s="222"/>
      <c r="CL388" s="222"/>
      <c r="CM388" s="222"/>
      <c r="CN388" s="14"/>
      <c r="CO388" s="14"/>
      <c r="CP388" s="14"/>
      <c r="CQ388" s="14"/>
      <c r="CR388" s="14"/>
      <c r="CS388" s="14"/>
      <c r="CT388" s="14"/>
      <c r="CU388" s="14"/>
    </row>
    <row r="389" spans="1:99" s="105" customFormat="1" x14ac:dyDescent="0.25">
      <c r="A389" s="262" t="s">
        <v>1977</v>
      </c>
      <c r="B389" s="262"/>
      <c r="C389" s="271" t="s">
        <v>1991</v>
      </c>
      <c r="D389" s="231" t="s">
        <v>54</v>
      </c>
      <c r="E389" s="222" t="s">
        <v>1990</v>
      </c>
      <c r="F389" s="262"/>
      <c r="G389" s="403"/>
      <c r="H389" s="403"/>
      <c r="I389" s="403"/>
      <c r="J389" s="222"/>
      <c r="K389" s="222"/>
      <c r="L389" s="222"/>
      <c r="M389" s="222"/>
      <c r="N389" s="222"/>
      <c r="O389" s="222"/>
      <c r="P389" s="222"/>
      <c r="Q389" s="222"/>
      <c r="R389" s="222"/>
      <c r="S389" s="222"/>
      <c r="T389" s="222"/>
      <c r="U389" s="222"/>
      <c r="V389" s="222"/>
      <c r="W389" s="222"/>
      <c r="X389" s="222"/>
      <c r="Y389" s="222"/>
      <c r="Z389" s="222"/>
      <c r="AA389" s="222"/>
      <c r="AB389" s="222"/>
      <c r="AC389" s="222"/>
      <c r="AD389" s="222"/>
      <c r="AE389" s="222"/>
      <c r="AF389" s="222"/>
      <c r="AG389" s="222"/>
      <c r="AH389" s="222"/>
      <c r="AI389" s="222"/>
      <c r="AJ389" s="222"/>
      <c r="AK389" s="222"/>
      <c r="AL389" s="222"/>
      <c r="AM389" s="222"/>
      <c r="AN389" s="222"/>
      <c r="AO389" s="222"/>
      <c r="AP389" s="222"/>
      <c r="AQ389" s="222"/>
      <c r="AR389" s="222"/>
      <c r="AS389" s="222"/>
      <c r="AT389" s="222"/>
      <c r="AU389" s="222"/>
      <c r="AV389" s="222"/>
      <c r="AW389" s="222"/>
      <c r="AX389" s="222"/>
      <c r="AY389" s="222"/>
      <c r="AZ389" s="222"/>
      <c r="BA389" s="222"/>
      <c r="BB389" s="222"/>
      <c r="BC389" s="222"/>
      <c r="BD389" s="222"/>
      <c r="BE389" s="222"/>
      <c r="BF389" s="222"/>
      <c r="BG389" s="222"/>
      <c r="BH389" s="222"/>
      <c r="BI389" s="222"/>
      <c r="BJ389" s="222"/>
      <c r="BK389" s="118">
        <v>29.67</v>
      </c>
      <c r="BL389" s="222"/>
      <c r="BM389" s="222"/>
      <c r="BN389" s="222"/>
      <c r="BO389" s="222"/>
      <c r="BP389" s="222"/>
      <c r="BQ389" s="222"/>
      <c r="BR389" s="222"/>
      <c r="BS389" s="222"/>
      <c r="BT389" s="222"/>
      <c r="BU389" s="222"/>
      <c r="BV389" s="222"/>
      <c r="BW389" s="222"/>
      <c r="BX389" s="222"/>
      <c r="BY389" s="222"/>
      <c r="BZ389" s="222"/>
      <c r="CA389" s="222"/>
      <c r="CB389" s="222"/>
      <c r="CC389" s="222"/>
      <c r="CD389" s="222"/>
      <c r="CE389" s="222"/>
      <c r="CF389" s="222"/>
      <c r="CG389" s="222"/>
      <c r="CH389" s="222"/>
      <c r="CI389" s="222"/>
      <c r="CJ389" s="222"/>
      <c r="CK389" s="222"/>
      <c r="CL389" s="222"/>
      <c r="CM389" s="222"/>
      <c r="CN389" s="14"/>
      <c r="CO389" s="14"/>
      <c r="CP389" s="14"/>
      <c r="CQ389" s="14"/>
      <c r="CR389" s="14"/>
      <c r="CS389" s="14"/>
      <c r="CT389" s="14"/>
      <c r="CU389" s="14"/>
    </row>
    <row r="390" spans="1:99" x14ac:dyDescent="0.25">
      <c r="A390" s="262" t="s">
        <v>1977</v>
      </c>
      <c r="B390" s="262"/>
      <c r="C390" s="271" t="s">
        <v>1992</v>
      </c>
      <c r="D390" s="231" t="s">
        <v>54</v>
      </c>
      <c r="E390" s="222" t="s">
        <v>1990</v>
      </c>
      <c r="F390" s="262"/>
      <c r="G390" s="403"/>
      <c r="H390" s="403"/>
      <c r="I390" s="403"/>
      <c r="J390" s="222"/>
      <c r="K390" s="222"/>
      <c r="L390" s="222"/>
      <c r="M390" s="222"/>
      <c r="N390" s="222"/>
      <c r="O390" s="222"/>
      <c r="P390" s="222"/>
      <c r="Q390" s="222"/>
      <c r="R390" s="222"/>
      <c r="S390" s="222"/>
      <c r="T390" s="222"/>
      <c r="U390" s="222"/>
      <c r="V390" s="222"/>
      <c r="W390" s="222"/>
      <c r="X390" s="222"/>
      <c r="Y390" s="222"/>
      <c r="Z390" s="222"/>
      <c r="AA390" s="222"/>
      <c r="AB390" s="222"/>
      <c r="AC390" s="222"/>
      <c r="AD390" s="222"/>
      <c r="AE390" s="222"/>
      <c r="AF390" s="222"/>
      <c r="AG390" s="222"/>
      <c r="AH390" s="222"/>
      <c r="AI390" s="222"/>
      <c r="AJ390" s="222"/>
      <c r="AK390" s="222"/>
      <c r="AL390" s="222"/>
      <c r="AM390" s="222"/>
      <c r="AN390" s="222"/>
      <c r="AO390" s="222"/>
      <c r="AP390" s="222"/>
      <c r="AQ390" s="222"/>
      <c r="AR390" s="222"/>
      <c r="AS390" s="222"/>
      <c r="AT390" s="222"/>
      <c r="AU390" s="222"/>
      <c r="AV390" s="222"/>
      <c r="AW390" s="222"/>
      <c r="AX390" s="222"/>
      <c r="AY390" s="222"/>
      <c r="AZ390" s="222"/>
      <c r="BA390" s="222"/>
      <c r="BB390" s="222"/>
      <c r="BC390" s="222"/>
      <c r="BD390" s="222"/>
      <c r="BE390" s="222"/>
      <c r="BF390" s="222"/>
      <c r="BG390" s="222"/>
      <c r="BH390" s="222"/>
      <c r="BI390" s="222"/>
      <c r="BJ390" s="222"/>
      <c r="BK390" s="118">
        <v>71.72</v>
      </c>
      <c r="BL390" s="222"/>
      <c r="BM390" s="222"/>
      <c r="BN390" s="222"/>
      <c r="BO390" s="222"/>
      <c r="BP390" s="222"/>
      <c r="BQ390" s="222"/>
      <c r="BR390" s="222"/>
      <c r="BS390" s="222"/>
      <c r="BT390" s="222"/>
      <c r="BU390" s="222"/>
      <c r="BV390" s="222"/>
      <c r="BW390" s="222"/>
      <c r="BX390" s="222"/>
      <c r="BY390" s="222"/>
      <c r="BZ390" s="222"/>
      <c r="CA390" s="222"/>
      <c r="CB390" s="222"/>
      <c r="CC390" s="222"/>
      <c r="CD390" s="222"/>
      <c r="CE390" s="222"/>
      <c r="CF390" s="222"/>
      <c r="CG390" s="222"/>
      <c r="CH390" s="222"/>
      <c r="CI390" s="222"/>
      <c r="CJ390" s="222"/>
      <c r="CK390" s="222"/>
      <c r="CL390" s="222"/>
      <c r="CM390" s="222"/>
    </row>
    <row r="391" spans="1:99" x14ac:dyDescent="0.25">
      <c r="A391" s="262" t="s">
        <v>1977</v>
      </c>
      <c r="B391" s="262"/>
      <c r="C391" s="223" t="s">
        <v>1993</v>
      </c>
      <c r="D391" s="231" t="s">
        <v>54</v>
      </c>
      <c r="E391" s="222" t="s">
        <v>1994</v>
      </c>
      <c r="F391" s="262"/>
      <c r="G391" s="403"/>
      <c r="H391" s="403"/>
      <c r="I391" s="403"/>
      <c r="J391" s="222"/>
      <c r="K391" s="222"/>
      <c r="L391" s="222"/>
      <c r="M391" s="222"/>
      <c r="N391" s="222"/>
      <c r="O391" s="222"/>
      <c r="P391" s="222"/>
      <c r="Q391" s="222"/>
      <c r="R391" s="222"/>
      <c r="S391" s="222"/>
      <c r="T391" s="222"/>
      <c r="U391" s="222"/>
      <c r="V391" s="222"/>
      <c r="W391" s="222"/>
      <c r="X391" s="222"/>
      <c r="Y391" s="222"/>
      <c r="Z391" s="222"/>
      <c r="AA391" s="222"/>
      <c r="AB391" s="222"/>
      <c r="AC391" s="222"/>
      <c r="AD391" s="222"/>
      <c r="AE391" s="222"/>
      <c r="AF391" s="222"/>
      <c r="AG391" s="222"/>
      <c r="AH391" s="222"/>
      <c r="AI391" s="222"/>
      <c r="AJ391" s="222"/>
      <c r="AK391" s="222"/>
      <c r="AL391" s="222"/>
      <c r="AM391" s="222"/>
      <c r="AN391" s="222"/>
      <c r="AO391" s="222"/>
      <c r="AP391" s="222"/>
      <c r="AQ391" s="222"/>
      <c r="AR391" s="222"/>
      <c r="AS391" s="222"/>
      <c r="AT391" s="222"/>
      <c r="AU391" s="222"/>
      <c r="AV391" s="222"/>
      <c r="AW391" s="222"/>
      <c r="AX391" s="222"/>
      <c r="AY391" s="222"/>
      <c r="AZ391" s="222"/>
      <c r="BA391" s="222"/>
      <c r="BB391" s="222"/>
      <c r="BC391" s="222"/>
      <c r="BD391" s="222"/>
      <c r="BE391" s="222"/>
      <c r="BF391" s="222"/>
      <c r="BG391" s="222"/>
      <c r="BH391" s="222"/>
      <c r="BI391" s="222"/>
      <c r="BJ391" s="222"/>
      <c r="BK391" s="118">
        <v>35.67</v>
      </c>
      <c r="BL391" s="222"/>
      <c r="BM391" s="222"/>
      <c r="BN391" s="222"/>
      <c r="BO391" s="222"/>
      <c r="BP391" s="222"/>
      <c r="BQ391" s="222"/>
      <c r="BR391" s="222"/>
      <c r="BS391" s="222"/>
      <c r="BT391" s="222"/>
      <c r="BU391" s="222"/>
      <c r="BV391" s="222"/>
      <c r="BW391" s="222"/>
      <c r="BX391" s="222"/>
      <c r="BY391" s="222"/>
      <c r="BZ391" s="222"/>
      <c r="CA391" s="222"/>
      <c r="CB391" s="222"/>
      <c r="CC391" s="222"/>
      <c r="CD391" s="222"/>
      <c r="CE391" s="222"/>
      <c r="CF391" s="222"/>
      <c r="CG391" s="222"/>
      <c r="CH391" s="222"/>
      <c r="CI391" s="222"/>
      <c r="CJ391" s="222"/>
      <c r="CK391" s="222"/>
      <c r="CL391" s="222"/>
      <c r="CM391" s="222"/>
    </row>
  </sheetData>
  <mergeCells count="104">
    <mergeCell ref="BT344:BX344"/>
    <mergeCell ref="BT345:BX345"/>
    <mergeCell ref="BT346:BX346"/>
    <mergeCell ref="BT333:BX333"/>
    <mergeCell ref="BT334:BX334"/>
    <mergeCell ref="BT340:BX340"/>
    <mergeCell ref="BT341:BX341"/>
    <mergeCell ref="BT342:BX342"/>
    <mergeCell ref="BT343:BX343"/>
    <mergeCell ref="BT332:BX332"/>
    <mergeCell ref="BT304:BX304"/>
    <mergeCell ref="BT305:BX305"/>
    <mergeCell ref="BT306:BX306"/>
    <mergeCell ref="BT307:BX307"/>
    <mergeCell ref="BT308:BX308"/>
    <mergeCell ref="BT313:BX313"/>
    <mergeCell ref="BT314:BX314"/>
    <mergeCell ref="BT317:BX317"/>
    <mergeCell ref="BT321:BX321"/>
    <mergeCell ref="BT330:BX330"/>
    <mergeCell ref="BT331:BX331"/>
    <mergeCell ref="BT300:BX300"/>
    <mergeCell ref="BT263:BX263"/>
    <mergeCell ref="BT264:BX264"/>
    <mergeCell ref="BT265:BX265"/>
    <mergeCell ref="BT280:BX280"/>
    <mergeCell ref="BT286:BX286"/>
    <mergeCell ref="BT289:BX289"/>
    <mergeCell ref="BT290:BX290"/>
    <mergeCell ref="BT291:BX291"/>
    <mergeCell ref="BT292:BX292"/>
    <mergeCell ref="BT293:BX293"/>
    <mergeCell ref="BT295:BX295"/>
    <mergeCell ref="BT262:BX262"/>
    <mergeCell ref="BT242:BX242"/>
    <mergeCell ref="BT243:BX243"/>
    <mergeCell ref="BT246:BX246"/>
    <mergeCell ref="BT247:BX247"/>
    <mergeCell ref="BT248:BX248"/>
    <mergeCell ref="BT249:BX249"/>
    <mergeCell ref="BT256:BX256"/>
    <mergeCell ref="BT258:BX258"/>
    <mergeCell ref="BT259:BX259"/>
    <mergeCell ref="BT260:BX260"/>
    <mergeCell ref="BT261:BX261"/>
    <mergeCell ref="BT241:BX241"/>
    <mergeCell ref="BT225:BX225"/>
    <mergeCell ref="BT226:BX226"/>
    <mergeCell ref="BT227:BX227"/>
    <mergeCell ref="BT228:BX228"/>
    <mergeCell ref="BT229:BX229"/>
    <mergeCell ref="BT230:BX230"/>
    <mergeCell ref="BT231:BX231"/>
    <mergeCell ref="BT233:BW233"/>
    <mergeCell ref="BT238:BX238"/>
    <mergeCell ref="BT239:BX239"/>
    <mergeCell ref="BT240:BX240"/>
    <mergeCell ref="BT222:BX222"/>
    <mergeCell ref="BY173:CC173"/>
    <mergeCell ref="BT182:BX182"/>
    <mergeCell ref="BT196:BX196"/>
    <mergeCell ref="BT198:BX198"/>
    <mergeCell ref="BT204:BX204"/>
    <mergeCell ref="BT205:BX205"/>
    <mergeCell ref="BT206:BX206"/>
    <mergeCell ref="BT207:BX207"/>
    <mergeCell ref="BT208:BX208"/>
    <mergeCell ref="BT212:BX212"/>
    <mergeCell ref="BT217:BX217"/>
    <mergeCell ref="A4:F4"/>
    <mergeCell ref="AN4:BJ4"/>
    <mergeCell ref="BL4:BM4"/>
    <mergeCell ref="BN4:BS4"/>
    <mergeCell ref="BT71:BX71"/>
    <mergeCell ref="BT72:BX72"/>
    <mergeCell ref="BT73:BX73"/>
    <mergeCell ref="BT74:BX74"/>
    <mergeCell ref="BT69:BX69"/>
    <mergeCell ref="BT70:BX70"/>
    <mergeCell ref="BT67:BX67"/>
    <mergeCell ref="BT65:BX65"/>
    <mergeCell ref="BT63:BX63"/>
    <mergeCell ref="J4:AM4"/>
    <mergeCell ref="BT82:BX82"/>
    <mergeCell ref="CD4:CM4"/>
    <mergeCell ref="BY159:CC159"/>
    <mergeCell ref="BT4:BX4"/>
    <mergeCell ref="BY4:CC4"/>
    <mergeCell ref="BT116:BX116"/>
    <mergeCell ref="BY140:CC140"/>
    <mergeCell ref="BY141:CC141"/>
    <mergeCell ref="BY142:CC142"/>
    <mergeCell ref="BT86:BX86"/>
    <mergeCell ref="BT87:BX87"/>
    <mergeCell ref="BT88:BX88"/>
    <mergeCell ref="BT83:BX83"/>
    <mergeCell ref="BT84:BX84"/>
    <mergeCell ref="BT78:BX78"/>
    <mergeCell ref="BT79:BX79"/>
    <mergeCell ref="BT80:BX80"/>
    <mergeCell ref="BT81:BX81"/>
    <mergeCell ref="BT75:BX75"/>
    <mergeCell ref="BT76:BX76"/>
    <mergeCell ref="BT40:BX40"/>
  </mergeCells>
  <pageMargins left="0.25" right="0.25" top="0.5" bottom="0.75" header="0.25" footer="0.25"/>
  <pageSetup paperSize="17" scale="90" orientation="landscape" r:id="rId1"/>
  <headerFooter>
    <oddFooter>&amp;F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9B5F6-3A22-4487-B0A3-D5C79D5BDACE}">
  <sheetPr>
    <tabColor rgb="FFFF0000"/>
    <pageSetUpPr fitToPage="1"/>
  </sheetPr>
  <dimension ref="A1:CM1086"/>
  <sheetViews>
    <sheetView showGridLines="0" zoomScaleNormal="100" workbookViewId="0">
      <pane xSplit="1" ySplit="7" topLeftCell="C1077" activePane="bottomRight" state="frozen"/>
      <selection pane="topRight" activeCell="B1" sqref="B1"/>
      <selection pane="bottomLeft" activeCell="A8" sqref="A8"/>
      <selection pane="bottomRight" activeCell="G1066" sqref="G1066:G1067"/>
    </sheetView>
  </sheetViews>
  <sheetFormatPr defaultColWidth="9.140625" defaultRowHeight="15" x14ac:dyDescent="0.25"/>
  <cols>
    <col min="1" max="1" width="14.7109375" style="4" hidden="1" customWidth="1"/>
    <col min="2" max="2" width="10.28515625" style="4" hidden="1" customWidth="1"/>
    <col min="3" max="3" width="14.7109375" style="408" customWidth="1"/>
    <col min="4" max="4" width="8.7109375" style="14" customWidth="1"/>
    <col min="5" max="5" width="49" style="4" customWidth="1"/>
    <col min="6" max="6" width="55.5703125" style="11" bestFit="1" customWidth="1"/>
    <col min="7" max="7" width="21" style="4" customWidth="1"/>
    <col min="8" max="8" width="14.140625" style="4" customWidth="1"/>
    <col min="9" max="9" width="13.42578125" style="4" customWidth="1"/>
    <col min="10" max="10" width="13.28515625" style="4" customWidth="1"/>
    <col min="11" max="11" width="13.42578125" style="4" customWidth="1"/>
    <col min="12" max="12" width="15.42578125" style="4" customWidth="1"/>
    <col min="13" max="13" width="12" style="4" customWidth="1"/>
    <col min="14" max="14" width="10.28515625" style="4" customWidth="1"/>
    <col min="15" max="15" width="11" style="4" customWidth="1"/>
    <col min="16" max="16" width="10.7109375" style="4" customWidth="1"/>
    <col min="17" max="17" width="12.7109375" style="4" customWidth="1"/>
    <col min="18" max="18" width="11" style="4" customWidth="1"/>
    <col min="19" max="19" width="9.7109375" style="4" customWidth="1"/>
    <col min="20" max="20" width="7.140625" style="4" customWidth="1"/>
    <col min="21" max="21" width="11.28515625" style="4" customWidth="1"/>
    <col min="22" max="22" width="9.42578125" style="4" customWidth="1"/>
    <col min="23" max="23" width="10.5703125" style="4" customWidth="1"/>
    <col min="24" max="25" width="8.42578125" style="4" customWidth="1"/>
    <col min="26" max="26" width="12.5703125" style="4" customWidth="1"/>
    <col min="27" max="27" width="7.7109375" style="4" customWidth="1"/>
    <col min="28" max="28" width="19.85546875" style="4" customWidth="1"/>
    <col min="29" max="29" width="10.28515625" style="4" customWidth="1"/>
    <col min="30" max="30" width="15.5703125" style="4" customWidth="1"/>
    <col min="31" max="32" width="10.5703125" style="4" customWidth="1"/>
    <col min="33" max="33" width="8" style="4" customWidth="1"/>
    <col min="34" max="35" width="9.28515625" style="4" customWidth="1"/>
    <col min="36" max="37" width="14.140625" style="4" customWidth="1"/>
    <col min="38" max="38" width="10.28515625" style="4" customWidth="1"/>
    <col min="39" max="39" width="9" style="4" customWidth="1"/>
    <col min="40" max="40" width="8.28515625" style="4" customWidth="1"/>
    <col min="41" max="41" width="9.42578125" style="4" customWidth="1"/>
    <col min="42" max="42" width="13.42578125" style="4" customWidth="1"/>
    <col min="43" max="43" width="15.140625" style="4" customWidth="1"/>
    <col min="44" max="44" width="7" style="4" customWidth="1"/>
    <col min="45" max="45" width="6.5703125" style="4" customWidth="1"/>
    <col min="46" max="46" width="6.85546875" style="4" customWidth="1"/>
    <col min="47" max="47" width="5.5703125" style="4" customWidth="1"/>
    <col min="48" max="48" width="6.85546875" style="4" customWidth="1"/>
    <col min="49" max="49" width="4.5703125" style="4" customWidth="1"/>
    <col min="50" max="50" width="7" style="4" customWidth="1"/>
    <col min="51" max="51" width="6.5703125" style="4" customWidth="1"/>
    <col min="52" max="52" width="6.85546875" style="4" customWidth="1"/>
    <col min="53" max="53" width="5.5703125" style="4" customWidth="1"/>
    <col min="54" max="54" width="7.5703125" style="4" customWidth="1"/>
    <col min="55" max="55" width="7" style="4" customWidth="1"/>
    <col min="56" max="56" width="6.5703125" style="4" customWidth="1"/>
    <col min="57" max="57" width="6.85546875" style="4" customWidth="1"/>
    <col min="58" max="58" width="5.5703125" style="4" customWidth="1"/>
    <col min="59" max="61" width="7.5703125" style="4" customWidth="1"/>
    <col min="62" max="62" width="17.85546875" style="4" customWidth="1"/>
    <col min="63" max="63" width="10.42578125" style="4" customWidth="1"/>
    <col min="64" max="64" width="12" style="4" customWidth="1"/>
    <col min="65" max="66" width="14.42578125" style="4" customWidth="1"/>
    <col min="67" max="67" width="13.28515625" style="4" customWidth="1"/>
    <col min="68" max="68" width="16.28515625" style="4" customWidth="1"/>
    <col min="69" max="69" width="22.28515625" style="4" customWidth="1"/>
    <col min="70" max="70" width="12.140625" style="4" hidden="1" customWidth="1"/>
    <col min="71" max="71" width="15.42578125" style="4" hidden="1" customWidth="1"/>
    <col min="72" max="72" width="12.42578125" style="4" hidden="1" customWidth="1"/>
    <col min="73" max="73" width="15.5703125" style="4" hidden="1" customWidth="1"/>
    <col min="74" max="16384" width="9.140625" style="4"/>
  </cols>
  <sheetData>
    <row r="1" spans="1:73" x14ac:dyDescent="0.25">
      <c r="F1" s="67" t="s">
        <v>83</v>
      </c>
    </row>
    <row r="2" spans="1:73" ht="23.25" x14ac:dyDescent="0.25">
      <c r="F2" s="2" t="s">
        <v>2657</v>
      </c>
    </row>
    <row r="3" spans="1:73" ht="20.25" x14ac:dyDescent="0.25">
      <c r="F3" s="30"/>
    </row>
    <row r="4" spans="1:73" ht="7.5" customHeight="1" x14ac:dyDescent="0.25">
      <c r="C4" s="409"/>
      <c r="D4" s="12"/>
      <c r="E4" s="12"/>
      <c r="F4" s="12"/>
      <c r="G4" s="14"/>
      <c r="H4" s="14"/>
      <c r="I4" s="14"/>
      <c r="J4" s="14"/>
      <c r="K4" s="14"/>
      <c r="L4" s="14"/>
      <c r="M4" s="14"/>
      <c r="N4" s="14"/>
      <c r="O4" s="14"/>
      <c r="P4" s="14"/>
      <c r="R4" s="14"/>
      <c r="S4" s="14"/>
      <c r="T4" s="14"/>
      <c r="U4" s="14"/>
      <c r="V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3"/>
      <c r="AO4" s="338"/>
      <c r="AQ4" s="14"/>
      <c r="AR4" s="14"/>
      <c r="AS4" s="14"/>
      <c r="AT4" s="14"/>
      <c r="AU4" s="14"/>
      <c r="AV4" s="14"/>
      <c r="AW4" s="14"/>
      <c r="AX4" s="9"/>
      <c r="AY4" s="9"/>
      <c r="AZ4" s="9"/>
      <c r="BB4" s="9"/>
      <c r="BC4" s="9"/>
      <c r="BD4" s="9"/>
      <c r="BE4" s="9"/>
      <c r="BG4" s="9"/>
      <c r="BH4" s="9"/>
      <c r="BI4" s="9"/>
      <c r="BL4" s="14"/>
      <c r="BM4" s="14"/>
      <c r="BN4" s="14"/>
      <c r="BO4" s="14"/>
      <c r="BQ4" s="10"/>
      <c r="BR4" s="14"/>
      <c r="BS4" s="14"/>
      <c r="BT4" s="14"/>
    </row>
    <row r="5" spans="1:73" ht="23.25" x14ac:dyDescent="0.25">
      <c r="C5" s="409"/>
      <c r="D5" s="12"/>
      <c r="E5" s="12"/>
      <c r="F5" s="42" t="s">
        <v>57</v>
      </c>
      <c r="AO5" s="338"/>
      <c r="AP5" s="14"/>
      <c r="BO5" s="14"/>
      <c r="BQ5" s="10"/>
    </row>
    <row r="6" spans="1:73" ht="16.5" customHeight="1" x14ac:dyDescent="0.25">
      <c r="C6" s="409"/>
      <c r="D6" s="12"/>
      <c r="E6" s="12"/>
      <c r="F6" s="12"/>
      <c r="AO6" s="338"/>
      <c r="AP6" s="14"/>
      <c r="BO6" s="14"/>
      <c r="BQ6" s="10"/>
    </row>
    <row r="7" spans="1:73" s="11" customFormat="1" x14ac:dyDescent="0.25">
      <c r="A7" s="410" t="s">
        <v>2510</v>
      </c>
      <c r="B7" s="411" t="s">
        <v>68</v>
      </c>
      <c r="C7" s="412" t="s">
        <v>0</v>
      </c>
      <c r="D7" s="413" t="s">
        <v>60</v>
      </c>
      <c r="E7" s="414" t="s">
        <v>2</v>
      </c>
      <c r="F7" s="406" t="s">
        <v>56</v>
      </c>
      <c r="G7" s="44"/>
      <c r="H7" s="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13"/>
      <c r="AO7" s="338"/>
      <c r="AP7" s="1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14"/>
      <c r="BP7" s="4"/>
      <c r="BQ7" s="4"/>
      <c r="BR7" s="4"/>
      <c r="BS7" s="4"/>
      <c r="BT7" s="4"/>
    </row>
    <row r="8" spans="1:73" s="11" customFormat="1" x14ac:dyDescent="0.25">
      <c r="A8" s="16"/>
      <c r="B8" s="130" t="s">
        <v>12</v>
      </c>
      <c r="C8" s="415" t="s">
        <v>2658</v>
      </c>
      <c r="D8" s="16" t="s">
        <v>54</v>
      </c>
      <c r="E8" s="29" t="s">
        <v>2640</v>
      </c>
      <c r="F8" s="24" t="s">
        <v>66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s="11" customFormat="1" x14ac:dyDescent="0.25">
      <c r="A9" s="358">
        <v>43234</v>
      </c>
      <c r="B9" s="130" t="s">
        <v>12</v>
      </c>
      <c r="C9" s="416">
        <v>644</v>
      </c>
      <c r="D9" s="16" t="s">
        <v>54</v>
      </c>
      <c r="E9" s="25" t="s">
        <v>2659</v>
      </c>
      <c r="F9" s="24" t="s">
        <v>66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</row>
    <row r="10" spans="1:73" s="11" customFormat="1" x14ac:dyDescent="0.25">
      <c r="A10" s="222"/>
      <c r="B10" s="130" t="s">
        <v>12</v>
      </c>
      <c r="C10" s="417" t="s">
        <v>2660</v>
      </c>
      <c r="D10" s="222" t="s">
        <v>54</v>
      </c>
      <c r="E10" s="29" t="s">
        <v>2640</v>
      </c>
      <c r="F10" s="24" t="s">
        <v>66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s="11" customFormat="1" x14ac:dyDescent="0.25">
      <c r="A11" s="358">
        <v>43234</v>
      </c>
      <c r="B11" s="130" t="s">
        <v>12</v>
      </c>
      <c r="C11" s="416">
        <v>751</v>
      </c>
      <c r="D11" s="16" t="s">
        <v>54</v>
      </c>
      <c r="E11" s="25" t="s">
        <v>2661</v>
      </c>
      <c r="F11" s="24" t="s">
        <v>66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</row>
    <row r="12" spans="1:73" s="11" customFormat="1" x14ac:dyDescent="0.25">
      <c r="A12" s="358">
        <v>43234</v>
      </c>
      <c r="B12" s="130" t="s">
        <v>12</v>
      </c>
      <c r="C12" s="416">
        <v>897</v>
      </c>
      <c r="D12" s="16" t="s">
        <v>54</v>
      </c>
      <c r="E12" s="25" t="s">
        <v>2662</v>
      </c>
      <c r="F12" s="24" t="s">
        <v>66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</row>
    <row r="13" spans="1:73" s="11" customFormat="1" x14ac:dyDescent="0.25">
      <c r="A13" s="358">
        <v>43234</v>
      </c>
      <c r="B13" s="130" t="s">
        <v>12</v>
      </c>
      <c r="C13" s="416">
        <v>1166</v>
      </c>
      <c r="D13" s="16" t="s">
        <v>54</v>
      </c>
      <c r="E13" s="25" t="s">
        <v>2663</v>
      </c>
      <c r="F13" s="24" t="s">
        <v>66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3" s="11" customFormat="1" x14ac:dyDescent="0.25">
      <c r="A14" s="358">
        <v>43234</v>
      </c>
      <c r="B14" s="130" t="s">
        <v>12</v>
      </c>
      <c r="C14" s="416">
        <v>1327</v>
      </c>
      <c r="D14" s="16" t="s">
        <v>54</v>
      </c>
      <c r="E14" s="25" t="s">
        <v>2664</v>
      </c>
      <c r="F14" s="24" t="s">
        <v>66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</row>
    <row r="15" spans="1:73" s="11" customFormat="1" x14ac:dyDescent="0.25">
      <c r="A15" s="358">
        <v>43234</v>
      </c>
      <c r="B15" s="130" t="s">
        <v>12</v>
      </c>
      <c r="C15" s="416">
        <v>1449</v>
      </c>
      <c r="D15" s="16" t="s">
        <v>54</v>
      </c>
      <c r="E15" s="25" t="s">
        <v>2665</v>
      </c>
      <c r="F15" s="24" t="s">
        <v>66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</row>
    <row r="16" spans="1:73" s="11" customFormat="1" x14ac:dyDescent="0.25">
      <c r="A16" s="358">
        <v>43234</v>
      </c>
      <c r="B16" s="130" t="s">
        <v>12</v>
      </c>
      <c r="C16" s="416">
        <v>1588</v>
      </c>
      <c r="D16" s="16" t="s">
        <v>54</v>
      </c>
      <c r="E16" s="25" t="s">
        <v>2493</v>
      </c>
      <c r="F16" s="24" t="s">
        <v>66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91" s="11" customFormat="1" x14ac:dyDescent="0.25">
      <c r="A17" s="358">
        <v>43234</v>
      </c>
      <c r="B17" s="130" t="s">
        <v>12</v>
      </c>
      <c r="C17" s="416">
        <v>1744</v>
      </c>
      <c r="D17" s="16" t="s">
        <v>54</v>
      </c>
      <c r="E17" s="25" t="s">
        <v>2666</v>
      </c>
      <c r="F17" s="24" t="s">
        <v>66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</row>
    <row r="18" spans="1:91" s="11" customFormat="1" x14ac:dyDescent="0.25">
      <c r="A18" s="358">
        <v>43234</v>
      </c>
      <c r="B18" s="130" t="s">
        <v>12</v>
      </c>
      <c r="C18" s="416">
        <v>1760</v>
      </c>
      <c r="D18" s="16" t="s">
        <v>54</v>
      </c>
      <c r="E18" s="25" t="s">
        <v>2667</v>
      </c>
      <c r="F18" s="24" t="s">
        <v>66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</row>
    <row r="19" spans="1:91" s="11" customFormat="1" x14ac:dyDescent="0.25">
      <c r="A19" s="358">
        <v>43234</v>
      </c>
      <c r="B19" s="130" t="s">
        <v>12</v>
      </c>
      <c r="C19" s="416">
        <v>1826</v>
      </c>
      <c r="D19" s="16" t="s">
        <v>54</v>
      </c>
      <c r="E19" s="25" t="s">
        <v>2668</v>
      </c>
      <c r="F19" s="24" t="s">
        <v>66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91" s="11" customFormat="1" x14ac:dyDescent="0.25">
      <c r="A20" s="358">
        <v>43234</v>
      </c>
      <c r="B20" s="130" t="s">
        <v>12</v>
      </c>
      <c r="C20" s="416">
        <v>2072</v>
      </c>
      <c r="D20" s="16" t="s">
        <v>54</v>
      </c>
      <c r="E20" s="25" t="s">
        <v>2669</v>
      </c>
      <c r="F20" s="24" t="s">
        <v>66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</row>
    <row r="21" spans="1:91" s="11" customFormat="1" x14ac:dyDescent="0.25">
      <c r="A21" s="16"/>
      <c r="B21" s="423"/>
      <c r="C21" s="420">
        <v>2141</v>
      </c>
      <c r="D21" s="16" t="s">
        <v>54</v>
      </c>
      <c r="E21" s="16" t="s">
        <v>3326</v>
      </c>
      <c r="F21" s="24" t="s">
        <v>66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</row>
    <row r="22" spans="1:91" s="11" customFormat="1" x14ac:dyDescent="0.25">
      <c r="A22" s="358">
        <v>43234</v>
      </c>
      <c r="B22" s="130" t="s">
        <v>12</v>
      </c>
      <c r="C22" s="416">
        <v>2142</v>
      </c>
      <c r="D22" s="16" t="s">
        <v>54</v>
      </c>
      <c r="E22" s="41" t="s">
        <v>2670</v>
      </c>
      <c r="F22" s="24" t="s">
        <v>66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91" s="11" customFormat="1" x14ac:dyDescent="0.25">
      <c r="A23" s="358">
        <v>43234</v>
      </c>
      <c r="B23" s="130" t="s">
        <v>12</v>
      </c>
      <c r="C23" s="416">
        <v>2143</v>
      </c>
      <c r="D23" s="16" t="s">
        <v>54</v>
      </c>
      <c r="E23" s="41" t="s">
        <v>2671</v>
      </c>
      <c r="F23" s="24" t="s">
        <v>66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</row>
    <row r="24" spans="1:91" s="11" customFormat="1" x14ac:dyDescent="0.25">
      <c r="A24" s="358">
        <v>43234</v>
      </c>
      <c r="B24" s="130" t="s">
        <v>12</v>
      </c>
      <c r="C24" s="416">
        <v>2146</v>
      </c>
      <c r="D24" s="16" t="s">
        <v>54</v>
      </c>
      <c r="E24" s="41" t="s">
        <v>2672</v>
      </c>
      <c r="F24" s="24" t="s">
        <v>66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</row>
    <row r="25" spans="1:91" s="11" customFormat="1" x14ac:dyDescent="0.25">
      <c r="A25" s="358">
        <v>43234</v>
      </c>
      <c r="B25" s="130" t="s">
        <v>12</v>
      </c>
      <c r="C25" s="367">
        <v>2232</v>
      </c>
      <c r="D25" s="16" t="s">
        <v>54</v>
      </c>
      <c r="E25" s="41" t="s">
        <v>2673</v>
      </c>
      <c r="F25" s="24" t="s">
        <v>66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91" s="11" customFormat="1" x14ac:dyDescent="0.25">
      <c r="A26" s="358">
        <v>43234</v>
      </c>
      <c r="B26" s="130" t="s">
        <v>12</v>
      </c>
      <c r="C26" s="416">
        <v>2236</v>
      </c>
      <c r="D26" s="16" t="s">
        <v>54</v>
      </c>
      <c r="E26" s="41" t="s">
        <v>2674</v>
      </c>
      <c r="F26" s="24" t="s">
        <v>66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4"/>
      <c r="R26" s="14"/>
      <c r="S26" s="14"/>
      <c r="T26" s="14"/>
      <c r="U26" s="14"/>
      <c r="V26" s="14"/>
      <c r="W26" s="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3"/>
      <c r="AO26" s="338"/>
      <c r="AP26" s="4"/>
      <c r="AQ26" s="14"/>
      <c r="AR26" s="14"/>
      <c r="AS26" s="14"/>
      <c r="AT26" s="14"/>
      <c r="AU26" s="14"/>
      <c r="AV26" s="14"/>
      <c r="AW26" s="14"/>
      <c r="AX26" s="9"/>
      <c r="AY26" s="9"/>
      <c r="AZ26" s="9"/>
      <c r="BA26" s="4"/>
      <c r="BB26" s="9"/>
      <c r="BC26" s="9"/>
      <c r="BD26" s="9"/>
      <c r="BE26" s="9"/>
      <c r="BF26" s="4"/>
      <c r="BG26" s="9"/>
      <c r="BH26" s="9"/>
      <c r="BI26" s="9"/>
      <c r="BJ26" s="4"/>
      <c r="BK26" s="4"/>
      <c r="BL26" s="14"/>
      <c r="BM26" s="14"/>
      <c r="BN26" s="14"/>
      <c r="BO26" s="14"/>
      <c r="BP26" s="4"/>
      <c r="BQ26" s="10"/>
      <c r="BR26" s="14"/>
      <c r="BS26" s="14"/>
      <c r="BT26" s="14"/>
      <c r="BU26" s="4"/>
    </row>
    <row r="27" spans="1:91" s="11" customFormat="1" x14ac:dyDescent="0.25">
      <c r="A27" s="358">
        <v>43234</v>
      </c>
      <c r="B27" s="130" t="s">
        <v>12</v>
      </c>
      <c r="C27" s="416">
        <v>2252</v>
      </c>
      <c r="D27" s="16" t="s">
        <v>54</v>
      </c>
      <c r="E27" s="41" t="s">
        <v>2675</v>
      </c>
      <c r="F27" s="24" t="s">
        <v>66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</row>
    <row r="28" spans="1:91" s="11" customFormat="1" x14ac:dyDescent="0.25">
      <c r="A28" s="358">
        <v>43234</v>
      </c>
      <c r="B28" s="130" t="s">
        <v>12</v>
      </c>
      <c r="C28" s="416">
        <v>2253</v>
      </c>
      <c r="D28" s="16" t="s">
        <v>54</v>
      </c>
      <c r="E28" s="41" t="s">
        <v>2676</v>
      </c>
      <c r="F28" s="24" t="s">
        <v>66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</row>
    <row r="29" spans="1:91" s="11" customFormat="1" x14ac:dyDescent="0.25">
      <c r="A29" s="358">
        <v>43234</v>
      </c>
      <c r="B29" s="130" t="s">
        <v>12</v>
      </c>
      <c r="C29" s="416">
        <v>2259</v>
      </c>
      <c r="D29" s="16" t="s">
        <v>54</v>
      </c>
      <c r="E29" s="41" t="s">
        <v>2677</v>
      </c>
      <c r="F29" s="24" t="s">
        <v>66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</row>
    <row r="30" spans="1:91" s="11" customFormat="1" x14ac:dyDescent="0.25">
      <c r="A30" s="358">
        <v>43234</v>
      </c>
      <c r="B30" s="130" t="s">
        <v>12</v>
      </c>
      <c r="C30" s="416">
        <v>2297</v>
      </c>
      <c r="D30" s="16" t="s">
        <v>54</v>
      </c>
      <c r="E30" s="41" t="s">
        <v>2678</v>
      </c>
      <c r="F30" s="24" t="s">
        <v>66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</row>
    <row r="31" spans="1:91" s="11" customFormat="1" x14ac:dyDescent="0.25">
      <c r="A31" s="358">
        <v>43234</v>
      </c>
      <c r="B31" s="130" t="s">
        <v>12</v>
      </c>
      <c r="C31" s="416">
        <v>2298</v>
      </c>
      <c r="D31" s="16" t="s">
        <v>54</v>
      </c>
      <c r="E31" s="41" t="s">
        <v>2679</v>
      </c>
      <c r="F31" s="24" t="s">
        <v>66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</row>
    <row r="32" spans="1:91" s="11" customFormat="1" x14ac:dyDescent="0.25">
      <c r="A32" s="358">
        <v>43234</v>
      </c>
      <c r="B32" s="130" t="s">
        <v>12</v>
      </c>
      <c r="C32" s="416">
        <v>2340</v>
      </c>
      <c r="D32" s="16" t="s">
        <v>54</v>
      </c>
      <c r="E32" s="41" t="s">
        <v>2680</v>
      </c>
      <c r="F32" s="24" t="s">
        <v>66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</row>
    <row r="33" spans="1:73" s="11" customFormat="1" x14ac:dyDescent="0.25">
      <c r="A33" s="358">
        <v>43234</v>
      </c>
      <c r="B33" s="130" t="s">
        <v>12</v>
      </c>
      <c r="C33" s="416">
        <v>2372</v>
      </c>
      <c r="D33" s="16" t="s">
        <v>54</v>
      </c>
      <c r="E33" s="41" t="s">
        <v>2681</v>
      </c>
      <c r="F33" s="24" t="s">
        <v>66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</row>
    <row r="34" spans="1:73" s="11" customFormat="1" x14ac:dyDescent="0.25">
      <c r="A34" s="358">
        <v>43234</v>
      </c>
      <c r="B34" s="130" t="s">
        <v>12</v>
      </c>
      <c r="C34" s="416">
        <v>2409</v>
      </c>
      <c r="D34" s="16" t="s">
        <v>54</v>
      </c>
      <c r="E34" s="41" t="s">
        <v>2682</v>
      </c>
      <c r="F34" s="24" t="s">
        <v>66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</row>
    <row r="35" spans="1:73" s="11" customFormat="1" x14ac:dyDescent="0.25">
      <c r="A35" s="358">
        <v>43234</v>
      </c>
      <c r="B35" s="130" t="s">
        <v>12</v>
      </c>
      <c r="C35" s="416">
        <v>2410</v>
      </c>
      <c r="D35" s="16" t="s">
        <v>54</v>
      </c>
      <c r="E35" s="41" t="s">
        <v>2683</v>
      </c>
      <c r="F35" s="24" t="s">
        <v>66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</row>
    <row r="36" spans="1:73" s="11" customFormat="1" x14ac:dyDescent="0.25">
      <c r="A36" s="358">
        <v>43234</v>
      </c>
      <c r="B36" s="130" t="s">
        <v>12</v>
      </c>
      <c r="C36" s="416">
        <v>2416</v>
      </c>
      <c r="D36" s="16" t="s">
        <v>54</v>
      </c>
      <c r="E36" s="41" t="s">
        <v>2684</v>
      </c>
      <c r="F36" s="24" t="s">
        <v>66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</row>
    <row r="37" spans="1:73" s="11" customFormat="1" x14ac:dyDescent="0.25">
      <c r="A37" s="358">
        <v>43234</v>
      </c>
      <c r="B37" s="130" t="s">
        <v>12</v>
      </c>
      <c r="C37" s="416">
        <v>2428</v>
      </c>
      <c r="D37" s="16" t="s">
        <v>54</v>
      </c>
      <c r="E37" s="41" t="s">
        <v>2685</v>
      </c>
      <c r="F37" s="24" t="s">
        <v>66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</row>
    <row r="38" spans="1:73" s="11" customFormat="1" x14ac:dyDescent="0.25">
      <c r="A38" s="358">
        <v>43234</v>
      </c>
      <c r="B38" s="130" t="s">
        <v>12</v>
      </c>
      <c r="C38" s="416">
        <v>2431</v>
      </c>
      <c r="D38" s="16" t="s">
        <v>54</v>
      </c>
      <c r="E38" s="41" t="s">
        <v>2686</v>
      </c>
      <c r="F38" s="24" t="s">
        <v>66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</row>
    <row r="39" spans="1:73" s="11" customFormat="1" x14ac:dyDescent="0.25">
      <c r="A39" s="358">
        <v>43234</v>
      </c>
      <c r="B39" s="130" t="s">
        <v>12</v>
      </c>
      <c r="C39" s="416">
        <v>2581</v>
      </c>
      <c r="D39" s="16" t="s">
        <v>54</v>
      </c>
      <c r="E39" s="41" t="s">
        <v>2687</v>
      </c>
      <c r="F39" s="24" t="s">
        <v>66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</row>
    <row r="40" spans="1:73" s="11" customFormat="1" x14ac:dyDescent="0.25">
      <c r="A40" s="358">
        <v>43234</v>
      </c>
      <c r="B40" s="130" t="s">
        <v>12</v>
      </c>
      <c r="C40" s="416">
        <v>2584</v>
      </c>
      <c r="D40" s="16" t="s">
        <v>54</v>
      </c>
      <c r="E40" s="41" t="s">
        <v>2688</v>
      </c>
      <c r="F40" s="24" t="s">
        <v>66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</row>
    <row r="41" spans="1:73" s="11" customFormat="1" x14ac:dyDescent="0.25">
      <c r="A41" s="358">
        <v>43234</v>
      </c>
      <c r="B41" s="130" t="s">
        <v>12</v>
      </c>
      <c r="C41" s="416">
        <v>2631</v>
      </c>
      <c r="D41" s="16" t="s">
        <v>54</v>
      </c>
      <c r="E41" s="41" t="s">
        <v>2689</v>
      </c>
      <c r="F41" s="24" t="s">
        <v>66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</row>
    <row r="42" spans="1:73" s="11" customFormat="1" x14ac:dyDescent="0.25">
      <c r="A42" s="358">
        <v>43234</v>
      </c>
      <c r="B42" s="130" t="s">
        <v>12</v>
      </c>
      <c r="C42" s="416">
        <v>2636</v>
      </c>
      <c r="D42" s="16" t="s">
        <v>54</v>
      </c>
      <c r="E42" s="41" t="s">
        <v>2678</v>
      </c>
      <c r="F42" s="24" t="s">
        <v>66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</row>
    <row r="43" spans="1:73" s="11" customFormat="1" x14ac:dyDescent="0.25">
      <c r="A43" s="358">
        <v>43234</v>
      </c>
      <c r="B43" s="130" t="s">
        <v>12</v>
      </c>
      <c r="C43" s="416">
        <v>2642</v>
      </c>
      <c r="D43" s="16" t="s">
        <v>54</v>
      </c>
      <c r="E43" s="41" t="s">
        <v>2674</v>
      </c>
      <c r="F43" s="24" t="s">
        <v>66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</row>
    <row r="44" spans="1:73" s="11" customFormat="1" x14ac:dyDescent="0.25">
      <c r="A44" s="358">
        <v>43234</v>
      </c>
      <c r="B44" s="130" t="s">
        <v>12</v>
      </c>
      <c r="C44" s="416">
        <v>2647</v>
      </c>
      <c r="D44" s="16" t="s">
        <v>54</v>
      </c>
      <c r="E44" s="41" t="s">
        <v>2690</v>
      </c>
      <c r="F44" s="24" t="s">
        <v>66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</row>
    <row r="45" spans="1:73" s="11" customFormat="1" x14ac:dyDescent="0.25">
      <c r="A45" s="358">
        <v>43234</v>
      </c>
      <c r="B45" s="130" t="s">
        <v>12</v>
      </c>
      <c r="C45" s="416">
        <v>2648</v>
      </c>
      <c r="D45" s="16" t="s">
        <v>54</v>
      </c>
      <c r="E45" s="41" t="s">
        <v>2690</v>
      </c>
      <c r="F45" s="24" t="s">
        <v>66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</row>
    <row r="46" spans="1:73" s="11" customFormat="1" x14ac:dyDescent="0.25">
      <c r="A46" s="358">
        <v>43234</v>
      </c>
      <c r="B46" s="130" t="s">
        <v>12</v>
      </c>
      <c r="C46" s="416">
        <v>2666</v>
      </c>
      <c r="D46" s="16" t="s">
        <v>54</v>
      </c>
      <c r="E46" s="41" t="s">
        <v>2691</v>
      </c>
      <c r="F46" s="24" t="s">
        <v>66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s="11" customFormat="1" x14ac:dyDescent="0.25">
      <c r="A47" s="358">
        <v>43234</v>
      </c>
      <c r="B47" s="130" t="s">
        <v>12</v>
      </c>
      <c r="C47" s="416">
        <v>2668</v>
      </c>
      <c r="D47" s="16" t="s">
        <v>54</v>
      </c>
      <c r="E47" s="41" t="s">
        <v>2692</v>
      </c>
      <c r="F47" s="24" t="s">
        <v>66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</row>
    <row r="48" spans="1:73" s="11" customFormat="1" x14ac:dyDescent="0.25">
      <c r="A48" s="358">
        <v>43234</v>
      </c>
      <c r="B48" s="130" t="s">
        <v>12</v>
      </c>
      <c r="C48" s="416">
        <v>2669</v>
      </c>
      <c r="D48" s="16" t="s">
        <v>54</v>
      </c>
      <c r="E48" s="41" t="s">
        <v>2693</v>
      </c>
      <c r="F48" s="24" t="s">
        <v>66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</row>
    <row r="49" spans="1:73" s="11" customFormat="1" x14ac:dyDescent="0.25">
      <c r="A49" s="358">
        <v>43234</v>
      </c>
      <c r="B49" s="130" t="s">
        <v>12</v>
      </c>
      <c r="C49" s="416">
        <v>2670</v>
      </c>
      <c r="D49" s="16" t="s">
        <v>54</v>
      </c>
      <c r="E49" s="41" t="s">
        <v>2694</v>
      </c>
      <c r="F49" s="24" t="s">
        <v>66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</row>
    <row r="50" spans="1:73" s="11" customFormat="1" x14ac:dyDescent="0.25">
      <c r="A50" s="358">
        <v>43234</v>
      </c>
      <c r="B50" s="130" t="s">
        <v>12</v>
      </c>
      <c r="C50" s="416">
        <v>2690</v>
      </c>
      <c r="D50" s="16" t="s">
        <v>54</v>
      </c>
      <c r="E50" s="41" t="s">
        <v>2695</v>
      </c>
      <c r="F50" s="24" t="s">
        <v>66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</row>
    <row r="51" spans="1:73" s="11" customFormat="1" x14ac:dyDescent="0.25">
      <c r="A51" s="358">
        <v>43234</v>
      </c>
      <c r="B51" s="130" t="s">
        <v>12</v>
      </c>
      <c r="C51" s="416">
        <v>2706</v>
      </c>
      <c r="D51" s="16" t="s">
        <v>54</v>
      </c>
      <c r="E51" s="41" t="s">
        <v>2696</v>
      </c>
      <c r="F51" s="24" t="s">
        <v>66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</row>
    <row r="52" spans="1:73" s="11" customFormat="1" x14ac:dyDescent="0.25">
      <c r="A52" s="314">
        <v>43084</v>
      </c>
      <c r="B52" s="130" t="s">
        <v>12</v>
      </c>
      <c r="C52" s="419">
        <v>2760</v>
      </c>
      <c r="D52" s="16" t="s">
        <v>54</v>
      </c>
      <c r="E52" s="79" t="s">
        <v>2697</v>
      </c>
      <c r="F52" s="24" t="s">
        <v>66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3" s="11" customFormat="1" x14ac:dyDescent="0.25">
      <c r="A53" s="358">
        <v>43234</v>
      </c>
      <c r="B53" s="130" t="s">
        <v>12</v>
      </c>
      <c r="C53" s="416">
        <v>2764</v>
      </c>
      <c r="D53" s="16" t="s">
        <v>54</v>
      </c>
      <c r="E53" s="41" t="s">
        <v>2698</v>
      </c>
      <c r="F53" s="24" t="s">
        <v>66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</row>
    <row r="54" spans="1:73" s="11" customFormat="1" x14ac:dyDescent="0.25">
      <c r="A54" s="358">
        <v>43234</v>
      </c>
      <c r="B54" s="130" t="s">
        <v>12</v>
      </c>
      <c r="C54" s="416">
        <v>2791</v>
      </c>
      <c r="D54" s="16" t="s">
        <v>54</v>
      </c>
      <c r="E54" s="41" t="s">
        <v>2699</v>
      </c>
      <c r="F54" s="24" t="s">
        <v>66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</row>
    <row r="55" spans="1:73" s="11" customFormat="1" x14ac:dyDescent="0.25">
      <c r="A55" s="358">
        <v>43234</v>
      </c>
      <c r="B55" s="130" t="s">
        <v>12</v>
      </c>
      <c r="C55" s="416">
        <v>2793</v>
      </c>
      <c r="D55" s="16" t="s">
        <v>54</v>
      </c>
      <c r="E55" s="41" t="s">
        <v>2700</v>
      </c>
      <c r="F55" s="24" t="s">
        <v>66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1:73" s="11" customFormat="1" x14ac:dyDescent="0.25">
      <c r="A56" s="358">
        <v>43234</v>
      </c>
      <c r="B56" s="130" t="s">
        <v>12</v>
      </c>
      <c r="C56" s="416">
        <v>2821</v>
      </c>
      <c r="D56" s="16" t="s">
        <v>54</v>
      </c>
      <c r="E56" s="41" t="s">
        <v>2695</v>
      </c>
      <c r="F56" s="24" t="s">
        <v>66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s="11" customFormat="1" x14ac:dyDescent="0.25">
      <c r="A57" s="358">
        <v>43234</v>
      </c>
      <c r="B57" s="130" t="s">
        <v>12</v>
      </c>
      <c r="C57" s="416">
        <v>2871</v>
      </c>
      <c r="D57" s="16" t="s">
        <v>54</v>
      </c>
      <c r="E57" s="41" t="s">
        <v>2701</v>
      </c>
      <c r="F57" s="24" t="s">
        <v>66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</row>
    <row r="58" spans="1:73" s="11" customFormat="1" x14ac:dyDescent="0.25">
      <c r="A58" s="358">
        <v>43234</v>
      </c>
      <c r="B58" s="130" t="s">
        <v>12</v>
      </c>
      <c r="C58" s="416">
        <v>2938</v>
      </c>
      <c r="D58" s="16" t="s">
        <v>54</v>
      </c>
      <c r="E58" s="41" t="s">
        <v>2702</v>
      </c>
      <c r="F58" s="24" t="s">
        <v>66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</row>
    <row r="59" spans="1:73" s="11" customFormat="1" x14ac:dyDescent="0.25">
      <c r="A59" s="358">
        <v>43234</v>
      </c>
      <c r="B59" s="130" t="s">
        <v>12</v>
      </c>
      <c r="C59" s="416">
        <v>2967</v>
      </c>
      <c r="D59" s="16" t="s">
        <v>54</v>
      </c>
      <c r="E59" s="41" t="s">
        <v>2703</v>
      </c>
      <c r="F59" s="24" t="s">
        <v>66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</row>
    <row r="60" spans="1:73" s="11" customFormat="1" x14ac:dyDescent="0.25">
      <c r="A60" s="358">
        <v>43234</v>
      </c>
      <c r="B60" s="130" t="s">
        <v>12</v>
      </c>
      <c r="C60" s="416">
        <v>2984</v>
      </c>
      <c r="D60" s="16" t="s">
        <v>54</v>
      </c>
      <c r="E60" s="41" t="s">
        <v>2704</v>
      </c>
      <c r="F60" s="24" t="s">
        <v>66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</row>
    <row r="61" spans="1:73" s="11" customFormat="1" x14ac:dyDescent="0.25">
      <c r="A61" s="358">
        <v>43234</v>
      </c>
      <c r="B61" s="130" t="s">
        <v>12</v>
      </c>
      <c r="C61" s="416">
        <v>3035</v>
      </c>
      <c r="D61" s="16" t="s">
        <v>54</v>
      </c>
      <c r="E61" s="41" t="s">
        <v>2670</v>
      </c>
      <c r="F61" s="24" t="s">
        <v>66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</row>
    <row r="62" spans="1:73" s="11" customFormat="1" x14ac:dyDescent="0.25">
      <c r="A62" s="358">
        <v>43234</v>
      </c>
      <c r="B62" s="130" t="s">
        <v>12</v>
      </c>
      <c r="C62" s="416">
        <v>3036</v>
      </c>
      <c r="D62" s="16" t="s">
        <v>54</v>
      </c>
      <c r="E62" s="41" t="s">
        <v>2671</v>
      </c>
      <c r="F62" s="24" t="s">
        <v>66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</row>
    <row r="63" spans="1:73" s="11" customFormat="1" x14ac:dyDescent="0.25">
      <c r="A63" s="358">
        <v>43234</v>
      </c>
      <c r="B63" s="130" t="s">
        <v>12</v>
      </c>
      <c r="C63" s="416">
        <v>3104</v>
      </c>
      <c r="D63" s="16" t="s">
        <v>54</v>
      </c>
      <c r="E63" s="41" t="s">
        <v>2705</v>
      </c>
      <c r="F63" s="24" t="s">
        <v>66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</row>
    <row r="64" spans="1:73" s="11" customFormat="1" x14ac:dyDescent="0.25">
      <c r="A64" s="358">
        <v>43234</v>
      </c>
      <c r="B64" s="130" t="s">
        <v>12</v>
      </c>
      <c r="C64" s="416">
        <v>3248</v>
      </c>
      <c r="D64" s="16" t="s">
        <v>54</v>
      </c>
      <c r="E64" s="41" t="s">
        <v>2706</v>
      </c>
      <c r="F64" s="24" t="s">
        <v>66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</row>
    <row r="65" spans="1:91" ht="15" customHeight="1" x14ac:dyDescent="0.25">
      <c r="A65" s="358">
        <v>43234</v>
      </c>
      <c r="B65" s="130" t="s">
        <v>12</v>
      </c>
      <c r="C65" s="416">
        <v>3256</v>
      </c>
      <c r="D65" s="16" t="s">
        <v>54</v>
      </c>
      <c r="E65" s="41" t="s">
        <v>2690</v>
      </c>
      <c r="F65" s="24" t="s">
        <v>66</v>
      </c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</row>
    <row r="66" spans="1:91" x14ac:dyDescent="0.25">
      <c r="A66" s="358">
        <v>43234</v>
      </c>
      <c r="B66" s="130" t="s">
        <v>12</v>
      </c>
      <c r="C66" s="416">
        <v>3257</v>
      </c>
      <c r="D66" s="16" t="s">
        <v>54</v>
      </c>
      <c r="E66" s="41" t="s">
        <v>2707</v>
      </c>
      <c r="F66" s="24" t="s">
        <v>66</v>
      </c>
    </row>
    <row r="67" spans="1:91" x14ac:dyDescent="0.25">
      <c r="A67" s="358">
        <v>43234</v>
      </c>
      <c r="B67" s="130" t="s">
        <v>12</v>
      </c>
      <c r="C67" s="416">
        <v>3280</v>
      </c>
      <c r="D67" s="16" t="s">
        <v>54</v>
      </c>
      <c r="E67" s="41" t="s">
        <v>2708</v>
      </c>
      <c r="F67" s="24" t="s">
        <v>66</v>
      </c>
    </row>
    <row r="68" spans="1:91" x14ac:dyDescent="0.25">
      <c r="A68" s="358">
        <v>43234</v>
      </c>
      <c r="B68" s="130" t="s">
        <v>12</v>
      </c>
      <c r="C68" s="416">
        <v>3282</v>
      </c>
      <c r="D68" s="16" t="s">
        <v>54</v>
      </c>
      <c r="E68" s="41" t="s">
        <v>2709</v>
      </c>
      <c r="F68" s="24" t="s">
        <v>66</v>
      </c>
    </row>
    <row r="69" spans="1:91" x14ac:dyDescent="0.25">
      <c r="A69" s="358">
        <v>43234</v>
      </c>
      <c r="B69" s="130" t="s">
        <v>12</v>
      </c>
      <c r="C69" s="416">
        <v>3289</v>
      </c>
      <c r="D69" s="16" t="s">
        <v>54</v>
      </c>
      <c r="E69" s="41" t="s">
        <v>2710</v>
      </c>
      <c r="F69" s="24" t="s">
        <v>66</v>
      </c>
    </row>
    <row r="70" spans="1:91" x14ac:dyDescent="0.25">
      <c r="A70" s="16"/>
      <c r="B70" s="423"/>
      <c r="C70" s="420">
        <v>3325</v>
      </c>
      <c r="D70" s="16" t="s">
        <v>54</v>
      </c>
      <c r="E70" s="16" t="s">
        <v>3327</v>
      </c>
      <c r="F70" s="24" t="s">
        <v>66</v>
      </c>
    </row>
    <row r="71" spans="1:91" x14ac:dyDescent="0.25">
      <c r="A71" s="358">
        <v>43234</v>
      </c>
      <c r="B71" s="130" t="s">
        <v>12</v>
      </c>
      <c r="C71" s="416">
        <v>3371</v>
      </c>
      <c r="D71" s="16" t="s">
        <v>54</v>
      </c>
      <c r="E71" s="41" t="s">
        <v>2711</v>
      </c>
      <c r="F71" s="24" t="s">
        <v>66</v>
      </c>
    </row>
    <row r="72" spans="1:91" x14ac:dyDescent="0.25">
      <c r="A72" s="16"/>
      <c r="B72" s="423"/>
      <c r="C72" s="420">
        <v>3374</v>
      </c>
      <c r="D72" s="16" t="s">
        <v>54</v>
      </c>
      <c r="E72" s="16" t="s">
        <v>3328</v>
      </c>
      <c r="F72" s="24" t="s">
        <v>66</v>
      </c>
    </row>
    <row r="73" spans="1:91" x14ac:dyDescent="0.25">
      <c r="A73" s="358">
        <v>43234</v>
      </c>
      <c r="B73" s="130" t="s">
        <v>12</v>
      </c>
      <c r="C73" s="416">
        <v>3392</v>
      </c>
      <c r="D73" s="16" t="s">
        <v>54</v>
      </c>
      <c r="E73" s="41" t="s">
        <v>1129</v>
      </c>
      <c r="F73" s="24" t="s">
        <v>66</v>
      </c>
    </row>
    <row r="74" spans="1:91" x14ac:dyDescent="0.25">
      <c r="A74" s="16"/>
      <c r="B74" s="423"/>
      <c r="C74" s="420">
        <v>3467</v>
      </c>
      <c r="D74" s="16" t="s">
        <v>54</v>
      </c>
      <c r="E74" s="16" t="s">
        <v>3328</v>
      </c>
      <c r="F74" s="24" t="s">
        <v>66</v>
      </c>
    </row>
    <row r="75" spans="1:91" x14ac:dyDescent="0.25">
      <c r="A75" s="358">
        <v>43234</v>
      </c>
      <c r="B75" s="130" t="s">
        <v>12</v>
      </c>
      <c r="C75" s="416">
        <v>3681</v>
      </c>
      <c r="D75" s="16" t="s">
        <v>54</v>
      </c>
      <c r="E75" s="41" t="s">
        <v>2712</v>
      </c>
      <c r="F75" s="24" t="s">
        <v>66</v>
      </c>
    </row>
    <row r="76" spans="1:91" x14ac:dyDescent="0.25">
      <c r="A76" s="358">
        <v>43234</v>
      </c>
      <c r="B76" s="130" t="s">
        <v>12</v>
      </c>
      <c r="C76" s="416">
        <v>3766</v>
      </c>
      <c r="D76" s="16" t="s">
        <v>54</v>
      </c>
      <c r="E76" s="41" t="s">
        <v>2713</v>
      </c>
      <c r="F76" s="24" t="s">
        <v>66</v>
      </c>
    </row>
    <row r="77" spans="1:91" x14ac:dyDescent="0.25">
      <c r="A77" s="358">
        <v>43234</v>
      </c>
      <c r="B77" s="130" t="s">
        <v>12</v>
      </c>
      <c r="C77" s="416">
        <v>3773</v>
      </c>
      <c r="D77" s="16" t="s">
        <v>54</v>
      </c>
      <c r="E77" s="41" t="s">
        <v>1129</v>
      </c>
      <c r="F77" s="24" t="s">
        <v>66</v>
      </c>
    </row>
    <row r="78" spans="1:91" x14ac:dyDescent="0.25">
      <c r="A78" s="358">
        <v>43234</v>
      </c>
      <c r="B78" s="130" t="s">
        <v>12</v>
      </c>
      <c r="C78" s="416">
        <v>3776</v>
      </c>
      <c r="D78" s="16" t="s">
        <v>54</v>
      </c>
      <c r="E78" s="41" t="s">
        <v>2714</v>
      </c>
      <c r="F78" s="24" t="s">
        <v>66</v>
      </c>
    </row>
    <row r="79" spans="1:91" x14ac:dyDescent="0.25">
      <c r="A79" s="358">
        <v>43234</v>
      </c>
      <c r="B79" s="130" t="s">
        <v>12</v>
      </c>
      <c r="C79" s="416">
        <v>3789</v>
      </c>
      <c r="D79" s="16" t="s">
        <v>54</v>
      </c>
      <c r="E79" s="41" t="s">
        <v>2715</v>
      </c>
      <c r="F79" s="24" t="s">
        <v>66</v>
      </c>
    </row>
    <row r="80" spans="1:91" x14ac:dyDescent="0.25">
      <c r="A80" s="358">
        <v>43234</v>
      </c>
      <c r="B80" s="130" t="s">
        <v>12</v>
      </c>
      <c r="C80" s="416">
        <v>3795</v>
      </c>
      <c r="D80" s="16" t="s">
        <v>54</v>
      </c>
      <c r="E80" s="41" t="s">
        <v>1129</v>
      </c>
      <c r="F80" s="24" t="s">
        <v>66</v>
      </c>
    </row>
    <row r="81" spans="1:6" x14ac:dyDescent="0.25">
      <c r="A81" s="358">
        <v>43234</v>
      </c>
      <c r="B81" s="130" t="s">
        <v>12</v>
      </c>
      <c r="C81" s="416">
        <v>3808</v>
      </c>
      <c r="D81" s="16" t="s">
        <v>54</v>
      </c>
      <c r="E81" s="41" t="s">
        <v>2716</v>
      </c>
      <c r="F81" s="24" t="s">
        <v>66</v>
      </c>
    </row>
    <row r="82" spans="1:6" x14ac:dyDescent="0.25">
      <c r="A82" s="16"/>
      <c r="B82" s="423"/>
      <c r="C82" s="420">
        <v>3810</v>
      </c>
      <c r="D82" s="16" t="s">
        <v>54</v>
      </c>
      <c r="E82" s="16" t="s">
        <v>3329</v>
      </c>
      <c r="F82" s="24" t="s">
        <v>66</v>
      </c>
    </row>
    <row r="83" spans="1:6" x14ac:dyDescent="0.25">
      <c r="A83" s="358">
        <v>43234</v>
      </c>
      <c r="B83" s="130" t="s">
        <v>12</v>
      </c>
      <c r="C83" s="416">
        <v>3861</v>
      </c>
      <c r="D83" s="16" t="s">
        <v>54</v>
      </c>
      <c r="E83" s="41" t="s">
        <v>1129</v>
      </c>
      <c r="F83" s="24" t="s">
        <v>66</v>
      </c>
    </row>
    <row r="84" spans="1:6" x14ac:dyDescent="0.25">
      <c r="A84" s="358">
        <v>43234</v>
      </c>
      <c r="B84" s="130" t="s">
        <v>12</v>
      </c>
      <c r="C84" s="416">
        <v>3912</v>
      </c>
      <c r="D84" s="16" t="s">
        <v>54</v>
      </c>
      <c r="E84" s="41" t="s">
        <v>1129</v>
      </c>
      <c r="F84" s="24" t="s">
        <v>66</v>
      </c>
    </row>
    <row r="85" spans="1:6" x14ac:dyDescent="0.25">
      <c r="A85" s="358">
        <v>43234</v>
      </c>
      <c r="B85" s="130" t="s">
        <v>12</v>
      </c>
      <c r="C85" s="416">
        <v>3915</v>
      </c>
      <c r="D85" s="16" t="s">
        <v>54</v>
      </c>
      <c r="E85" s="41" t="s">
        <v>1129</v>
      </c>
      <c r="F85" s="24" t="s">
        <v>66</v>
      </c>
    </row>
    <row r="86" spans="1:6" x14ac:dyDescent="0.25">
      <c r="A86" s="358">
        <v>43234</v>
      </c>
      <c r="B86" s="130" t="s">
        <v>12</v>
      </c>
      <c r="C86" s="416">
        <v>3920</v>
      </c>
      <c r="D86" s="16" t="s">
        <v>54</v>
      </c>
      <c r="E86" s="41" t="s">
        <v>2717</v>
      </c>
      <c r="F86" s="24" t="s">
        <v>66</v>
      </c>
    </row>
    <row r="87" spans="1:6" x14ac:dyDescent="0.25">
      <c r="A87" s="358">
        <v>43234</v>
      </c>
      <c r="B87" s="130" t="s">
        <v>12</v>
      </c>
      <c r="C87" s="416">
        <v>3924</v>
      </c>
      <c r="D87" s="16" t="s">
        <v>54</v>
      </c>
      <c r="E87" s="41" t="s">
        <v>2718</v>
      </c>
      <c r="F87" s="24" t="s">
        <v>66</v>
      </c>
    </row>
    <row r="88" spans="1:6" x14ac:dyDescent="0.25">
      <c r="A88" s="358">
        <v>43234</v>
      </c>
      <c r="B88" s="130" t="s">
        <v>12</v>
      </c>
      <c r="C88" s="416">
        <v>3928</v>
      </c>
      <c r="D88" s="16" t="s">
        <v>54</v>
      </c>
      <c r="E88" s="41" t="s">
        <v>2719</v>
      </c>
      <c r="F88" s="24" t="s">
        <v>66</v>
      </c>
    </row>
    <row r="89" spans="1:6" x14ac:dyDescent="0.25">
      <c r="A89" s="358">
        <v>43234</v>
      </c>
      <c r="B89" s="130" t="s">
        <v>12</v>
      </c>
      <c r="C89" s="416">
        <v>3943</v>
      </c>
      <c r="D89" s="16" t="s">
        <v>54</v>
      </c>
      <c r="E89" s="41" t="s">
        <v>2720</v>
      </c>
      <c r="F89" s="24" t="s">
        <v>66</v>
      </c>
    </row>
    <row r="90" spans="1:6" x14ac:dyDescent="0.25">
      <c r="A90" s="358">
        <v>43234</v>
      </c>
      <c r="B90" s="130" t="s">
        <v>12</v>
      </c>
      <c r="C90" s="416">
        <v>3960</v>
      </c>
      <c r="D90" s="16" t="s">
        <v>54</v>
      </c>
      <c r="E90" s="41" t="s">
        <v>2721</v>
      </c>
      <c r="F90" s="24" t="s">
        <v>66</v>
      </c>
    </row>
    <row r="91" spans="1:6" x14ac:dyDescent="0.25">
      <c r="A91" s="358">
        <v>43234</v>
      </c>
      <c r="B91" s="130" t="s">
        <v>12</v>
      </c>
      <c r="C91" s="416">
        <v>4008</v>
      </c>
      <c r="D91" s="16" t="s">
        <v>54</v>
      </c>
      <c r="E91" s="41" t="s">
        <v>2722</v>
      </c>
      <c r="F91" s="24" t="s">
        <v>66</v>
      </c>
    </row>
    <row r="92" spans="1:6" x14ac:dyDescent="0.25">
      <c r="A92" s="358">
        <v>43234</v>
      </c>
      <c r="B92" s="130" t="s">
        <v>12</v>
      </c>
      <c r="C92" s="416">
        <v>4009</v>
      </c>
      <c r="D92" s="16" t="s">
        <v>54</v>
      </c>
      <c r="E92" s="41" t="s">
        <v>2723</v>
      </c>
      <c r="F92" s="24" t="s">
        <v>66</v>
      </c>
    </row>
    <row r="93" spans="1:6" x14ac:dyDescent="0.25">
      <c r="A93" s="358">
        <v>43234</v>
      </c>
      <c r="B93" s="130" t="s">
        <v>12</v>
      </c>
      <c r="C93" s="416">
        <v>4040</v>
      </c>
      <c r="D93" s="16" t="s">
        <v>54</v>
      </c>
      <c r="E93" s="41" t="s">
        <v>2724</v>
      </c>
      <c r="F93" s="24" t="s">
        <v>66</v>
      </c>
    </row>
    <row r="94" spans="1:6" x14ac:dyDescent="0.25">
      <c r="A94" s="358">
        <v>43234</v>
      </c>
      <c r="B94" s="130" t="s">
        <v>12</v>
      </c>
      <c r="C94" s="416">
        <v>4041</v>
      </c>
      <c r="D94" s="16" t="s">
        <v>54</v>
      </c>
      <c r="E94" s="41" t="s">
        <v>2725</v>
      </c>
      <c r="F94" s="24" t="s">
        <v>66</v>
      </c>
    </row>
    <row r="95" spans="1:6" x14ac:dyDescent="0.25">
      <c r="A95" s="358">
        <v>43234</v>
      </c>
      <c r="B95" s="130" t="s">
        <v>12</v>
      </c>
      <c r="C95" s="416">
        <v>4147</v>
      </c>
      <c r="D95" s="16" t="s">
        <v>54</v>
      </c>
      <c r="E95" s="41" t="s">
        <v>2726</v>
      </c>
      <c r="F95" s="24" t="s">
        <v>66</v>
      </c>
    </row>
    <row r="96" spans="1:6" x14ac:dyDescent="0.25">
      <c r="A96" s="358">
        <v>43234</v>
      </c>
      <c r="B96" s="130" t="s">
        <v>12</v>
      </c>
      <c r="C96" s="416">
        <v>4168</v>
      </c>
      <c r="D96" s="16" t="s">
        <v>54</v>
      </c>
      <c r="E96" s="41" t="s">
        <v>2727</v>
      </c>
      <c r="F96" s="24" t="s">
        <v>66</v>
      </c>
    </row>
    <row r="97" spans="1:73" x14ac:dyDescent="0.25">
      <c r="A97" s="358">
        <v>43234</v>
      </c>
      <c r="B97" s="130" t="s">
        <v>12</v>
      </c>
      <c r="C97" s="416">
        <v>4185</v>
      </c>
      <c r="D97" s="16" t="s">
        <v>54</v>
      </c>
      <c r="E97" s="41" t="s">
        <v>2728</v>
      </c>
      <c r="F97" s="24" t="s">
        <v>66</v>
      </c>
    </row>
    <row r="98" spans="1:73" x14ac:dyDescent="0.25">
      <c r="A98" s="358">
        <v>43234</v>
      </c>
      <c r="B98" s="130" t="s">
        <v>12</v>
      </c>
      <c r="C98" s="416">
        <v>4186</v>
      </c>
      <c r="D98" s="16" t="s">
        <v>54</v>
      </c>
      <c r="E98" s="41" t="s">
        <v>2729</v>
      </c>
      <c r="F98" s="24" t="s">
        <v>66</v>
      </c>
    </row>
    <row r="99" spans="1:73" x14ac:dyDescent="0.25">
      <c r="A99" s="358">
        <v>43234</v>
      </c>
      <c r="B99" s="130" t="s">
        <v>12</v>
      </c>
      <c r="C99" s="416">
        <v>4231</v>
      </c>
      <c r="D99" s="16" t="s">
        <v>54</v>
      </c>
      <c r="E99" s="41" t="s">
        <v>2730</v>
      </c>
      <c r="F99" s="24" t="s">
        <v>66</v>
      </c>
    </row>
    <row r="100" spans="1:73" x14ac:dyDescent="0.25">
      <c r="A100" s="16"/>
      <c r="B100" s="423"/>
      <c r="C100" s="420">
        <v>4234</v>
      </c>
      <c r="D100" s="16" t="s">
        <v>54</v>
      </c>
      <c r="E100" s="16" t="s">
        <v>3330</v>
      </c>
      <c r="F100" s="24" t="s">
        <v>66</v>
      </c>
    </row>
    <row r="101" spans="1:73" x14ac:dyDescent="0.25">
      <c r="A101" s="358">
        <v>43234</v>
      </c>
      <c r="B101" s="130" t="s">
        <v>12</v>
      </c>
      <c r="C101" s="416">
        <v>4241</v>
      </c>
      <c r="D101" s="16" t="s">
        <v>54</v>
      </c>
      <c r="E101" s="41" t="s">
        <v>2731</v>
      </c>
      <c r="F101" s="24" t="s">
        <v>66</v>
      </c>
    </row>
    <row r="102" spans="1:73" x14ac:dyDescent="0.25">
      <c r="A102" s="358">
        <v>43234</v>
      </c>
      <c r="B102" s="130" t="s">
        <v>12</v>
      </c>
      <c r="C102" s="416">
        <v>4269</v>
      </c>
      <c r="D102" s="16" t="s">
        <v>54</v>
      </c>
      <c r="E102" s="41" t="s">
        <v>2732</v>
      </c>
      <c r="F102" s="24" t="s">
        <v>66</v>
      </c>
    </row>
    <row r="103" spans="1:73" x14ac:dyDescent="0.25">
      <c r="A103" s="358">
        <v>43234</v>
      </c>
      <c r="B103" s="130" t="s">
        <v>12</v>
      </c>
      <c r="C103" s="416">
        <v>4277</v>
      </c>
      <c r="D103" s="16" t="s">
        <v>54</v>
      </c>
      <c r="E103" s="41" t="s">
        <v>2733</v>
      </c>
      <c r="F103" s="24" t="s">
        <v>66</v>
      </c>
    </row>
    <row r="104" spans="1:73" x14ac:dyDescent="0.25">
      <c r="A104" s="358">
        <v>43234</v>
      </c>
      <c r="B104" s="130" t="s">
        <v>12</v>
      </c>
      <c r="C104" s="416">
        <v>4284</v>
      </c>
      <c r="D104" s="16" t="s">
        <v>54</v>
      </c>
      <c r="E104" s="41" t="s">
        <v>2734</v>
      </c>
      <c r="F104" s="24" t="s">
        <v>66</v>
      </c>
    </row>
    <row r="105" spans="1:73" x14ac:dyDescent="0.25">
      <c r="A105" s="358">
        <v>43234</v>
      </c>
      <c r="B105" s="130" t="s">
        <v>12</v>
      </c>
      <c r="C105" s="416">
        <v>4296</v>
      </c>
      <c r="D105" s="16" t="s">
        <v>54</v>
      </c>
      <c r="E105" s="41" t="s">
        <v>2735</v>
      </c>
      <c r="F105" s="24" t="s">
        <v>66</v>
      </c>
    </row>
    <row r="106" spans="1:73" x14ac:dyDescent="0.25">
      <c r="A106" s="358">
        <v>43234</v>
      </c>
      <c r="B106" s="130" t="s">
        <v>12</v>
      </c>
      <c r="C106" s="416">
        <v>4300</v>
      </c>
      <c r="D106" s="16" t="s">
        <v>54</v>
      </c>
      <c r="E106" s="41" t="s">
        <v>2734</v>
      </c>
      <c r="F106" s="24" t="s">
        <v>66</v>
      </c>
    </row>
    <row r="107" spans="1:73" x14ac:dyDescent="0.25">
      <c r="A107" s="16"/>
      <c r="B107" s="423"/>
      <c r="C107" s="420">
        <v>4301</v>
      </c>
      <c r="D107" s="16" t="s">
        <v>54</v>
      </c>
      <c r="E107" s="16" t="s">
        <v>3331</v>
      </c>
      <c r="F107" s="24" t="s">
        <v>66</v>
      </c>
    </row>
    <row r="108" spans="1:73" x14ac:dyDescent="0.25">
      <c r="A108" s="358">
        <v>43234</v>
      </c>
      <c r="B108" s="130" t="s">
        <v>12</v>
      </c>
      <c r="C108" s="367">
        <v>4302</v>
      </c>
      <c r="D108" s="16" t="s">
        <v>54</v>
      </c>
      <c r="E108" s="41" t="s">
        <v>2736</v>
      </c>
      <c r="F108" s="24" t="s">
        <v>66</v>
      </c>
      <c r="BU108" s="11"/>
    </row>
    <row r="109" spans="1:73" x14ac:dyDescent="0.25">
      <c r="A109" s="16"/>
      <c r="B109" s="423"/>
      <c r="C109" s="420">
        <v>4302</v>
      </c>
      <c r="D109" s="16" t="s">
        <v>54</v>
      </c>
      <c r="E109" s="79" t="s">
        <v>3363</v>
      </c>
      <c r="F109" s="24" t="s">
        <v>66</v>
      </c>
    </row>
    <row r="110" spans="1:73" x14ac:dyDescent="0.25">
      <c r="A110" s="358">
        <v>43234</v>
      </c>
      <c r="B110" s="130" t="s">
        <v>12</v>
      </c>
      <c r="C110" s="416">
        <v>4330</v>
      </c>
      <c r="D110" s="16" t="s">
        <v>54</v>
      </c>
      <c r="E110" s="41" t="s">
        <v>2737</v>
      </c>
      <c r="F110" s="24" t="s">
        <v>66</v>
      </c>
    </row>
    <row r="111" spans="1:73" x14ac:dyDescent="0.25">
      <c r="A111" s="358">
        <v>43234</v>
      </c>
      <c r="B111" s="130" t="s">
        <v>12</v>
      </c>
      <c r="C111" s="416">
        <v>4345</v>
      </c>
      <c r="D111" s="16" t="s">
        <v>54</v>
      </c>
      <c r="E111" s="41" t="s">
        <v>2738</v>
      </c>
      <c r="F111" s="24" t="s">
        <v>66</v>
      </c>
    </row>
    <row r="112" spans="1:73" x14ac:dyDescent="0.25">
      <c r="A112" s="358">
        <v>43234</v>
      </c>
      <c r="B112" s="130" t="s">
        <v>12</v>
      </c>
      <c r="C112" s="416">
        <v>4493</v>
      </c>
      <c r="D112" s="16" t="s">
        <v>54</v>
      </c>
      <c r="E112" s="41" t="s">
        <v>2739</v>
      </c>
      <c r="F112" s="24" t="s">
        <v>66</v>
      </c>
    </row>
    <row r="113" spans="1:6" x14ac:dyDescent="0.25">
      <c r="A113" s="16"/>
      <c r="B113" s="423"/>
      <c r="C113" s="420">
        <v>4493</v>
      </c>
      <c r="D113" s="16" t="s">
        <v>54</v>
      </c>
      <c r="E113" s="79" t="s">
        <v>3364</v>
      </c>
      <c r="F113" s="24" t="s">
        <v>66</v>
      </c>
    </row>
    <row r="114" spans="1:6" x14ac:dyDescent="0.25">
      <c r="A114" s="358">
        <v>43234</v>
      </c>
      <c r="B114" s="130" t="s">
        <v>12</v>
      </c>
      <c r="C114" s="416">
        <v>4606</v>
      </c>
      <c r="D114" s="16" t="s">
        <v>54</v>
      </c>
      <c r="E114" s="41" t="s">
        <v>2740</v>
      </c>
      <c r="F114" s="24" t="s">
        <v>66</v>
      </c>
    </row>
    <row r="115" spans="1:6" x14ac:dyDescent="0.25">
      <c r="A115" s="358">
        <v>43234</v>
      </c>
      <c r="B115" s="130" t="s">
        <v>12</v>
      </c>
      <c r="C115" s="416">
        <v>4729</v>
      </c>
      <c r="D115" s="16" t="s">
        <v>54</v>
      </c>
      <c r="E115" s="41" t="s">
        <v>2741</v>
      </c>
      <c r="F115" s="24" t="s">
        <v>66</v>
      </c>
    </row>
    <row r="116" spans="1:6" x14ac:dyDescent="0.25">
      <c r="A116" s="358">
        <v>43234</v>
      </c>
      <c r="B116" s="130" t="s">
        <v>12</v>
      </c>
      <c r="C116" s="416">
        <v>4761</v>
      </c>
      <c r="D116" s="16" t="s">
        <v>54</v>
      </c>
      <c r="E116" s="41" t="s">
        <v>2705</v>
      </c>
      <c r="F116" s="24" t="s">
        <v>66</v>
      </c>
    </row>
    <row r="117" spans="1:6" x14ac:dyDescent="0.25">
      <c r="A117" s="358">
        <v>43234</v>
      </c>
      <c r="B117" s="130" t="s">
        <v>12</v>
      </c>
      <c r="C117" s="416">
        <v>4762</v>
      </c>
      <c r="D117" s="16" t="s">
        <v>54</v>
      </c>
      <c r="E117" s="41" t="s">
        <v>2742</v>
      </c>
      <c r="F117" s="24" t="s">
        <v>66</v>
      </c>
    </row>
    <row r="118" spans="1:6" x14ac:dyDescent="0.25">
      <c r="A118" s="358">
        <v>43234</v>
      </c>
      <c r="B118" s="130" t="s">
        <v>12</v>
      </c>
      <c r="C118" s="416">
        <v>4792</v>
      </c>
      <c r="D118" s="16" t="s">
        <v>54</v>
      </c>
      <c r="E118" s="41" t="s">
        <v>2743</v>
      </c>
      <c r="F118" s="24" t="s">
        <v>66</v>
      </c>
    </row>
    <row r="119" spans="1:6" x14ac:dyDescent="0.25">
      <c r="A119" s="358">
        <v>43234</v>
      </c>
      <c r="B119" s="130" t="s">
        <v>12</v>
      </c>
      <c r="C119" s="416">
        <v>4817</v>
      </c>
      <c r="D119" s="16" t="s">
        <v>54</v>
      </c>
      <c r="E119" s="41" t="s">
        <v>2744</v>
      </c>
      <c r="F119" s="24" t="s">
        <v>66</v>
      </c>
    </row>
    <row r="120" spans="1:6" x14ac:dyDescent="0.25">
      <c r="A120" s="358">
        <v>43234</v>
      </c>
      <c r="B120" s="130" t="s">
        <v>12</v>
      </c>
      <c r="C120" s="416">
        <v>4855</v>
      </c>
      <c r="D120" s="16" t="s">
        <v>54</v>
      </c>
      <c r="E120" s="41" t="s">
        <v>2745</v>
      </c>
      <c r="F120" s="24" t="s">
        <v>66</v>
      </c>
    </row>
    <row r="121" spans="1:6" x14ac:dyDescent="0.25">
      <c r="A121" s="16"/>
      <c r="B121" s="423"/>
      <c r="C121" s="420">
        <v>5009</v>
      </c>
      <c r="D121" s="16" t="s">
        <v>54</v>
      </c>
      <c r="E121" s="16" t="s">
        <v>3332</v>
      </c>
      <c r="F121" s="24" t="s">
        <v>66</v>
      </c>
    </row>
    <row r="122" spans="1:6" x14ac:dyDescent="0.25">
      <c r="A122" s="16"/>
      <c r="B122" s="423"/>
      <c r="C122" s="420">
        <v>5014</v>
      </c>
      <c r="D122" s="16" t="s">
        <v>54</v>
      </c>
      <c r="E122" s="16" t="s">
        <v>3333</v>
      </c>
      <c r="F122" s="24" t="s">
        <v>66</v>
      </c>
    </row>
    <row r="123" spans="1:6" x14ac:dyDescent="0.25">
      <c r="A123" s="358">
        <v>43234</v>
      </c>
      <c r="B123" s="130" t="s">
        <v>12</v>
      </c>
      <c r="C123" s="416">
        <v>5015</v>
      </c>
      <c r="D123" s="16" t="s">
        <v>54</v>
      </c>
      <c r="E123" s="41" t="s">
        <v>2746</v>
      </c>
      <c r="F123" s="24" t="s">
        <v>66</v>
      </c>
    </row>
    <row r="124" spans="1:6" x14ac:dyDescent="0.25">
      <c r="A124" s="16"/>
      <c r="B124" s="423"/>
      <c r="C124" s="420">
        <v>5094</v>
      </c>
      <c r="D124" s="16" t="s">
        <v>54</v>
      </c>
      <c r="E124" s="16" t="s">
        <v>2718</v>
      </c>
      <c r="F124" s="24" t="s">
        <v>66</v>
      </c>
    </row>
    <row r="125" spans="1:6" x14ac:dyDescent="0.25">
      <c r="A125" s="16"/>
      <c r="B125" s="130" t="s">
        <v>12</v>
      </c>
      <c r="C125" s="420">
        <v>5118</v>
      </c>
      <c r="D125" s="16" t="s">
        <v>54</v>
      </c>
      <c r="E125" s="421" t="s">
        <v>2747</v>
      </c>
      <c r="F125" s="24" t="s">
        <v>66</v>
      </c>
    </row>
    <row r="126" spans="1:6" x14ac:dyDescent="0.25">
      <c r="A126" s="358">
        <v>43234</v>
      </c>
      <c r="B126" s="130" t="s">
        <v>12</v>
      </c>
      <c r="C126" s="416">
        <v>5153</v>
      </c>
      <c r="D126" s="16" t="s">
        <v>54</v>
      </c>
      <c r="E126" s="41" t="s">
        <v>2748</v>
      </c>
      <c r="F126" s="24" t="s">
        <v>66</v>
      </c>
    </row>
    <row r="127" spans="1:6" x14ac:dyDescent="0.25">
      <c r="A127" s="358">
        <v>43234</v>
      </c>
      <c r="B127" s="130" t="s">
        <v>12</v>
      </c>
      <c r="C127" s="416">
        <v>5411</v>
      </c>
      <c r="D127" s="16" t="s">
        <v>54</v>
      </c>
      <c r="E127" s="41" t="s">
        <v>2749</v>
      </c>
      <c r="F127" s="24" t="s">
        <v>66</v>
      </c>
    </row>
    <row r="128" spans="1:6" x14ac:dyDescent="0.25">
      <c r="A128" s="358">
        <v>43234</v>
      </c>
      <c r="B128" s="130" t="s">
        <v>12</v>
      </c>
      <c r="C128" s="416">
        <v>5555</v>
      </c>
      <c r="D128" s="16" t="s">
        <v>54</v>
      </c>
      <c r="E128" s="41" t="s">
        <v>2750</v>
      </c>
      <c r="F128" s="24" t="s">
        <v>66</v>
      </c>
    </row>
    <row r="129" spans="1:73" x14ac:dyDescent="0.25">
      <c r="A129" s="358">
        <v>43234</v>
      </c>
      <c r="B129" s="130" t="s">
        <v>12</v>
      </c>
      <c r="C129" s="416">
        <v>5564</v>
      </c>
      <c r="D129" s="16" t="s">
        <v>54</v>
      </c>
      <c r="E129" s="41" t="s">
        <v>2674</v>
      </c>
      <c r="F129" s="24" t="s">
        <v>66</v>
      </c>
    </row>
    <row r="130" spans="1:73" x14ac:dyDescent="0.25">
      <c r="A130" s="358">
        <v>43234</v>
      </c>
      <c r="B130" s="130" t="s">
        <v>12</v>
      </c>
      <c r="C130" s="416">
        <v>5620</v>
      </c>
      <c r="D130" s="16" t="s">
        <v>54</v>
      </c>
      <c r="E130" s="41" t="s">
        <v>2690</v>
      </c>
      <c r="F130" s="24" t="s">
        <v>66</v>
      </c>
    </row>
    <row r="131" spans="1:73" x14ac:dyDescent="0.25">
      <c r="A131" s="358">
        <v>43234</v>
      </c>
      <c r="B131" s="130" t="s">
        <v>12</v>
      </c>
      <c r="C131" s="416">
        <v>5621</v>
      </c>
      <c r="D131" s="16" t="s">
        <v>54</v>
      </c>
      <c r="E131" s="41" t="s">
        <v>2690</v>
      </c>
      <c r="F131" s="24" t="s">
        <v>66</v>
      </c>
    </row>
    <row r="132" spans="1:73" x14ac:dyDescent="0.25">
      <c r="A132" s="358">
        <v>43234</v>
      </c>
      <c r="B132" s="130" t="s">
        <v>12</v>
      </c>
      <c r="C132" s="416">
        <v>5623</v>
      </c>
      <c r="D132" s="16" t="s">
        <v>54</v>
      </c>
      <c r="E132" s="41" t="s">
        <v>2690</v>
      </c>
      <c r="F132" s="24" t="s">
        <v>66</v>
      </c>
    </row>
    <row r="133" spans="1:73" x14ac:dyDescent="0.25">
      <c r="A133" s="358">
        <v>43234</v>
      </c>
      <c r="B133" s="130" t="s">
        <v>12</v>
      </c>
      <c r="C133" s="416">
        <v>5625</v>
      </c>
      <c r="D133" s="16" t="s">
        <v>54</v>
      </c>
      <c r="E133" s="41" t="s">
        <v>2751</v>
      </c>
      <c r="F133" s="24" t="s">
        <v>66</v>
      </c>
    </row>
    <row r="134" spans="1:73" x14ac:dyDescent="0.25">
      <c r="A134" s="358">
        <v>43234</v>
      </c>
      <c r="B134" s="130" t="s">
        <v>12</v>
      </c>
      <c r="C134" s="416">
        <v>5830</v>
      </c>
      <c r="D134" s="16" t="s">
        <v>54</v>
      </c>
      <c r="E134" s="41" t="s">
        <v>2752</v>
      </c>
      <c r="F134" s="24" t="s">
        <v>66</v>
      </c>
    </row>
    <row r="135" spans="1:73" x14ac:dyDescent="0.25">
      <c r="A135" s="358">
        <v>43234</v>
      </c>
      <c r="B135" s="130" t="s">
        <v>12</v>
      </c>
      <c r="C135" s="416">
        <v>5907</v>
      </c>
      <c r="D135" s="16" t="s">
        <v>54</v>
      </c>
      <c r="E135" s="41" t="s">
        <v>2739</v>
      </c>
      <c r="F135" s="24" t="s">
        <v>66</v>
      </c>
    </row>
    <row r="136" spans="1:73" x14ac:dyDescent="0.25">
      <c r="A136" s="358">
        <v>43234</v>
      </c>
      <c r="B136" s="130" t="s">
        <v>12</v>
      </c>
      <c r="C136" s="416">
        <v>18866</v>
      </c>
      <c r="D136" s="16" t="s">
        <v>54</v>
      </c>
      <c r="E136" s="41" t="s">
        <v>2753</v>
      </c>
      <c r="F136" s="24" t="s">
        <v>66</v>
      </c>
    </row>
    <row r="137" spans="1:73" x14ac:dyDescent="0.25">
      <c r="A137" s="358">
        <v>43234</v>
      </c>
      <c r="B137" s="130" t="s">
        <v>12</v>
      </c>
      <c r="C137" s="416">
        <v>21244</v>
      </c>
      <c r="D137" s="16" t="s">
        <v>54</v>
      </c>
      <c r="E137" s="41" t="s">
        <v>2754</v>
      </c>
      <c r="F137" s="24" t="s">
        <v>66</v>
      </c>
    </row>
    <row r="138" spans="1:73" x14ac:dyDescent="0.25">
      <c r="A138" s="358">
        <v>43234</v>
      </c>
      <c r="B138" s="130" t="s">
        <v>12</v>
      </c>
      <c r="C138" s="39">
        <v>21246</v>
      </c>
      <c r="D138" s="16" t="s">
        <v>54</v>
      </c>
      <c r="E138" s="41" t="s">
        <v>2755</v>
      </c>
      <c r="F138" s="24" t="s">
        <v>66</v>
      </c>
      <c r="BU138" s="11"/>
    </row>
    <row r="139" spans="1:73" x14ac:dyDescent="0.25">
      <c r="A139" s="358">
        <v>43234</v>
      </c>
      <c r="B139" s="130" t="s">
        <v>12</v>
      </c>
      <c r="C139" s="416">
        <v>21594</v>
      </c>
      <c r="D139" s="16" t="s">
        <v>54</v>
      </c>
      <c r="E139" s="41" t="s">
        <v>2756</v>
      </c>
      <c r="F139" s="24" t="s">
        <v>66</v>
      </c>
    </row>
    <row r="140" spans="1:73" x14ac:dyDescent="0.25">
      <c r="A140" s="358">
        <v>43234</v>
      </c>
      <c r="B140" s="130" t="s">
        <v>12</v>
      </c>
      <c r="C140" s="416">
        <v>21595</v>
      </c>
      <c r="D140" s="16" t="s">
        <v>54</v>
      </c>
      <c r="E140" s="41" t="s">
        <v>2756</v>
      </c>
      <c r="F140" s="24" t="s">
        <v>66</v>
      </c>
    </row>
    <row r="141" spans="1:73" x14ac:dyDescent="0.25">
      <c r="A141" s="358">
        <v>43234</v>
      </c>
      <c r="B141" s="130" t="s">
        <v>12</v>
      </c>
      <c r="C141" s="416">
        <v>23907</v>
      </c>
      <c r="D141" s="16" t="s">
        <v>54</v>
      </c>
      <c r="E141" s="41" t="s">
        <v>2757</v>
      </c>
      <c r="F141" s="24" t="s">
        <v>66</v>
      </c>
    </row>
    <row r="142" spans="1:73" x14ac:dyDescent="0.25">
      <c r="A142" s="358">
        <v>43234</v>
      </c>
      <c r="B142" s="130" t="s">
        <v>12</v>
      </c>
      <c r="C142" s="416">
        <v>32576</v>
      </c>
      <c r="D142" s="16" t="s">
        <v>54</v>
      </c>
      <c r="E142" s="41" t="s">
        <v>2674</v>
      </c>
      <c r="F142" s="24" t="s">
        <v>66</v>
      </c>
    </row>
    <row r="143" spans="1:73" x14ac:dyDescent="0.25">
      <c r="A143" s="358">
        <v>43234</v>
      </c>
      <c r="B143" s="130" t="s">
        <v>12</v>
      </c>
      <c r="C143" s="416">
        <v>33151</v>
      </c>
      <c r="D143" s="16" t="s">
        <v>54</v>
      </c>
      <c r="E143" s="41" t="s">
        <v>2758</v>
      </c>
      <c r="F143" s="24" t="s">
        <v>66</v>
      </c>
    </row>
    <row r="144" spans="1:73" x14ac:dyDescent="0.25">
      <c r="A144" s="358">
        <v>43234</v>
      </c>
      <c r="B144" s="130" t="s">
        <v>12</v>
      </c>
      <c r="C144" s="416">
        <v>33152</v>
      </c>
      <c r="D144" s="16" t="s">
        <v>54</v>
      </c>
      <c r="E144" s="41" t="s">
        <v>2759</v>
      </c>
      <c r="F144" s="24" t="s">
        <v>66</v>
      </c>
    </row>
    <row r="145" spans="1:73" x14ac:dyDescent="0.25">
      <c r="A145" s="358">
        <v>43234</v>
      </c>
      <c r="B145" s="130" t="s">
        <v>12</v>
      </c>
      <c r="C145" s="416">
        <v>37642</v>
      </c>
      <c r="D145" s="16" t="s">
        <v>54</v>
      </c>
      <c r="E145" s="41" t="s">
        <v>2760</v>
      </c>
      <c r="F145" s="24" t="s">
        <v>66</v>
      </c>
    </row>
    <row r="146" spans="1:73" x14ac:dyDescent="0.25">
      <c r="A146" s="358">
        <v>43234</v>
      </c>
      <c r="B146" s="130" t="s">
        <v>12</v>
      </c>
      <c r="C146" s="416">
        <v>38502</v>
      </c>
      <c r="D146" s="16" t="s">
        <v>54</v>
      </c>
      <c r="E146" s="41" t="s">
        <v>2761</v>
      </c>
      <c r="F146" s="24" t="s">
        <v>66</v>
      </c>
    </row>
    <row r="147" spans="1:73" x14ac:dyDescent="0.25">
      <c r="A147" s="358">
        <v>43234</v>
      </c>
      <c r="B147" s="130" t="s">
        <v>12</v>
      </c>
      <c r="C147" s="416">
        <v>130610</v>
      </c>
      <c r="D147" s="16" t="s">
        <v>54</v>
      </c>
      <c r="E147" s="41" t="s">
        <v>2762</v>
      </c>
      <c r="F147" s="24" t="s">
        <v>66</v>
      </c>
    </row>
    <row r="148" spans="1:73" x14ac:dyDescent="0.25">
      <c r="A148" s="358">
        <v>43234</v>
      </c>
      <c r="B148" s="130" t="s">
        <v>12</v>
      </c>
      <c r="C148" s="416">
        <v>130612</v>
      </c>
      <c r="D148" s="16" t="s">
        <v>54</v>
      </c>
      <c r="E148" s="41" t="s">
        <v>2763</v>
      </c>
      <c r="F148" s="24" t="s">
        <v>66</v>
      </c>
    </row>
    <row r="149" spans="1:73" x14ac:dyDescent="0.25">
      <c r="A149" s="358">
        <v>43234</v>
      </c>
      <c r="B149" s="130" t="s">
        <v>12</v>
      </c>
      <c r="C149" s="416">
        <v>215993</v>
      </c>
      <c r="D149" s="16" t="s">
        <v>54</v>
      </c>
      <c r="E149" s="41" t="s">
        <v>2764</v>
      </c>
      <c r="F149" s="24" t="s">
        <v>66</v>
      </c>
    </row>
    <row r="150" spans="1:73" x14ac:dyDescent="0.25">
      <c r="A150" s="358">
        <v>43234</v>
      </c>
      <c r="B150" s="130" t="s">
        <v>12</v>
      </c>
      <c r="C150" s="416">
        <v>2613863</v>
      </c>
      <c r="D150" s="16" t="s">
        <v>54</v>
      </c>
      <c r="E150" s="41" t="s">
        <v>2765</v>
      </c>
      <c r="F150" s="24" t="s">
        <v>66</v>
      </c>
    </row>
    <row r="151" spans="1:73" x14ac:dyDescent="0.25">
      <c r="A151" s="358">
        <v>43234</v>
      </c>
      <c r="B151" s="130" t="s">
        <v>12</v>
      </c>
      <c r="C151" s="416">
        <v>32621606</v>
      </c>
      <c r="D151" s="16" t="s">
        <v>54</v>
      </c>
      <c r="E151" s="41" t="s">
        <v>2766</v>
      </c>
      <c r="F151" s="24" t="s">
        <v>66</v>
      </c>
    </row>
    <row r="152" spans="1:73" x14ac:dyDescent="0.25">
      <c r="A152" s="358">
        <v>43234</v>
      </c>
      <c r="B152" s="130" t="s">
        <v>12</v>
      </c>
      <c r="C152" s="416" t="s">
        <v>2767</v>
      </c>
      <c r="D152" s="16" t="s">
        <v>54</v>
      </c>
      <c r="E152" s="41" t="s">
        <v>495</v>
      </c>
      <c r="F152" s="24" t="s">
        <v>66</v>
      </c>
    </row>
    <row r="153" spans="1:73" x14ac:dyDescent="0.25">
      <c r="A153" s="358">
        <v>43234</v>
      </c>
      <c r="B153" s="130" t="s">
        <v>12</v>
      </c>
      <c r="C153" s="416" t="s">
        <v>2768</v>
      </c>
      <c r="D153" s="16" t="s">
        <v>54</v>
      </c>
      <c r="E153" s="41" t="s">
        <v>2769</v>
      </c>
      <c r="F153" s="24" t="s">
        <v>66</v>
      </c>
    </row>
    <row r="154" spans="1:73" x14ac:dyDescent="0.25">
      <c r="A154" s="16"/>
      <c r="B154" s="423"/>
      <c r="C154" s="442" t="s">
        <v>3365</v>
      </c>
      <c r="D154" s="16" t="s">
        <v>54</v>
      </c>
      <c r="E154" s="16" t="s">
        <v>3366</v>
      </c>
      <c r="F154" s="24" t="s">
        <v>66</v>
      </c>
    </row>
    <row r="155" spans="1:73" x14ac:dyDescent="0.25">
      <c r="A155" s="314">
        <v>42888</v>
      </c>
      <c r="B155" s="130" t="s">
        <v>12</v>
      </c>
      <c r="C155" s="419" t="s">
        <v>2770</v>
      </c>
      <c r="D155" s="16" t="s">
        <v>54</v>
      </c>
      <c r="E155" s="41" t="s">
        <v>2771</v>
      </c>
      <c r="F155" s="24" t="s">
        <v>66</v>
      </c>
      <c r="BU155" s="11"/>
    </row>
    <row r="156" spans="1:73" x14ac:dyDescent="0.25">
      <c r="A156" s="358">
        <v>43234</v>
      </c>
      <c r="B156" s="130" t="s">
        <v>12</v>
      </c>
      <c r="C156" s="416" t="s">
        <v>2772</v>
      </c>
      <c r="D156" s="16" t="s">
        <v>54</v>
      </c>
      <c r="E156" s="41" t="s">
        <v>2773</v>
      </c>
      <c r="F156" s="24" t="s">
        <v>66</v>
      </c>
    </row>
    <row r="157" spans="1:73" x14ac:dyDescent="0.25">
      <c r="A157" s="358">
        <v>43234</v>
      </c>
      <c r="B157" s="130" t="s">
        <v>12</v>
      </c>
      <c r="C157" s="416" t="s">
        <v>2774</v>
      </c>
      <c r="D157" s="16" t="s">
        <v>54</v>
      </c>
      <c r="E157" s="41" t="s">
        <v>2773</v>
      </c>
      <c r="F157" s="24" t="s">
        <v>66</v>
      </c>
    </row>
    <row r="158" spans="1:73" x14ac:dyDescent="0.25">
      <c r="A158" s="358">
        <v>43234</v>
      </c>
      <c r="B158" s="130" t="s">
        <v>12</v>
      </c>
      <c r="C158" s="416" t="s">
        <v>2775</v>
      </c>
      <c r="D158" s="16" t="s">
        <v>54</v>
      </c>
      <c r="E158" s="41" t="s">
        <v>2776</v>
      </c>
      <c r="F158" s="24" t="s">
        <v>66</v>
      </c>
    </row>
    <row r="159" spans="1:73" x14ac:dyDescent="0.25">
      <c r="A159" s="87">
        <v>42395</v>
      </c>
      <c r="B159" s="130" t="s">
        <v>12</v>
      </c>
      <c r="C159" s="422" t="s">
        <v>81</v>
      </c>
      <c r="D159" s="16" t="s">
        <v>54</v>
      </c>
      <c r="E159" s="16" t="s">
        <v>2777</v>
      </c>
      <c r="F159" s="24" t="s">
        <v>66</v>
      </c>
      <c r="BR159" s="11"/>
      <c r="BS159" s="11"/>
      <c r="BT159" s="11"/>
      <c r="BU159" s="11"/>
    </row>
    <row r="160" spans="1:73" x14ac:dyDescent="0.25">
      <c r="A160" s="16"/>
      <c r="B160" s="423"/>
      <c r="C160" s="424" t="s">
        <v>2778</v>
      </c>
      <c r="D160" s="222" t="s">
        <v>105</v>
      </c>
      <c r="E160" s="421" t="s">
        <v>2643</v>
      </c>
      <c r="F160" s="24" t="s">
        <v>66</v>
      </c>
    </row>
    <row r="161" spans="1:73" x14ac:dyDescent="0.25">
      <c r="A161" s="222"/>
      <c r="B161" s="130" t="s">
        <v>12</v>
      </c>
      <c r="C161" s="417" t="s">
        <v>2779</v>
      </c>
      <c r="D161" s="222" t="s">
        <v>105</v>
      </c>
      <c r="E161" s="29" t="s">
        <v>951</v>
      </c>
      <c r="F161" s="24" t="s">
        <v>66</v>
      </c>
    </row>
    <row r="162" spans="1:73" x14ac:dyDescent="0.25">
      <c r="A162" s="222"/>
      <c r="B162" s="130" t="s">
        <v>12</v>
      </c>
      <c r="C162" s="417" t="s">
        <v>2780</v>
      </c>
      <c r="D162" s="222" t="s">
        <v>54</v>
      </c>
      <c r="E162" s="29" t="s">
        <v>2781</v>
      </c>
      <c r="F162" s="24" t="s">
        <v>66</v>
      </c>
    </row>
    <row r="163" spans="1:73" x14ac:dyDescent="0.25">
      <c r="A163" s="222"/>
      <c r="B163" s="130" t="s">
        <v>12</v>
      </c>
      <c r="C163" s="417" t="s">
        <v>2782</v>
      </c>
      <c r="D163" s="222" t="s">
        <v>54</v>
      </c>
      <c r="E163" s="29" t="s">
        <v>951</v>
      </c>
      <c r="F163" s="24" t="s">
        <v>66</v>
      </c>
    </row>
    <row r="164" spans="1:73" x14ac:dyDescent="0.25">
      <c r="A164" s="16"/>
      <c r="B164" s="423"/>
      <c r="C164" s="442" t="s">
        <v>3367</v>
      </c>
      <c r="D164" s="222" t="s">
        <v>105</v>
      </c>
      <c r="E164" s="16" t="s">
        <v>71</v>
      </c>
      <c r="F164" s="24" t="s">
        <v>66</v>
      </c>
    </row>
    <row r="165" spans="1:73" x14ac:dyDescent="0.25">
      <c r="A165" s="314">
        <v>43035</v>
      </c>
      <c r="B165" s="130" t="s">
        <v>12</v>
      </c>
      <c r="C165" s="419" t="s">
        <v>2783</v>
      </c>
      <c r="D165" s="16" t="s">
        <v>105</v>
      </c>
      <c r="E165" s="41" t="s">
        <v>2784</v>
      </c>
      <c r="F165" s="24" t="s">
        <v>66</v>
      </c>
      <c r="BU165" s="11"/>
    </row>
    <row r="166" spans="1:73" x14ac:dyDescent="0.25">
      <c r="A166" s="222"/>
      <c r="B166" s="130" t="s">
        <v>12</v>
      </c>
      <c r="C166" s="417" t="s">
        <v>2783</v>
      </c>
      <c r="D166" s="222" t="s">
        <v>54</v>
      </c>
      <c r="E166" s="29" t="s">
        <v>2784</v>
      </c>
      <c r="F166" s="24" t="s">
        <v>66</v>
      </c>
    </row>
    <row r="167" spans="1:73" x14ac:dyDescent="0.25">
      <c r="A167" s="16"/>
      <c r="B167" s="423"/>
      <c r="C167" s="420" t="s">
        <v>2785</v>
      </c>
      <c r="D167" s="222" t="s">
        <v>105</v>
      </c>
      <c r="E167" s="421" t="s">
        <v>951</v>
      </c>
      <c r="F167" s="24" t="s">
        <v>66</v>
      </c>
    </row>
    <row r="168" spans="1:73" x14ac:dyDescent="0.25">
      <c r="A168" s="222"/>
      <c r="B168" s="130" t="s">
        <v>12</v>
      </c>
      <c r="C168" s="417" t="s">
        <v>2786</v>
      </c>
      <c r="D168" s="222" t="s">
        <v>54</v>
      </c>
      <c r="E168" s="29" t="s">
        <v>951</v>
      </c>
      <c r="F168" s="24" t="s">
        <v>66</v>
      </c>
    </row>
    <row r="169" spans="1:73" x14ac:dyDescent="0.25">
      <c r="A169" s="222"/>
      <c r="B169" s="130" t="s">
        <v>12</v>
      </c>
      <c r="C169" s="417" t="s">
        <v>2787</v>
      </c>
      <c r="D169" s="222" t="s">
        <v>105</v>
      </c>
      <c r="E169" s="29" t="s">
        <v>2643</v>
      </c>
      <c r="F169" s="24" t="s">
        <v>66</v>
      </c>
    </row>
    <row r="170" spans="1:73" x14ac:dyDescent="0.25">
      <c r="A170" s="87">
        <v>42781</v>
      </c>
      <c r="B170" s="130" t="s">
        <v>12</v>
      </c>
      <c r="C170" s="419" t="s">
        <v>2788</v>
      </c>
      <c r="D170" s="16" t="s">
        <v>54</v>
      </c>
      <c r="E170" s="41" t="s">
        <v>2643</v>
      </c>
      <c r="F170" s="24" t="s">
        <v>66</v>
      </c>
      <c r="BU170" s="11"/>
    </row>
    <row r="171" spans="1:73" x14ac:dyDescent="0.25">
      <c r="A171" s="222"/>
      <c r="B171" s="130" t="s">
        <v>12</v>
      </c>
      <c r="C171" s="417" t="s">
        <v>2788</v>
      </c>
      <c r="D171" s="222" t="s">
        <v>54</v>
      </c>
      <c r="E171" s="29" t="s">
        <v>2643</v>
      </c>
      <c r="F171" s="24" t="s">
        <v>66</v>
      </c>
    </row>
    <row r="172" spans="1:73" x14ac:dyDescent="0.25">
      <c r="A172" s="222"/>
      <c r="B172" s="130" t="s">
        <v>12</v>
      </c>
      <c r="C172" s="417" t="s">
        <v>2789</v>
      </c>
      <c r="D172" s="222" t="s">
        <v>54</v>
      </c>
      <c r="E172" s="29" t="s">
        <v>951</v>
      </c>
      <c r="F172" s="24" t="s">
        <v>66</v>
      </c>
    </row>
    <row r="173" spans="1:73" x14ac:dyDescent="0.25">
      <c r="A173" s="16"/>
      <c r="B173" s="423"/>
      <c r="C173" s="420" t="s">
        <v>3334</v>
      </c>
      <c r="D173" s="222" t="s">
        <v>105</v>
      </c>
      <c r="E173" s="16" t="s">
        <v>2439</v>
      </c>
      <c r="F173" s="24" t="s">
        <v>66</v>
      </c>
    </row>
    <row r="174" spans="1:73" x14ac:dyDescent="0.25">
      <c r="A174" s="222"/>
      <c r="B174" s="130" t="s">
        <v>12</v>
      </c>
      <c r="C174" s="417" t="s">
        <v>2790</v>
      </c>
      <c r="D174" s="222" t="s">
        <v>54</v>
      </c>
      <c r="E174" s="29" t="s">
        <v>951</v>
      </c>
      <c r="F174" s="24" t="s">
        <v>66</v>
      </c>
    </row>
    <row r="175" spans="1:73" x14ac:dyDescent="0.25">
      <c r="A175" s="314">
        <v>43035</v>
      </c>
      <c r="B175" s="130" t="s">
        <v>12</v>
      </c>
      <c r="C175" s="419" t="s">
        <v>2791</v>
      </c>
      <c r="D175" s="16" t="s">
        <v>105</v>
      </c>
      <c r="E175" s="41" t="s">
        <v>2784</v>
      </c>
      <c r="F175" s="24" t="s">
        <v>66</v>
      </c>
      <c r="BU175" s="11"/>
    </row>
    <row r="176" spans="1:73" x14ac:dyDescent="0.25">
      <c r="A176" s="16"/>
      <c r="B176" s="423"/>
      <c r="C176" s="442" t="s">
        <v>3368</v>
      </c>
      <c r="D176" s="222" t="s">
        <v>105</v>
      </c>
      <c r="E176" s="16" t="s">
        <v>2643</v>
      </c>
      <c r="F176" s="24" t="s">
        <v>66</v>
      </c>
    </row>
    <row r="177" spans="1:73" x14ac:dyDescent="0.25">
      <c r="A177" s="87">
        <v>42629</v>
      </c>
      <c r="B177" s="130" t="s">
        <v>12</v>
      </c>
      <c r="C177" s="407" t="s">
        <v>2792</v>
      </c>
      <c r="D177" s="16" t="s">
        <v>54</v>
      </c>
      <c r="E177" s="341" t="s">
        <v>2793</v>
      </c>
      <c r="F177" s="24" t="s">
        <v>66</v>
      </c>
      <c r="BS177" s="11"/>
      <c r="BT177" s="11"/>
      <c r="BU177" s="11"/>
    </row>
    <row r="178" spans="1:73" x14ac:dyDescent="0.25">
      <c r="A178" s="314">
        <v>43035</v>
      </c>
      <c r="B178" s="130" t="s">
        <v>12</v>
      </c>
      <c r="C178" s="419" t="s">
        <v>2794</v>
      </c>
      <c r="D178" s="16" t="s">
        <v>105</v>
      </c>
      <c r="E178" s="41" t="s">
        <v>2643</v>
      </c>
      <c r="F178" s="24" t="s">
        <v>66</v>
      </c>
      <c r="BU178" s="11"/>
    </row>
    <row r="179" spans="1:73" x14ac:dyDescent="0.25">
      <c r="A179" s="16"/>
      <c r="B179" s="423"/>
      <c r="C179" s="442" t="s">
        <v>3369</v>
      </c>
      <c r="D179" s="222" t="s">
        <v>105</v>
      </c>
      <c r="E179" s="16" t="s">
        <v>951</v>
      </c>
      <c r="F179" s="24" t="s">
        <v>66</v>
      </c>
    </row>
    <row r="180" spans="1:73" x14ac:dyDescent="0.25">
      <c r="A180" s="358">
        <v>43234</v>
      </c>
      <c r="B180" s="130" t="s">
        <v>12</v>
      </c>
      <c r="C180" s="416" t="s">
        <v>2795</v>
      </c>
      <c r="D180" s="16" t="s">
        <v>54</v>
      </c>
      <c r="E180" s="41" t="s">
        <v>2796</v>
      </c>
      <c r="F180" s="24" t="s">
        <v>66</v>
      </c>
    </row>
    <row r="181" spans="1:73" x14ac:dyDescent="0.25">
      <c r="A181" s="358">
        <v>43234</v>
      </c>
      <c r="B181" s="130" t="s">
        <v>12</v>
      </c>
      <c r="C181" s="416" t="s">
        <v>2797</v>
      </c>
      <c r="D181" s="16" t="s">
        <v>54</v>
      </c>
      <c r="E181" s="41" t="s">
        <v>2645</v>
      </c>
      <c r="F181" s="24" t="s">
        <v>66</v>
      </c>
    </row>
    <row r="182" spans="1:73" x14ac:dyDescent="0.25">
      <c r="A182" s="222"/>
      <c r="B182" s="130" t="s">
        <v>12</v>
      </c>
      <c r="C182" s="417" t="s">
        <v>2798</v>
      </c>
      <c r="D182" s="222" t="s">
        <v>54</v>
      </c>
      <c r="E182" s="29" t="s">
        <v>951</v>
      </c>
      <c r="F182" s="24" t="s">
        <v>66</v>
      </c>
    </row>
    <row r="183" spans="1:73" x14ac:dyDescent="0.25">
      <c r="A183" s="314">
        <v>43035</v>
      </c>
      <c r="B183" s="130" t="s">
        <v>12</v>
      </c>
      <c r="C183" s="419" t="s">
        <v>2799</v>
      </c>
      <c r="D183" s="16" t="s">
        <v>105</v>
      </c>
      <c r="E183" s="41" t="s">
        <v>951</v>
      </c>
      <c r="F183" s="24" t="s">
        <v>66</v>
      </c>
      <c r="BU183" s="11"/>
    </row>
    <row r="184" spans="1:73" x14ac:dyDescent="0.25">
      <c r="A184" s="358">
        <v>43234</v>
      </c>
      <c r="B184" s="130" t="s">
        <v>12</v>
      </c>
      <c r="C184" s="416" t="s">
        <v>2800</v>
      </c>
      <c r="D184" s="16" t="s">
        <v>54</v>
      </c>
      <c r="E184" s="41" t="s">
        <v>2643</v>
      </c>
      <c r="F184" s="24" t="s">
        <v>66</v>
      </c>
    </row>
    <row r="185" spans="1:73" x14ac:dyDescent="0.25">
      <c r="A185" s="16"/>
      <c r="B185" s="423"/>
      <c r="C185" s="420" t="s">
        <v>2801</v>
      </c>
      <c r="D185" s="222" t="s">
        <v>105</v>
      </c>
      <c r="E185" s="425" t="s">
        <v>2802</v>
      </c>
      <c r="F185" s="24" t="s">
        <v>66</v>
      </c>
    </row>
    <row r="186" spans="1:73" x14ac:dyDescent="0.25">
      <c r="A186" s="222"/>
      <c r="B186" s="130" t="s">
        <v>12</v>
      </c>
      <c r="C186" s="417" t="s">
        <v>2803</v>
      </c>
      <c r="D186" s="222" t="s">
        <v>54</v>
      </c>
      <c r="E186" s="29" t="s">
        <v>2643</v>
      </c>
      <c r="F186" s="24" t="s">
        <v>66</v>
      </c>
    </row>
    <row r="187" spans="1:73" x14ac:dyDescent="0.25">
      <c r="A187" s="87">
        <v>42781</v>
      </c>
      <c r="B187" s="130" t="s">
        <v>12</v>
      </c>
      <c r="C187" s="419" t="s">
        <v>2804</v>
      </c>
      <c r="D187" s="16" t="s">
        <v>105</v>
      </c>
      <c r="E187" s="41" t="s">
        <v>2805</v>
      </c>
      <c r="F187" s="24" t="s">
        <v>66</v>
      </c>
      <c r="BU187" s="11"/>
    </row>
    <row r="188" spans="1:73" x14ac:dyDescent="0.25">
      <c r="A188" s="16"/>
      <c r="B188" s="423"/>
      <c r="C188" s="442" t="s">
        <v>3370</v>
      </c>
      <c r="D188" s="222" t="s">
        <v>105</v>
      </c>
      <c r="E188" s="16" t="s">
        <v>3371</v>
      </c>
      <c r="F188" s="24" t="s">
        <v>66</v>
      </c>
    </row>
    <row r="189" spans="1:73" x14ac:dyDescent="0.25">
      <c r="A189" s="16"/>
      <c r="B189" s="423"/>
      <c r="C189" s="420" t="s">
        <v>3335</v>
      </c>
      <c r="D189" s="16" t="s">
        <v>54</v>
      </c>
      <c r="E189" s="16" t="s">
        <v>2655</v>
      </c>
      <c r="F189" s="24" t="s">
        <v>66</v>
      </c>
    </row>
    <row r="190" spans="1:73" x14ac:dyDescent="0.25">
      <c r="A190" s="87">
        <v>42781</v>
      </c>
      <c r="B190" s="130" t="s">
        <v>12</v>
      </c>
      <c r="C190" s="419" t="s">
        <v>2806</v>
      </c>
      <c r="D190" s="16" t="s">
        <v>54</v>
      </c>
      <c r="E190" s="41" t="s">
        <v>2655</v>
      </c>
      <c r="F190" s="24" t="s">
        <v>66</v>
      </c>
    </row>
    <row r="191" spans="1:73" x14ac:dyDescent="0.25">
      <c r="A191" s="358">
        <v>43234</v>
      </c>
      <c r="B191" s="130" t="s">
        <v>12</v>
      </c>
      <c r="C191" s="416" t="s">
        <v>2807</v>
      </c>
      <c r="D191" s="16" t="s">
        <v>54</v>
      </c>
      <c r="E191" s="41" t="s">
        <v>951</v>
      </c>
      <c r="F191" s="24" t="s">
        <v>66</v>
      </c>
    </row>
    <row r="192" spans="1:73" x14ac:dyDescent="0.25">
      <c r="A192" s="358">
        <v>43234</v>
      </c>
      <c r="B192" s="130" t="s">
        <v>12</v>
      </c>
      <c r="C192" s="416" t="s">
        <v>2808</v>
      </c>
      <c r="D192" s="16" t="s">
        <v>54</v>
      </c>
      <c r="E192" s="41" t="s">
        <v>2809</v>
      </c>
      <c r="F192" s="24" t="s">
        <v>66</v>
      </c>
    </row>
    <row r="193" spans="1:73" x14ac:dyDescent="0.25">
      <c r="A193" s="358">
        <v>43234</v>
      </c>
      <c r="B193" s="130" t="s">
        <v>12</v>
      </c>
      <c r="C193" s="416" t="s">
        <v>2810</v>
      </c>
      <c r="D193" s="16" t="s">
        <v>54</v>
      </c>
      <c r="E193" s="41" t="s">
        <v>951</v>
      </c>
      <c r="F193" s="24" t="s">
        <v>66</v>
      </c>
    </row>
    <row r="194" spans="1:73" x14ac:dyDescent="0.25">
      <c r="A194" s="358">
        <v>43234</v>
      </c>
      <c r="B194" s="130" t="s">
        <v>12</v>
      </c>
      <c r="C194" s="416" t="s">
        <v>2811</v>
      </c>
      <c r="D194" s="16" t="s">
        <v>54</v>
      </c>
      <c r="E194" s="41" t="s">
        <v>2809</v>
      </c>
      <c r="F194" s="24" t="s">
        <v>66</v>
      </c>
    </row>
    <row r="195" spans="1:73" x14ac:dyDescent="0.25">
      <c r="A195" s="358">
        <v>43234</v>
      </c>
      <c r="B195" s="130" t="s">
        <v>12</v>
      </c>
      <c r="C195" s="416" t="s">
        <v>2812</v>
      </c>
      <c r="D195" s="16" t="s">
        <v>54</v>
      </c>
      <c r="E195" s="41" t="s">
        <v>2645</v>
      </c>
      <c r="F195" s="24" t="s">
        <v>66</v>
      </c>
    </row>
    <row r="196" spans="1:73" x14ac:dyDescent="0.25">
      <c r="A196" s="358">
        <v>43234</v>
      </c>
      <c r="B196" s="130" t="s">
        <v>12</v>
      </c>
      <c r="C196" s="416" t="s">
        <v>2813</v>
      </c>
      <c r="D196" s="16" t="s">
        <v>54</v>
      </c>
      <c r="E196" s="41" t="s">
        <v>951</v>
      </c>
      <c r="F196" s="24" t="s">
        <v>66</v>
      </c>
    </row>
    <row r="197" spans="1:73" x14ac:dyDescent="0.25">
      <c r="A197" s="358">
        <v>43234</v>
      </c>
      <c r="B197" s="130" t="s">
        <v>12</v>
      </c>
      <c r="C197" s="416" t="s">
        <v>2814</v>
      </c>
      <c r="D197" s="16" t="s">
        <v>54</v>
      </c>
      <c r="E197" s="41" t="s">
        <v>2643</v>
      </c>
      <c r="F197" s="24" t="s">
        <v>66</v>
      </c>
    </row>
    <row r="198" spans="1:73" x14ac:dyDescent="0.25">
      <c r="A198" s="16"/>
      <c r="B198" s="423"/>
      <c r="C198" s="442" t="s">
        <v>3372</v>
      </c>
      <c r="D198" s="16" t="s">
        <v>105</v>
      </c>
      <c r="E198" s="16" t="s">
        <v>2643</v>
      </c>
      <c r="F198" s="24" t="s">
        <v>66</v>
      </c>
    </row>
    <row r="199" spans="1:73" x14ac:dyDescent="0.25">
      <c r="A199" s="358">
        <v>43234</v>
      </c>
      <c r="B199" s="130" t="s">
        <v>12</v>
      </c>
      <c r="C199" s="416" t="s">
        <v>2815</v>
      </c>
      <c r="D199" s="16" t="s">
        <v>54</v>
      </c>
      <c r="E199" s="41" t="s">
        <v>2796</v>
      </c>
      <c r="F199" s="24" t="s">
        <v>66</v>
      </c>
    </row>
    <row r="200" spans="1:73" x14ac:dyDescent="0.25">
      <c r="A200" s="314">
        <v>43035</v>
      </c>
      <c r="B200" s="130" t="s">
        <v>12</v>
      </c>
      <c r="C200" s="419" t="s">
        <v>2816</v>
      </c>
      <c r="D200" s="16" t="s">
        <v>105</v>
      </c>
      <c r="E200" s="41" t="s">
        <v>2796</v>
      </c>
      <c r="F200" s="24" t="s">
        <v>66</v>
      </c>
      <c r="BU200" s="11"/>
    </row>
    <row r="201" spans="1:73" x14ac:dyDescent="0.25">
      <c r="A201" s="16"/>
      <c r="B201" s="423"/>
      <c r="C201" s="442" t="s">
        <v>3373</v>
      </c>
      <c r="D201" s="16" t="s">
        <v>105</v>
      </c>
      <c r="E201" s="16" t="s">
        <v>1785</v>
      </c>
      <c r="F201" s="24" t="s">
        <v>66</v>
      </c>
    </row>
    <row r="202" spans="1:73" x14ac:dyDescent="0.25">
      <c r="A202" s="87">
        <v>42629</v>
      </c>
      <c r="B202" s="130" t="s">
        <v>12</v>
      </c>
      <c r="C202" s="407" t="s">
        <v>2817</v>
      </c>
      <c r="D202" s="16" t="s">
        <v>105</v>
      </c>
      <c r="E202" s="16" t="s">
        <v>71</v>
      </c>
      <c r="F202" s="24" t="s">
        <v>66</v>
      </c>
      <c r="BS202" s="11"/>
      <c r="BT202" s="11"/>
      <c r="BU202" s="11"/>
    </row>
    <row r="203" spans="1:73" x14ac:dyDescent="0.25">
      <c r="A203" s="16"/>
      <c r="B203" s="423"/>
      <c r="C203" s="442" t="s">
        <v>3374</v>
      </c>
      <c r="D203" s="16" t="s">
        <v>105</v>
      </c>
      <c r="E203" s="16" t="s">
        <v>3375</v>
      </c>
      <c r="F203" s="24" t="s">
        <v>66</v>
      </c>
    </row>
    <row r="204" spans="1:73" x14ac:dyDescent="0.25">
      <c r="A204" s="16"/>
      <c r="B204" s="423"/>
      <c r="C204" s="442" t="s">
        <v>3376</v>
      </c>
      <c r="D204" s="222" t="s">
        <v>54</v>
      </c>
      <c r="E204" s="16" t="s">
        <v>3377</v>
      </c>
      <c r="F204" s="24" t="s">
        <v>66</v>
      </c>
    </row>
    <row r="205" spans="1:73" x14ac:dyDescent="0.25">
      <c r="A205" s="16"/>
      <c r="B205" s="423"/>
      <c r="C205" s="442" t="s">
        <v>3378</v>
      </c>
      <c r="D205" s="222" t="s">
        <v>54</v>
      </c>
      <c r="E205" s="16" t="s">
        <v>3379</v>
      </c>
      <c r="F205" s="24" t="s">
        <v>66</v>
      </c>
    </row>
    <row r="206" spans="1:73" x14ac:dyDescent="0.25">
      <c r="A206" s="222"/>
      <c r="B206" s="130" t="s">
        <v>12</v>
      </c>
      <c r="C206" s="417" t="s">
        <v>2818</v>
      </c>
      <c r="D206" s="222" t="s">
        <v>54</v>
      </c>
      <c r="E206" s="29" t="s">
        <v>2819</v>
      </c>
      <c r="F206" s="24" t="s">
        <v>66</v>
      </c>
    </row>
    <row r="207" spans="1:73" x14ac:dyDescent="0.25">
      <c r="A207" s="222"/>
      <c r="B207" s="130" t="s">
        <v>12</v>
      </c>
      <c r="C207" s="417" t="s">
        <v>2820</v>
      </c>
      <c r="D207" s="222" t="s">
        <v>54</v>
      </c>
      <c r="E207" s="29" t="s">
        <v>2819</v>
      </c>
      <c r="F207" s="24" t="s">
        <v>66</v>
      </c>
    </row>
    <row r="208" spans="1:73" x14ac:dyDescent="0.25">
      <c r="A208" s="358">
        <v>43234</v>
      </c>
      <c r="B208" s="130" t="s">
        <v>12</v>
      </c>
      <c r="C208" s="416" t="s">
        <v>2821</v>
      </c>
      <c r="D208" s="16" t="s">
        <v>54</v>
      </c>
      <c r="E208" s="41" t="s">
        <v>2819</v>
      </c>
      <c r="F208" s="24" t="s">
        <v>66</v>
      </c>
    </row>
    <row r="209" spans="1:91" x14ac:dyDescent="0.25">
      <c r="A209" s="314">
        <v>43035</v>
      </c>
      <c r="B209" s="130" t="s">
        <v>12</v>
      </c>
      <c r="C209" s="419" t="s">
        <v>2822</v>
      </c>
      <c r="D209" s="16" t="s">
        <v>105</v>
      </c>
      <c r="E209" s="41" t="s">
        <v>2819</v>
      </c>
      <c r="F209" s="24" t="s">
        <v>66</v>
      </c>
      <c r="BU209" s="11"/>
    </row>
    <row r="210" spans="1:91" x14ac:dyDescent="0.25">
      <c r="A210" s="222"/>
      <c r="B210" s="130" t="s">
        <v>12</v>
      </c>
      <c r="C210" s="417" t="s">
        <v>2823</v>
      </c>
      <c r="D210" s="222" t="s">
        <v>54</v>
      </c>
      <c r="E210" s="29" t="s">
        <v>2819</v>
      </c>
      <c r="F210" s="24" t="s">
        <v>66</v>
      </c>
    </row>
    <row r="211" spans="1:91" x14ac:dyDescent="0.25">
      <c r="A211" s="16"/>
      <c r="B211" s="423"/>
      <c r="C211" s="442" t="s">
        <v>3380</v>
      </c>
      <c r="D211" s="16" t="s">
        <v>105</v>
      </c>
      <c r="E211" s="16" t="s">
        <v>2819</v>
      </c>
      <c r="F211" s="24" t="s">
        <v>66</v>
      </c>
    </row>
    <row r="212" spans="1:91" x14ac:dyDescent="0.25">
      <c r="A212" s="222"/>
      <c r="B212" s="130" t="s">
        <v>12</v>
      </c>
      <c r="C212" s="417" t="s">
        <v>2824</v>
      </c>
      <c r="D212" s="222" t="s">
        <v>54</v>
      </c>
      <c r="E212" s="29" t="s">
        <v>2819</v>
      </c>
      <c r="F212" s="24" t="s">
        <v>66</v>
      </c>
    </row>
    <row r="213" spans="1:91" x14ac:dyDescent="0.25">
      <c r="A213" s="222"/>
      <c r="B213" s="130" t="s">
        <v>12</v>
      </c>
      <c r="C213" s="417" t="s">
        <v>2825</v>
      </c>
      <c r="D213" s="222" t="s">
        <v>54</v>
      </c>
      <c r="E213" s="29" t="s">
        <v>2819</v>
      </c>
      <c r="F213" s="24" t="s">
        <v>66</v>
      </c>
    </row>
    <row r="214" spans="1:91" x14ac:dyDescent="0.25">
      <c r="A214" s="16"/>
      <c r="B214" s="423"/>
      <c r="C214" s="420" t="s">
        <v>3336</v>
      </c>
      <c r="D214" s="16" t="s">
        <v>105</v>
      </c>
      <c r="E214" s="16" t="s">
        <v>2827</v>
      </c>
      <c r="F214" s="24" t="s">
        <v>66</v>
      </c>
    </row>
    <row r="215" spans="1:91" x14ac:dyDescent="0.25">
      <c r="A215" s="222"/>
      <c r="B215" s="130" t="s">
        <v>12</v>
      </c>
      <c r="C215" s="417" t="s">
        <v>2826</v>
      </c>
      <c r="D215" s="222" t="s">
        <v>54</v>
      </c>
      <c r="E215" s="29" t="s">
        <v>2827</v>
      </c>
      <c r="F215" s="24" t="s">
        <v>66</v>
      </c>
    </row>
    <row r="216" spans="1:91" x14ac:dyDescent="0.25">
      <c r="A216" s="16"/>
      <c r="B216" s="423" t="s">
        <v>12</v>
      </c>
      <c r="C216" s="420" t="s">
        <v>2828</v>
      </c>
      <c r="D216" s="222" t="s">
        <v>54</v>
      </c>
      <c r="E216" s="421" t="s">
        <v>2493</v>
      </c>
      <c r="F216" s="24" t="s">
        <v>66</v>
      </c>
    </row>
    <row r="217" spans="1:91" x14ac:dyDescent="0.25">
      <c r="A217" s="314">
        <v>42888</v>
      </c>
      <c r="B217" s="130" t="s">
        <v>12</v>
      </c>
      <c r="C217" s="419" t="s">
        <v>2829</v>
      </c>
      <c r="D217" s="16" t="s">
        <v>54</v>
      </c>
      <c r="E217" s="41" t="s">
        <v>2830</v>
      </c>
      <c r="F217" s="24" t="s">
        <v>66</v>
      </c>
      <c r="BU217" s="11"/>
    </row>
    <row r="218" spans="1:91" x14ac:dyDescent="0.25">
      <c r="A218" s="390">
        <v>43553</v>
      </c>
      <c r="B218" s="443" t="s">
        <v>12</v>
      </c>
      <c r="C218" s="444" t="s">
        <v>3243</v>
      </c>
      <c r="D218" s="470" t="s">
        <v>54</v>
      </c>
      <c r="E218" s="16" t="s">
        <v>2493</v>
      </c>
      <c r="F218" s="24" t="s">
        <v>66</v>
      </c>
    </row>
    <row r="219" spans="1:91" x14ac:dyDescent="0.25">
      <c r="A219" s="358">
        <v>43123</v>
      </c>
      <c r="B219" s="130" t="s">
        <v>12</v>
      </c>
      <c r="C219" s="419" t="s">
        <v>2831</v>
      </c>
      <c r="D219" s="16" t="s">
        <v>54</v>
      </c>
      <c r="E219" s="41" t="s">
        <v>2493</v>
      </c>
      <c r="F219" s="24" t="s">
        <v>66</v>
      </c>
      <c r="BU219" s="11"/>
    </row>
    <row r="220" spans="1:91" x14ac:dyDescent="0.25">
      <c r="A220" s="358">
        <v>43234</v>
      </c>
      <c r="B220" s="130" t="s">
        <v>12</v>
      </c>
      <c r="C220" s="416" t="s">
        <v>2832</v>
      </c>
      <c r="D220" s="16" t="s">
        <v>54</v>
      </c>
      <c r="E220" s="41" t="s">
        <v>2833</v>
      </c>
      <c r="F220" s="24" t="s">
        <v>66</v>
      </c>
    </row>
    <row r="221" spans="1:91" x14ac:dyDescent="0.25">
      <c r="A221" s="222"/>
      <c r="B221" s="130" t="s">
        <v>12</v>
      </c>
      <c r="C221" s="417" t="s">
        <v>2834</v>
      </c>
      <c r="D221" s="222" t="s">
        <v>54</v>
      </c>
      <c r="E221" s="29" t="s">
        <v>2493</v>
      </c>
      <c r="F221" s="24" t="s">
        <v>66</v>
      </c>
    </row>
    <row r="222" spans="1:91" x14ac:dyDescent="0.25">
      <c r="A222" s="358">
        <v>43129</v>
      </c>
      <c r="B222" s="130" t="s">
        <v>12</v>
      </c>
      <c r="C222" s="419" t="s">
        <v>2835</v>
      </c>
      <c r="D222" s="16" t="s">
        <v>54</v>
      </c>
      <c r="E222" s="41" t="s">
        <v>2493</v>
      </c>
      <c r="F222" s="24" t="s">
        <v>66</v>
      </c>
      <c r="BU222" s="11"/>
    </row>
    <row r="223" spans="1:91" x14ac:dyDescent="0.25">
      <c r="A223" s="16"/>
      <c r="B223" s="423"/>
      <c r="C223" s="442" t="s">
        <v>3381</v>
      </c>
      <c r="D223" s="16" t="s">
        <v>54</v>
      </c>
      <c r="E223" s="16" t="s">
        <v>2493</v>
      </c>
      <c r="F223" s="24" t="s">
        <v>66</v>
      </c>
    </row>
    <row r="224" spans="1:91" s="11" customFormat="1" x14ac:dyDescent="0.25">
      <c r="A224" s="16"/>
      <c r="B224" s="423"/>
      <c r="C224" s="442" t="s">
        <v>3337</v>
      </c>
      <c r="D224" s="16" t="s">
        <v>54</v>
      </c>
      <c r="E224" s="16" t="s">
        <v>2493</v>
      </c>
      <c r="F224" s="24" t="s">
        <v>66</v>
      </c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</row>
    <row r="225" spans="1:91" s="11" customFormat="1" x14ac:dyDescent="0.25">
      <c r="A225" s="16"/>
      <c r="B225" s="423"/>
      <c r="C225" s="442" t="s">
        <v>3382</v>
      </c>
      <c r="D225" s="16" t="s">
        <v>54</v>
      </c>
      <c r="E225" s="16" t="s">
        <v>2493</v>
      </c>
      <c r="F225" s="24" t="s">
        <v>66</v>
      </c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</row>
    <row r="226" spans="1:91" s="11" customFormat="1" x14ac:dyDescent="0.25">
      <c r="A226" s="390">
        <v>43553</v>
      </c>
      <c r="B226" s="443" t="s">
        <v>12</v>
      </c>
      <c r="C226" s="415" t="s">
        <v>3244</v>
      </c>
      <c r="D226" s="16" t="s">
        <v>54</v>
      </c>
      <c r="E226" s="16" t="s">
        <v>2493</v>
      </c>
      <c r="F226" s="24" t="s">
        <v>66</v>
      </c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</row>
    <row r="227" spans="1:91" s="11" customFormat="1" x14ac:dyDescent="0.25">
      <c r="A227" s="358">
        <v>43234</v>
      </c>
      <c r="B227" s="130" t="s">
        <v>12</v>
      </c>
      <c r="C227" s="367" t="s">
        <v>2836</v>
      </c>
      <c r="D227" s="16" t="s">
        <v>54</v>
      </c>
      <c r="E227" s="421" t="s">
        <v>2493</v>
      </c>
      <c r="F227" s="24" t="s">
        <v>66</v>
      </c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</row>
    <row r="228" spans="1:91" s="11" customFormat="1" x14ac:dyDescent="0.25">
      <c r="A228" s="16"/>
      <c r="B228" s="423"/>
      <c r="C228" s="442" t="s">
        <v>3383</v>
      </c>
      <c r="D228" s="16" t="s">
        <v>54</v>
      </c>
      <c r="E228" s="16" t="s">
        <v>2493</v>
      </c>
      <c r="F228" s="24" t="s">
        <v>66</v>
      </c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</row>
    <row r="229" spans="1:91" s="11" customFormat="1" x14ac:dyDescent="0.25">
      <c r="A229" s="16"/>
      <c r="B229" s="423"/>
      <c r="C229" s="420" t="s">
        <v>3338</v>
      </c>
      <c r="D229" s="16" t="s">
        <v>54</v>
      </c>
      <c r="E229" s="16" t="s">
        <v>2839</v>
      </c>
      <c r="F229" s="24" t="s">
        <v>66</v>
      </c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</row>
    <row r="230" spans="1:91" s="11" customFormat="1" x14ac:dyDescent="0.25">
      <c r="A230" s="358">
        <v>43089</v>
      </c>
      <c r="B230" s="130" t="s">
        <v>12</v>
      </c>
      <c r="C230" s="419" t="s">
        <v>2837</v>
      </c>
      <c r="D230" s="16" t="s">
        <v>54</v>
      </c>
      <c r="E230" s="41" t="s">
        <v>2653</v>
      </c>
      <c r="F230" s="24" t="s">
        <v>66</v>
      </c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</row>
    <row r="231" spans="1:91" s="11" customFormat="1" x14ac:dyDescent="0.25">
      <c r="A231" s="222"/>
      <c r="B231" s="130" t="s">
        <v>12</v>
      </c>
      <c r="C231" s="417" t="s">
        <v>2838</v>
      </c>
      <c r="D231" s="16" t="s">
        <v>54</v>
      </c>
      <c r="E231" s="29" t="s">
        <v>2839</v>
      </c>
      <c r="F231" s="24" t="s">
        <v>66</v>
      </c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</row>
    <row r="232" spans="1:91" s="11" customFormat="1" x14ac:dyDescent="0.25">
      <c r="A232" s="87">
        <v>42534</v>
      </c>
      <c r="B232" s="130" t="s">
        <v>2840</v>
      </c>
      <c r="C232" s="422" t="s">
        <v>2841</v>
      </c>
      <c r="D232" s="16" t="s">
        <v>54</v>
      </c>
      <c r="E232" s="16" t="s">
        <v>59</v>
      </c>
      <c r="F232" s="24" t="s">
        <v>66</v>
      </c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</row>
    <row r="233" spans="1:91" s="11" customFormat="1" x14ac:dyDescent="0.25">
      <c r="A233" s="390">
        <v>43553</v>
      </c>
      <c r="B233" s="443" t="s">
        <v>12</v>
      </c>
      <c r="C233" s="415" t="s">
        <v>3245</v>
      </c>
      <c r="D233" s="470" t="s">
        <v>54</v>
      </c>
      <c r="E233" s="16" t="s">
        <v>3246</v>
      </c>
      <c r="F233" s="24" t="s">
        <v>66</v>
      </c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</row>
    <row r="234" spans="1:91" s="11" customFormat="1" x14ac:dyDescent="0.25">
      <c r="A234" s="16"/>
      <c r="B234" s="423"/>
      <c r="C234" s="442" t="s">
        <v>3245</v>
      </c>
      <c r="D234" s="470" t="s">
        <v>54</v>
      </c>
      <c r="E234" s="16" t="s">
        <v>3246</v>
      </c>
      <c r="F234" s="24" t="s">
        <v>66</v>
      </c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</row>
    <row r="235" spans="1:91" s="11" customFormat="1" x14ac:dyDescent="0.25">
      <c r="A235" s="390">
        <v>43553</v>
      </c>
      <c r="B235" s="443" t="s">
        <v>12</v>
      </c>
      <c r="C235" s="415" t="s">
        <v>3247</v>
      </c>
      <c r="D235" s="470" t="s">
        <v>54</v>
      </c>
      <c r="E235" s="16" t="s">
        <v>2493</v>
      </c>
      <c r="F235" s="24" t="s">
        <v>66</v>
      </c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</row>
    <row r="236" spans="1:91" s="11" customFormat="1" ht="30" x14ac:dyDescent="0.25">
      <c r="A236" s="87">
        <v>42781</v>
      </c>
      <c r="B236" s="426" t="s">
        <v>12</v>
      </c>
      <c r="C236" s="419" t="s">
        <v>2842</v>
      </c>
      <c r="D236" s="470" t="s">
        <v>54</v>
      </c>
      <c r="E236" s="46" t="s">
        <v>2843</v>
      </c>
      <c r="F236" s="24" t="s">
        <v>66</v>
      </c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</row>
    <row r="237" spans="1:91" s="11" customFormat="1" x14ac:dyDescent="0.25">
      <c r="A237" s="87">
        <v>42629</v>
      </c>
      <c r="B237" s="130" t="s">
        <v>12</v>
      </c>
      <c r="C237" s="422" t="s">
        <v>2844</v>
      </c>
      <c r="D237" s="470" t="s">
        <v>54</v>
      </c>
      <c r="E237" s="16" t="s">
        <v>59</v>
      </c>
      <c r="F237" s="24" t="s">
        <v>66</v>
      </c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</row>
    <row r="238" spans="1:91" s="11" customFormat="1" x14ac:dyDescent="0.25">
      <c r="A238" s="87">
        <v>42725</v>
      </c>
      <c r="B238" s="130" t="s">
        <v>12</v>
      </c>
      <c r="C238" s="427" t="s">
        <v>2845</v>
      </c>
      <c r="D238" s="470" t="s">
        <v>54</v>
      </c>
      <c r="E238" s="41" t="s">
        <v>2493</v>
      </c>
      <c r="F238" s="24" t="s">
        <v>66</v>
      </c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</row>
    <row r="239" spans="1:91" s="11" customFormat="1" x14ac:dyDescent="0.25">
      <c r="A239" s="390">
        <v>43553</v>
      </c>
      <c r="B239" s="443" t="s">
        <v>12</v>
      </c>
      <c r="C239" s="415" t="s">
        <v>3248</v>
      </c>
      <c r="D239" s="470" t="s">
        <v>54</v>
      </c>
      <c r="E239" s="16" t="s">
        <v>2493</v>
      </c>
      <c r="F239" s="24" t="s">
        <v>66</v>
      </c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</row>
    <row r="240" spans="1:91" s="11" customFormat="1" x14ac:dyDescent="0.25">
      <c r="A240" s="390"/>
      <c r="B240" s="443"/>
      <c r="C240" s="407" t="s">
        <v>3339</v>
      </c>
      <c r="D240" s="131" t="s">
        <v>54</v>
      </c>
      <c r="E240" s="438" t="s">
        <v>2493</v>
      </c>
      <c r="F240" s="24" t="s">
        <v>66</v>
      </c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</row>
    <row r="241" spans="1:91" s="11" customFormat="1" x14ac:dyDescent="0.25">
      <c r="A241" s="390">
        <v>43553</v>
      </c>
      <c r="B241" s="443" t="s">
        <v>12</v>
      </c>
      <c r="C241" s="444" t="s">
        <v>3241</v>
      </c>
      <c r="D241" s="470" t="s">
        <v>54</v>
      </c>
      <c r="E241" s="16" t="s">
        <v>2493</v>
      </c>
      <c r="F241" s="24" t="s">
        <v>66</v>
      </c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</row>
    <row r="242" spans="1:91" s="11" customFormat="1" x14ac:dyDescent="0.25">
      <c r="A242" s="16"/>
      <c r="B242" s="423"/>
      <c r="C242" s="420" t="s">
        <v>3340</v>
      </c>
      <c r="D242" s="470" t="s">
        <v>54</v>
      </c>
      <c r="E242" s="16" t="s">
        <v>2493</v>
      </c>
      <c r="F242" s="24" t="s">
        <v>66</v>
      </c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</row>
    <row r="243" spans="1:91" s="11" customFormat="1" x14ac:dyDescent="0.25">
      <c r="A243" s="16"/>
      <c r="B243" s="423"/>
      <c r="C243" s="442" t="s">
        <v>3384</v>
      </c>
      <c r="D243" s="470" t="s">
        <v>54</v>
      </c>
      <c r="E243" s="16" t="s">
        <v>2493</v>
      </c>
      <c r="F243" s="24" t="s">
        <v>66</v>
      </c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</row>
    <row r="244" spans="1:91" s="11" customFormat="1" x14ac:dyDescent="0.25">
      <c r="A244" s="87">
        <v>42725</v>
      </c>
      <c r="B244" s="130" t="s">
        <v>12</v>
      </c>
      <c r="C244" s="427" t="s">
        <v>2846</v>
      </c>
      <c r="D244" s="470" t="s">
        <v>54</v>
      </c>
      <c r="E244" s="41" t="s">
        <v>2493</v>
      </c>
      <c r="F244" s="24" t="s">
        <v>66</v>
      </c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</row>
    <row r="245" spans="1:91" s="11" customFormat="1" x14ac:dyDescent="0.25">
      <c r="A245" s="390">
        <v>43553</v>
      </c>
      <c r="B245" s="443" t="s">
        <v>12</v>
      </c>
      <c r="C245" s="444" t="s">
        <v>2846</v>
      </c>
      <c r="D245" s="470" t="s">
        <v>54</v>
      </c>
      <c r="E245" s="16" t="s">
        <v>2839</v>
      </c>
      <c r="F245" s="24" t="s">
        <v>66</v>
      </c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</row>
    <row r="246" spans="1:91" s="11" customFormat="1" x14ac:dyDescent="0.25">
      <c r="A246" s="358">
        <v>43125</v>
      </c>
      <c r="B246" s="130" t="s">
        <v>12</v>
      </c>
      <c r="C246" s="419" t="s">
        <v>2847</v>
      </c>
      <c r="D246" s="470" t="s">
        <v>54</v>
      </c>
      <c r="E246" s="41" t="s">
        <v>2493</v>
      </c>
      <c r="F246" s="24" t="s">
        <v>66</v>
      </c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</row>
    <row r="247" spans="1:91" s="11" customFormat="1" x14ac:dyDescent="0.25">
      <c r="A247" s="87">
        <v>42725</v>
      </c>
      <c r="B247" s="130" t="s">
        <v>12</v>
      </c>
      <c r="C247" s="427" t="s">
        <v>2848</v>
      </c>
      <c r="D247" s="470" t="s">
        <v>54</v>
      </c>
      <c r="E247" s="41" t="s">
        <v>2493</v>
      </c>
      <c r="F247" s="24" t="s">
        <v>66</v>
      </c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</row>
    <row r="248" spans="1:91" s="11" customFormat="1" x14ac:dyDescent="0.25">
      <c r="A248" s="16"/>
      <c r="B248" s="423"/>
      <c r="C248" s="442" t="s">
        <v>3385</v>
      </c>
      <c r="D248" s="470" t="s">
        <v>54</v>
      </c>
      <c r="E248" s="16" t="s">
        <v>2493</v>
      </c>
      <c r="F248" s="24" t="s">
        <v>66</v>
      </c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</row>
    <row r="249" spans="1:91" s="11" customFormat="1" x14ac:dyDescent="0.25">
      <c r="A249" s="358">
        <v>43234</v>
      </c>
      <c r="B249" s="130" t="s">
        <v>12</v>
      </c>
      <c r="C249" s="367" t="s">
        <v>2849</v>
      </c>
      <c r="D249" s="470" t="s">
        <v>54</v>
      </c>
      <c r="E249" s="41" t="s">
        <v>2850</v>
      </c>
      <c r="F249" s="24" t="s">
        <v>66</v>
      </c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</row>
    <row r="250" spans="1:91" s="11" customFormat="1" x14ac:dyDescent="0.25">
      <c r="A250" s="87">
        <v>42781</v>
      </c>
      <c r="B250" s="130" t="s">
        <v>12</v>
      </c>
      <c r="C250" s="419" t="s">
        <v>2851</v>
      </c>
      <c r="D250" s="470" t="s">
        <v>54</v>
      </c>
      <c r="E250" s="41" t="s">
        <v>2852</v>
      </c>
      <c r="F250" s="24" t="s">
        <v>66</v>
      </c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</row>
    <row r="251" spans="1:91" s="11" customFormat="1" x14ac:dyDescent="0.25">
      <c r="A251" s="16"/>
      <c r="B251" s="423"/>
      <c r="C251" s="420" t="s">
        <v>3341</v>
      </c>
      <c r="D251" s="470" t="s">
        <v>54</v>
      </c>
      <c r="E251" s="16" t="s">
        <v>951</v>
      </c>
      <c r="F251" s="24" t="s">
        <v>66</v>
      </c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</row>
    <row r="252" spans="1:91" s="11" customFormat="1" x14ac:dyDescent="0.25">
      <c r="A252" s="87">
        <v>42725</v>
      </c>
      <c r="B252" s="130" t="s">
        <v>12</v>
      </c>
      <c r="C252" s="427" t="s">
        <v>77</v>
      </c>
      <c r="D252" s="470" t="s">
        <v>54</v>
      </c>
      <c r="E252" s="471" t="s">
        <v>2646</v>
      </c>
      <c r="F252" s="24" t="s">
        <v>66</v>
      </c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</row>
    <row r="253" spans="1:91" s="11" customFormat="1" x14ac:dyDescent="0.25">
      <c r="A253" s="358">
        <v>43234</v>
      </c>
      <c r="B253" s="130" t="s">
        <v>12</v>
      </c>
      <c r="C253" s="367" t="s">
        <v>2853</v>
      </c>
      <c r="D253" s="470" t="s">
        <v>54</v>
      </c>
      <c r="E253" s="41" t="s">
        <v>2651</v>
      </c>
      <c r="F253" s="24" t="s">
        <v>66</v>
      </c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</row>
    <row r="254" spans="1:91" s="11" customFormat="1" x14ac:dyDescent="0.25">
      <c r="A254" s="358">
        <v>43234</v>
      </c>
      <c r="B254" s="130" t="s">
        <v>12</v>
      </c>
      <c r="C254" s="367" t="s">
        <v>2854</v>
      </c>
      <c r="D254" s="470" t="s">
        <v>54</v>
      </c>
      <c r="E254" s="41" t="s">
        <v>2809</v>
      </c>
      <c r="F254" s="24" t="s">
        <v>66</v>
      </c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</row>
    <row r="255" spans="1:91" s="11" customFormat="1" x14ac:dyDescent="0.25">
      <c r="A255" s="16"/>
      <c r="B255" s="423"/>
      <c r="C255" s="442" t="s">
        <v>3386</v>
      </c>
      <c r="D255" s="470" t="s">
        <v>54</v>
      </c>
      <c r="E255" s="16" t="s">
        <v>2645</v>
      </c>
      <c r="F255" s="24" t="s">
        <v>66</v>
      </c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</row>
    <row r="256" spans="1:91" s="11" customFormat="1" x14ac:dyDescent="0.25">
      <c r="A256" s="16"/>
      <c r="B256" s="423" t="s">
        <v>12</v>
      </c>
      <c r="C256" s="420" t="s">
        <v>2855</v>
      </c>
      <c r="D256" s="470" t="s">
        <v>54</v>
      </c>
      <c r="E256" s="421" t="s">
        <v>2802</v>
      </c>
      <c r="F256" s="24" t="s">
        <v>66</v>
      </c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</row>
    <row r="257" spans="1:91" s="11" customFormat="1" x14ac:dyDescent="0.25">
      <c r="A257" s="87">
        <v>42629</v>
      </c>
      <c r="B257" s="130" t="s">
        <v>12</v>
      </c>
      <c r="C257" s="407" t="s">
        <v>2856</v>
      </c>
      <c r="D257" s="470" t="s">
        <v>54</v>
      </c>
      <c r="E257" s="16" t="s">
        <v>71</v>
      </c>
      <c r="F257" s="24" t="s">
        <v>66</v>
      </c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</row>
    <row r="258" spans="1:91" s="11" customFormat="1" x14ac:dyDescent="0.25">
      <c r="A258" s="16"/>
      <c r="B258" s="423"/>
      <c r="C258" s="442" t="s">
        <v>3387</v>
      </c>
      <c r="D258" s="470" t="s">
        <v>54</v>
      </c>
      <c r="E258" s="16" t="s">
        <v>2645</v>
      </c>
      <c r="F258" s="24" t="s">
        <v>66</v>
      </c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</row>
    <row r="259" spans="1:91" s="11" customFormat="1" x14ac:dyDescent="0.25">
      <c r="A259" s="16"/>
      <c r="B259" s="423"/>
      <c r="C259" s="442" t="s">
        <v>3388</v>
      </c>
      <c r="D259" s="470" t="s">
        <v>54</v>
      </c>
      <c r="E259" s="16" t="s">
        <v>951</v>
      </c>
      <c r="F259" s="24" t="s">
        <v>66</v>
      </c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</row>
    <row r="260" spans="1:91" s="11" customFormat="1" x14ac:dyDescent="0.25">
      <c r="A260" s="16"/>
      <c r="B260" s="423"/>
      <c r="C260" s="442" t="s">
        <v>3389</v>
      </c>
      <c r="D260" s="470" t="s">
        <v>54</v>
      </c>
      <c r="E260" s="16" t="s">
        <v>1785</v>
      </c>
      <c r="F260" s="24" t="s">
        <v>66</v>
      </c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</row>
    <row r="261" spans="1:91" s="11" customFormat="1" x14ac:dyDescent="0.25">
      <c r="A261" s="16"/>
      <c r="B261" s="423"/>
      <c r="C261" s="442" t="s">
        <v>3390</v>
      </c>
      <c r="D261" s="470" t="s">
        <v>54</v>
      </c>
      <c r="E261" s="16" t="s">
        <v>951</v>
      </c>
      <c r="F261" s="24" t="s">
        <v>66</v>
      </c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</row>
    <row r="262" spans="1:91" s="11" customFormat="1" x14ac:dyDescent="0.25">
      <c r="A262" s="16"/>
      <c r="B262" s="423"/>
      <c r="C262" s="442" t="s">
        <v>3391</v>
      </c>
      <c r="D262" s="470" t="s">
        <v>54</v>
      </c>
      <c r="E262" s="16" t="s">
        <v>2645</v>
      </c>
      <c r="F262" s="24" t="s">
        <v>66</v>
      </c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</row>
    <row r="263" spans="1:91" s="11" customFormat="1" x14ac:dyDescent="0.25">
      <c r="A263" s="16"/>
      <c r="B263" s="423"/>
      <c r="C263" s="442" t="s">
        <v>3392</v>
      </c>
      <c r="D263" s="470" t="s">
        <v>54</v>
      </c>
      <c r="E263" s="16" t="s">
        <v>2645</v>
      </c>
      <c r="F263" s="24" t="s">
        <v>66</v>
      </c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</row>
    <row r="264" spans="1:91" s="11" customFormat="1" x14ac:dyDescent="0.25">
      <c r="A264" s="358">
        <v>43234</v>
      </c>
      <c r="B264" s="130" t="s">
        <v>12</v>
      </c>
      <c r="C264" s="367" t="s">
        <v>2857</v>
      </c>
      <c r="D264" s="470" t="s">
        <v>54</v>
      </c>
      <c r="E264" s="41" t="s">
        <v>2645</v>
      </c>
      <c r="F264" s="24" t="s">
        <v>66</v>
      </c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</row>
    <row r="265" spans="1:91" s="11" customFormat="1" x14ac:dyDescent="0.25">
      <c r="A265" s="222"/>
      <c r="B265" s="130" t="s">
        <v>12</v>
      </c>
      <c r="C265" s="417" t="s">
        <v>2858</v>
      </c>
      <c r="D265" s="470" t="s">
        <v>54</v>
      </c>
      <c r="E265" s="29" t="s">
        <v>2645</v>
      </c>
      <c r="F265" s="24" t="s">
        <v>66</v>
      </c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</row>
    <row r="266" spans="1:91" s="11" customFormat="1" x14ac:dyDescent="0.25">
      <c r="A266" s="358">
        <v>43234</v>
      </c>
      <c r="B266" s="130" t="s">
        <v>12</v>
      </c>
      <c r="C266" s="367" t="s">
        <v>2859</v>
      </c>
      <c r="D266" s="470" t="s">
        <v>54</v>
      </c>
      <c r="E266" s="41" t="s">
        <v>2781</v>
      </c>
      <c r="F266" s="24" t="s">
        <v>66</v>
      </c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</row>
    <row r="267" spans="1:91" s="11" customFormat="1" x14ac:dyDescent="0.25">
      <c r="A267" s="358">
        <v>43234</v>
      </c>
      <c r="B267" s="130" t="s">
        <v>12</v>
      </c>
      <c r="C267" s="367" t="s">
        <v>2860</v>
      </c>
      <c r="D267" s="470" t="s">
        <v>54</v>
      </c>
      <c r="E267" s="41" t="s">
        <v>951</v>
      </c>
      <c r="F267" s="24" t="s">
        <v>66</v>
      </c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</row>
    <row r="268" spans="1:91" s="11" customFormat="1" x14ac:dyDescent="0.25">
      <c r="A268" s="222"/>
      <c r="B268" s="130" t="s">
        <v>12</v>
      </c>
      <c r="C268" s="417" t="s">
        <v>2861</v>
      </c>
      <c r="D268" s="470" t="s">
        <v>54</v>
      </c>
      <c r="E268" s="29" t="s">
        <v>2784</v>
      </c>
      <c r="F268" s="24" t="s">
        <v>66</v>
      </c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</row>
    <row r="269" spans="1:91" s="11" customFormat="1" x14ac:dyDescent="0.25">
      <c r="A269" s="314">
        <v>43035</v>
      </c>
      <c r="B269" s="130" t="s">
        <v>12</v>
      </c>
      <c r="C269" s="419" t="s">
        <v>2862</v>
      </c>
      <c r="D269" s="470" t="s">
        <v>54</v>
      </c>
      <c r="E269" s="41" t="s">
        <v>3064</v>
      </c>
      <c r="F269" s="24" t="s">
        <v>66</v>
      </c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</row>
    <row r="270" spans="1:91" s="11" customFormat="1" x14ac:dyDescent="0.25">
      <c r="A270" s="87">
        <v>42395</v>
      </c>
      <c r="B270" s="130" t="s">
        <v>12</v>
      </c>
      <c r="C270" s="422" t="s">
        <v>76</v>
      </c>
      <c r="D270" s="470" t="s">
        <v>54</v>
      </c>
      <c r="E270" s="16" t="s">
        <v>438</v>
      </c>
      <c r="F270" s="24" t="s">
        <v>66</v>
      </c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</row>
    <row r="271" spans="1:91" s="11" customFormat="1" x14ac:dyDescent="0.25">
      <c r="A271" s="390">
        <v>43553</v>
      </c>
      <c r="B271" s="443" t="s">
        <v>12</v>
      </c>
      <c r="C271" s="444" t="s">
        <v>3237</v>
      </c>
      <c r="D271" s="470" t="s">
        <v>54</v>
      </c>
      <c r="E271" s="16" t="s">
        <v>2890</v>
      </c>
      <c r="F271" s="24" t="s">
        <v>66</v>
      </c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</row>
    <row r="272" spans="1:91" s="11" customFormat="1" x14ac:dyDescent="0.25">
      <c r="A272" s="87">
        <v>42781</v>
      </c>
      <c r="B272" s="130" t="s">
        <v>12</v>
      </c>
      <c r="C272" s="419" t="s">
        <v>2863</v>
      </c>
      <c r="D272" s="470" t="s">
        <v>54</v>
      </c>
      <c r="E272" s="41" t="s">
        <v>2647</v>
      </c>
      <c r="F272" s="24" t="s">
        <v>66</v>
      </c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</row>
    <row r="273" spans="1:91" s="11" customFormat="1" x14ac:dyDescent="0.25">
      <c r="A273" s="87">
        <v>42781</v>
      </c>
      <c r="B273" s="130" t="s">
        <v>12</v>
      </c>
      <c r="C273" s="419" t="s">
        <v>2864</v>
      </c>
      <c r="D273" s="470" t="s">
        <v>54</v>
      </c>
      <c r="E273" s="41" t="s">
        <v>2647</v>
      </c>
      <c r="F273" s="24" t="s">
        <v>66</v>
      </c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</row>
    <row r="274" spans="1:91" s="11" customFormat="1" x14ac:dyDescent="0.25">
      <c r="A274" s="16"/>
      <c r="B274" s="423"/>
      <c r="C274" s="442" t="s">
        <v>3393</v>
      </c>
      <c r="D274" s="470" t="s">
        <v>54</v>
      </c>
      <c r="E274" s="16" t="s">
        <v>2647</v>
      </c>
      <c r="F274" s="24" t="s">
        <v>66</v>
      </c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</row>
    <row r="275" spans="1:91" s="11" customFormat="1" x14ac:dyDescent="0.25">
      <c r="A275" s="87">
        <v>42395</v>
      </c>
      <c r="B275" s="130" t="s">
        <v>12</v>
      </c>
      <c r="C275" s="422" t="s">
        <v>78</v>
      </c>
      <c r="D275" s="16" t="s">
        <v>54</v>
      </c>
      <c r="E275" s="16" t="s">
        <v>438</v>
      </c>
      <c r="F275" s="24" t="s">
        <v>66</v>
      </c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</row>
    <row r="276" spans="1:91" s="11" customFormat="1" x14ac:dyDescent="0.25">
      <c r="A276" s="87">
        <v>42781</v>
      </c>
      <c r="B276" s="130" t="s">
        <v>12</v>
      </c>
      <c r="C276" s="419" t="s">
        <v>2865</v>
      </c>
      <c r="D276" s="16" t="s">
        <v>54</v>
      </c>
      <c r="E276" s="41" t="s">
        <v>2866</v>
      </c>
      <c r="F276" s="24" t="s">
        <v>66</v>
      </c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</row>
    <row r="277" spans="1:91" s="11" customFormat="1" x14ac:dyDescent="0.25">
      <c r="A277" s="87">
        <v>42781</v>
      </c>
      <c r="B277" s="130" t="s">
        <v>12</v>
      </c>
      <c r="C277" s="419" t="s">
        <v>2867</v>
      </c>
      <c r="D277" s="16" t="s">
        <v>54</v>
      </c>
      <c r="E277" s="41" t="s">
        <v>2650</v>
      </c>
      <c r="F277" s="24" t="s">
        <v>66</v>
      </c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</row>
    <row r="278" spans="1:91" s="11" customFormat="1" x14ac:dyDescent="0.25">
      <c r="A278" s="87">
        <v>42781</v>
      </c>
      <c r="B278" s="130" t="s">
        <v>12</v>
      </c>
      <c r="C278" s="419" t="s">
        <v>2869</v>
      </c>
      <c r="D278" s="16" t="s">
        <v>54</v>
      </c>
      <c r="E278" s="41" t="s">
        <v>2645</v>
      </c>
      <c r="F278" s="24" t="s">
        <v>66</v>
      </c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</row>
    <row r="279" spans="1:91" s="11" customFormat="1" x14ac:dyDescent="0.25">
      <c r="A279" s="87">
        <v>42781</v>
      </c>
      <c r="B279" s="130" t="s">
        <v>12</v>
      </c>
      <c r="C279" s="419" t="s">
        <v>2870</v>
      </c>
      <c r="D279" s="16" t="s">
        <v>54</v>
      </c>
      <c r="E279" s="41" t="s">
        <v>2645</v>
      </c>
      <c r="F279" s="24" t="s">
        <v>66</v>
      </c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</row>
    <row r="280" spans="1:91" s="11" customFormat="1" x14ac:dyDescent="0.25">
      <c r="A280" s="87">
        <v>42781</v>
      </c>
      <c r="B280" s="130" t="s">
        <v>12</v>
      </c>
      <c r="C280" s="419" t="s">
        <v>2871</v>
      </c>
      <c r="D280" s="16" t="s">
        <v>54</v>
      </c>
      <c r="E280" s="41" t="s">
        <v>2645</v>
      </c>
      <c r="F280" s="24" t="s">
        <v>66</v>
      </c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</row>
    <row r="281" spans="1:91" s="11" customFormat="1" x14ac:dyDescent="0.25">
      <c r="A281" s="16"/>
      <c r="B281" s="423"/>
      <c r="C281" s="442" t="s">
        <v>3394</v>
      </c>
      <c r="D281" s="16" t="s">
        <v>54</v>
      </c>
      <c r="E281" s="16" t="s">
        <v>2645</v>
      </c>
      <c r="F281" s="24" t="s">
        <v>66</v>
      </c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</row>
    <row r="282" spans="1:91" s="11" customFormat="1" x14ac:dyDescent="0.25">
      <c r="A282" s="87">
        <v>42781</v>
      </c>
      <c r="B282" s="130" t="s">
        <v>12</v>
      </c>
      <c r="C282" s="419" t="s">
        <v>2872</v>
      </c>
      <c r="D282" s="16" t="s">
        <v>54</v>
      </c>
      <c r="E282" s="41" t="s">
        <v>2645</v>
      </c>
      <c r="F282" s="24" t="s">
        <v>66</v>
      </c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</row>
    <row r="283" spans="1:91" s="11" customFormat="1" x14ac:dyDescent="0.25">
      <c r="A283" s="87">
        <v>42781</v>
      </c>
      <c r="B283" s="130" t="s">
        <v>12</v>
      </c>
      <c r="C283" s="419" t="s">
        <v>2873</v>
      </c>
      <c r="D283" s="16" t="s">
        <v>54</v>
      </c>
      <c r="E283" s="41" t="s">
        <v>2644</v>
      </c>
      <c r="F283" s="24" t="s">
        <v>66</v>
      </c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</row>
    <row r="284" spans="1:91" s="11" customFormat="1" x14ac:dyDescent="0.25">
      <c r="A284" s="358">
        <v>43234</v>
      </c>
      <c r="B284" s="130" t="s">
        <v>12</v>
      </c>
      <c r="C284" s="367" t="s">
        <v>2874</v>
      </c>
      <c r="D284" s="16" t="s">
        <v>54</v>
      </c>
      <c r="E284" s="41" t="s">
        <v>2645</v>
      </c>
      <c r="F284" s="24" t="s">
        <v>66</v>
      </c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</row>
    <row r="285" spans="1:91" s="11" customFormat="1" x14ac:dyDescent="0.25">
      <c r="A285" s="87">
        <v>42781</v>
      </c>
      <c r="B285" s="130" t="s">
        <v>12</v>
      </c>
      <c r="C285" s="419" t="s">
        <v>2875</v>
      </c>
      <c r="D285" s="16" t="s">
        <v>54</v>
      </c>
      <c r="E285" s="41" t="s">
        <v>2647</v>
      </c>
      <c r="F285" s="24" t="s">
        <v>66</v>
      </c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</row>
    <row r="286" spans="1:91" s="11" customFormat="1" x14ac:dyDescent="0.25">
      <c r="A286" s="87">
        <v>42781</v>
      </c>
      <c r="B286" s="130" t="s">
        <v>12</v>
      </c>
      <c r="C286" s="419" t="s">
        <v>2876</v>
      </c>
      <c r="D286" s="16" t="s">
        <v>54</v>
      </c>
      <c r="E286" s="41" t="s">
        <v>2647</v>
      </c>
      <c r="F286" s="24" t="s">
        <v>66</v>
      </c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</row>
    <row r="287" spans="1:91" s="11" customFormat="1" x14ac:dyDescent="0.25">
      <c r="A287" s="16"/>
      <c r="B287" s="423"/>
      <c r="C287" s="442" t="s">
        <v>3395</v>
      </c>
      <c r="D287" s="16" t="s">
        <v>54</v>
      </c>
      <c r="E287" s="16" t="s">
        <v>2645</v>
      </c>
      <c r="F287" s="24" t="s">
        <v>66</v>
      </c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</row>
    <row r="288" spans="1:91" s="11" customFormat="1" x14ac:dyDescent="0.25">
      <c r="A288" s="16"/>
      <c r="B288" s="423"/>
      <c r="C288" s="442" t="s">
        <v>3396</v>
      </c>
      <c r="D288" s="16" t="s">
        <v>54</v>
      </c>
      <c r="E288" s="16" t="s">
        <v>2868</v>
      </c>
      <c r="F288" s="24" t="s">
        <v>66</v>
      </c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</row>
    <row r="289" spans="1:91" s="11" customFormat="1" x14ac:dyDescent="0.25">
      <c r="A289" s="16"/>
      <c r="B289" s="423"/>
      <c r="C289" s="442" t="s">
        <v>3397</v>
      </c>
      <c r="D289" s="16" t="s">
        <v>54</v>
      </c>
      <c r="E289" s="16" t="s">
        <v>2645</v>
      </c>
      <c r="F289" s="24" t="s">
        <v>66</v>
      </c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</row>
    <row r="290" spans="1:91" s="11" customFormat="1" x14ac:dyDescent="0.25">
      <c r="A290" s="358">
        <v>43234</v>
      </c>
      <c r="B290" s="130" t="s">
        <v>12</v>
      </c>
      <c r="C290" s="416" t="s">
        <v>2877</v>
      </c>
      <c r="D290" s="16" t="s">
        <v>54</v>
      </c>
      <c r="E290" s="41" t="s">
        <v>2645</v>
      </c>
      <c r="F290" s="24" t="s">
        <v>66</v>
      </c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</row>
    <row r="291" spans="1:91" s="11" customFormat="1" x14ac:dyDescent="0.25">
      <c r="A291" s="16"/>
      <c r="B291" s="423"/>
      <c r="C291" s="442" t="s">
        <v>3398</v>
      </c>
      <c r="D291" s="16" t="s">
        <v>54</v>
      </c>
      <c r="E291" s="16" t="s">
        <v>2960</v>
      </c>
      <c r="F291" s="24" t="s">
        <v>66</v>
      </c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</row>
    <row r="292" spans="1:91" s="11" customFormat="1" x14ac:dyDescent="0.25">
      <c r="A292" s="16"/>
      <c r="B292" s="423"/>
      <c r="C292" s="442" t="s">
        <v>3399</v>
      </c>
      <c r="D292" s="16" t="s">
        <v>54</v>
      </c>
      <c r="E292" s="16" t="s">
        <v>2645</v>
      </c>
      <c r="F292" s="24" t="s">
        <v>66</v>
      </c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</row>
    <row r="293" spans="1:91" s="11" customFormat="1" x14ac:dyDescent="0.25">
      <c r="A293" s="87">
        <v>42781</v>
      </c>
      <c r="B293" s="130" t="s">
        <v>12</v>
      </c>
      <c r="C293" s="419" t="s">
        <v>2878</v>
      </c>
      <c r="D293" s="16" t="s">
        <v>54</v>
      </c>
      <c r="E293" s="41" t="s">
        <v>2650</v>
      </c>
      <c r="F293" s="24" t="s">
        <v>66</v>
      </c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</row>
    <row r="294" spans="1:91" s="11" customFormat="1" x14ac:dyDescent="0.25">
      <c r="A294" s="16"/>
      <c r="B294" s="423"/>
      <c r="C294" s="442" t="s">
        <v>3400</v>
      </c>
      <c r="D294" s="16" t="s">
        <v>54</v>
      </c>
      <c r="E294" s="16" t="s">
        <v>2802</v>
      </c>
      <c r="F294" s="24" t="s">
        <v>66</v>
      </c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</row>
    <row r="295" spans="1:91" s="11" customFormat="1" x14ac:dyDescent="0.25">
      <c r="A295" s="16"/>
      <c r="B295" s="423" t="s">
        <v>12</v>
      </c>
      <c r="C295" s="420" t="s">
        <v>2879</v>
      </c>
      <c r="D295" s="16" t="s">
        <v>54</v>
      </c>
      <c r="E295" s="421" t="s">
        <v>2880</v>
      </c>
      <c r="F295" s="24" t="s">
        <v>66</v>
      </c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</row>
    <row r="296" spans="1:91" s="11" customFormat="1" x14ac:dyDescent="0.25">
      <c r="A296" s="358">
        <v>43234</v>
      </c>
      <c r="B296" s="130" t="s">
        <v>12</v>
      </c>
      <c r="C296" s="367" t="s">
        <v>2881</v>
      </c>
      <c r="D296" s="16" t="s">
        <v>54</v>
      </c>
      <c r="E296" s="41" t="s">
        <v>2644</v>
      </c>
      <c r="F296" s="24" t="s">
        <v>66</v>
      </c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</row>
    <row r="297" spans="1:91" s="11" customFormat="1" x14ac:dyDescent="0.25">
      <c r="A297" s="358">
        <v>43234</v>
      </c>
      <c r="B297" s="130" t="s">
        <v>12</v>
      </c>
      <c r="C297" s="367" t="s">
        <v>2882</v>
      </c>
      <c r="D297" s="16" t="s">
        <v>54</v>
      </c>
      <c r="E297" s="41" t="s">
        <v>2883</v>
      </c>
      <c r="F297" s="24" t="s">
        <v>66</v>
      </c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</row>
    <row r="298" spans="1:91" s="11" customFormat="1" x14ac:dyDescent="0.25">
      <c r="A298" s="87">
        <v>42781</v>
      </c>
      <c r="B298" s="130" t="s">
        <v>12</v>
      </c>
      <c r="C298" s="419" t="s">
        <v>2884</v>
      </c>
      <c r="D298" s="16" t="s">
        <v>54</v>
      </c>
      <c r="E298" s="41" t="s">
        <v>951</v>
      </c>
      <c r="F298" s="24" t="s">
        <v>66</v>
      </c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</row>
    <row r="299" spans="1:91" s="11" customFormat="1" x14ac:dyDescent="0.25">
      <c r="A299" s="87">
        <v>42629</v>
      </c>
      <c r="B299" s="130" t="s">
        <v>12</v>
      </c>
      <c r="C299" s="422" t="s">
        <v>2885</v>
      </c>
      <c r="D299" s="16" t="s">
        <v>54</v>
      </c>
      <c r="E299" s="16" t="s">
        <v>71</v>
      </c>
      <c r="F299" s="24" t="s">
        <v>66</v>
      </c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</row>
    <row r="300" spans="1:91" s="11" customFormat="1" x14ac:dyDescent="0.25">
      <c r="A300" s="87">
        <v>42534</v>
      </c>
      <c r="B300" s="130" t="s">
        <v>2840</v>
      </c>
      <c r="C300" s="407" t="s">
        <v>2886</v>
      </c>
      <c r="D300" s="16" t="s">
        <v>54</v>
      </c>
      <c r="E300" s="16" t="s">
        <v>71</v>
      </c>
      <c r="F300" s="24" t="s">
        <v>66</v>
      </c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</row>
    <row r="301" spans="1:91" s="11" customFormat="1" x14ac:dyDescent="0.25">
      <c r="A301" s="358">
        <v>43234</v>
      </c>
      <c r="B301" s="130" t="s">
        <v>12</v>
      </c>
      <c r="C301" s="367" t="s">
        <v>2887</v>
      </c>
      <c r="D301" s="16" t="s">
        <v>54</v>
      </c>
      <c r="E301" s="41" t="s">
        <v>2888</v>
      </c>
      <c r="F301" s="24" t="s">
        <v>66</v>
      </c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</row>
    <row r="302" spans="1:91" s="11" customFormat="1" x14ac:dyDescent="0.25">
      <c r="A302" s="16"/>
      <c r="B302" s="423"/>
      <c r="C302" s="442" t="s">
        <v>3401</v>
      </c>
      <c r="D302" s="16" t="s">
        <v>54</v>
      </c>
      <c r="E302" s="16" t="s">
        <v>951</v>
      </c>
      <c r="F302" s="24" t="s">
        <v>66</v>
      </c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</row>
    <row r="303" spans="1:91" s="11" customFormat="1" x14ac:dyDescent="0.25">
      <c r="A303" s="16"/>
      <c r="B303" s="423" t="s">
        <v>12</v>
      </c>
      <c r="C303" s="420" t="s">
        <v>2889</v>
      </c>
      <c r="D303" s="16" t="s">
        <v>54</v>
      </c>
      <c r="E303" s="421" t="s">
        <v>2890</v>
      </c>
      <c r="F303" s="24" t="s">
        <v>66</v>
      </c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</row>
    <row r="304" spans="1:91" s="11" customFormat="1" x14ac:dyDescent="0.25">
      <c r="A304" s="314">
        <v>43035</v>
      </c>
      <c r="B304" s="130" t="s">
        <v>12</v>
      </c>
      <c r="C304" s="419" t="s">
        <v>2891</v>
      </c>
      <c r="D304" s="16" t="s">
        <v>54</v>
      </c>
      <c r="E304" s="41" t="s">
        <v>2950</v>
      </c>
      <c r="F304" s="24" t="s">
        <v>66</v>
      </c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</row>
    <row r="305" spans="1:91" s="11" customFormat="1" x14ac:dyDescent="0.25">
      <c r="A305" s="16"/>
      <c r="B305" s="423"/>
      <c r="C305" s="442" t="s">
        <v>3402</v>
      </c>
      <c r="D305" s="16" t="s">
        <v>54</v>
      </c>
      <c r="E305" s="16" t="s">
        <v>2645</v>
      </c>
      <c r="F305" s="24" t="s">
        <v>66</v>
      </c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</row>
    <row r="306" spans="1:91" s="11" customFormat="1" x14ac:dyDescent="0.25">
      <c r="A306" s="16"/>
      <c r="B306" s="423"/>
      <c r="C306" s="442" t="s">
        <v>3403</v>
      </c>
      <c r="D306" s="16" t="s">
        <v>54</v>
      </c>
      <c r="E306" s="16" t="s">
        <v>2868</v>
      </c>
      <c r="F306" s="24" t="s">
        <v>66</v>
      </c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</row>
    <row r="307" spans="1:91" s="11" customFormat="1" x14ac:dyDescent="0.25">
      <c r="A307" s="358">
        <v>43119</v>
      </c>
      <c r="B307" s="130" t="s">
        <v>12</v>
      </c>
      <c r="C307" s="419" t="s">
        <v>2892</v>
      </c>
      <c r="D307" s="16" t="s">
        <v>54</v>
      </c>
      <c r="E307" s="41" t="s">
        <v>71</v>
      </c>
      <c r="F307" s="24" t="s">
        <v>66</v>
      </c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</row>
    <row r="308" spans="1:91" s="11" customFormat="1" x14ac:dyDescent="0.25">
      <c r="A308" s="16"/>
      <c r="B308" s="423"/>
      <c r="C308" s="442" t="s">
        <v>3404</v>
      </c>
      <c r="D308" s="16" t="s">
        <v>54</v>
      </c>
      <c r="E308" s="16" t="s">
        <v>951</v>
      </c>
      <c r="F308" s="24" t="s">
        <v>66</v>
      </c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</row>
    <row r="309" spans="1:91" s="11" customFormat="1" x14ac:dyDescent="0.25">
      <c r="A309" s="16"/>
      <c r="B309" s="423"/>
      <c r="C309" s="442" t="s">
        <v>3405</v>
      </c>
      <c r="D309" s="16" t="s">
        <v>54</v>
      </c>
      <c r="E309" s="16" t="s">
        <v>2645</v>
      </c>
      <c r="F309" s="24" t="s">
        <v>66</v>
      </c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</row>
    <row r="310" spans="1:91" s="11" customFormat="1" x14ac:dyDescent="0.25">
      <c r="A310" s="16"/>
      <c r="B310" s="423"/>
      <c r="C310" s="442" t="s">
        <v>3406</v>
      </c>
      <c r="D310" s="16" t="s">
        <v>54</v>
      </c>
      <c r="E310" s="16" t="s">
        <v>951</v>
      </c>
      <c r="F310" s="24" t="s">
        <v>66</v>
      </c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</row>
    <row r="311" spans="1:91" s="11" customFormat="1" x14ac:dyDescent="0.25">
      <c r="A311" s="358">
        <v>43234</v>
      </c>
      <c r="B311" s="130" t="s">
        <v>12</v>
      </c>
      <c r="C311" s="367" t="s">
        <v>2893</v>
      </c>
      <c r="D311" s="16" t="s">
        <v>54</v>
      </c>
      <c r="E311" s="41" t="s">
        <v>951</v>
      </c>
      <c r="F311" s="24" t="s">
        <v>66</v>
      </c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</row>
    <row r="312" spans="1:91" s="11" customFormat="1" x14ac:dyDescent="0.25">
      <c r="A312" s="358">
        <v>43234</v>
      </c>
      <c r="B312" s="130" t="s">
        <v>12</v>
      </c>
      <c r="C312" s="367" t="s">
        <v>2894</v>
      </c>
      <c r="D312" s="16" t="s">
        <v>54</v>
      </c>
      <c r="E312" s="41" t="s">
        <v>2645</v>
      </c>
      <c r="F312" s="24" t="s">
        <v>66</v>
      </c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</row>
    <row r="313" spans="1:91" s="11" customFormat="1" x14ac:dyDescent="0.25">
      <c r="A313" s="16"/>
      <c r="B313" s="423"/>
      <c r="C313" s="442" t="s">
        <v>3407</v>
      </c>
      <c r="D313" s="16" t="s">
        <v>54</v>
      </c>
      <c r="E313" s="16" t="s">
        <v>3408</v>
      </c>
      <c r="F313" s="24" t="s">
        <v>66</v>
      </c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</row>
    <row r="314" spans="1:91" s="11" customFormat="1" x14ac:dyDescent="0.25">
      <c r="A314" s="358">
        <v>43234</v>
      </c>
      <c r="B314" s="130" t="s">
        <v>12</v>
      </c>
      <c r="C314" s="367" t="s">
        <v>2895</v>
      </c>
      <c r="D314" s="16" t="s">
        <v>54</v>
      </c>
      <c r="E314" s="41" t="s">
        <v>2643</v>
      </c>
      <c r="F314" s="24" t="s">
        <v>66</v>
      </c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</row>
    <row r="315" spans="1:91" s="11" customFormat="1" x14ac:dyDescent="0.25">
      <c r="A315" s="16"/>
      <c r="B315" s="423"/>
      <c r="C315" s="442" t="s">
        <v>3409</v>
      </c>
      <c r="D315" s="16" t="s">
        <v>54</v>
      </c>
      <c r="E315" s="16" t="s">
        <v>2645</v>
      </c>
      <c r="F315" s="24" t="s">
        <v>66</v>
      </c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</row>
    <row r="316" spans="1:91" s="11" customFormat="1" x14ac:dyDescent="0.25">
      <c r="A316" s="16"/>
      <c r="B316" s="423"/>
      <c r="C316" s="442" t="s">
        <v>3410</v>
      </c>
      <c r="D316" s="16" t="s">
        <v>54</v>
      </c>
      <c r="E316" s="16" t="s">
        <v>2645</v>
      </c>
      <c r="F316" s="24" t="s">
        <v>66</v>
      </c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</row>
    <row r="317" spans="1:91" s="11" customFormat="1" x14ac:dyDescent="0.25">
      <c r="A317" s="16"/>
      <c r="B317" s="423"/>
      <c r="C317" s="442" t="s">
        <v>3411</v>
      </c>
      <c r="D317" s="16" t="s">
        <v>54</v>
      </c>
      <c r="E317" s="16" t="s">
        <v>2645</v>
      </c>
      <c r="F317" s="24" t="s">
        <v>66</v>
      </c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</row>
    <row r="318" spans="1:91" s="11" customFormat="1" x14ac:dyDescent="0.25">
      <c r="A318" s="16"/>
      <c r="B318" s="423"/>
      <c r="C318" s="442" t="s">
        <v>3412</v>
      </c>
      <c r="D318" s="16" t="s">
        <v>54</v>
      </c>
      <c r="E318" s="16" t="s">
        <v>3408</v>
      </c>
      <c r="F318" s="24" t="s">
        <v>66</v>
      </c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</row>
    <row r="319" spans="1:91" s="11" customFormat="1" x14ac:dyDescent="0.25">
      <c r="A319" s="16"/>
      <c r="B319" s="423"/>
      <c r="C319" s="442" t="s">
        <v>3413</v>
      </c>
      <c r="D319" s="16" t="s">
        <v>54</v>
      </c>
      <c r="E319" s="16" t="s">
        <v>2802</v>
      </c>
      <c r="F319" s="24" t="s">
        <v>66</v>
      </c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</row>
    <row r="320" spans="1:91" s="11" customFormat="1" x14ac:dyDescent="0.25">
      <c r="A320" s="16"/>
      <c r="B320" s="423"/>
      <c r="C320" s="442" t="s">
        <v>3414</v>
      </c>
      <c r="D320" s="16" t="s">
        <v>54</v>
      </c>
      <c r="E320" s="16" t="s">
        <v>2645</v>
      </c>
      <c r="F320" s="24" t="s">
        <v>66</v>
      </c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</row>
    <row r="321" spans="1:91" s="11" customFormat="1" x14ac:dyDescent="0.25">
      <c r="A321" s="16"/>
      <c r="B321" s="423"/>
      <c r="C321" s="442" t="s">
        <v>3415</v>
      </c>
      <c r="D321" s="16" t="s">
        <v>54</v>
      </c>
      <c r="E321" s="16" t="s">
        <v>2655</v>
      </c>
      <c r="F321" s="24" t="s">
        <v>66</v>
      </c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</row>
    <row r="322" spans="1:91" s="11" customFormat="1" x14ac:dyDescent="0.25">
      <c r="A322" s="16"/>
      <c r="B322" s="423"/>
      <c r="C322" s="442" t="s">
        <v>3416</v>
      </c>
      <c r="D322" s="16" t="s">
        <v>54</v>
      </c>
      <c r="E322" s="16" t="s">
        <v>951</v>
      </c>
      <c r="F322" s="24" t="s">
        <v>66</v>
      </c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</row>
    <row r="323" spans="1:91" s="11" customFormat="1" x14ac:dyDescent="0.25">
      <c r="A323" s="16"/>
      <c r="B323" s="423"/>
      <c r="C323" s="442" t="s">
        <v>3417</v>
      </c>
      <c r="D323" s="16" t="s">
        <v>54</v>
      </c>
      <c r="E323" s="16" t="s">
        <v>2643</v>
      </c>
      <c r="F323" s="24" t="s">
        <v>66</v>
      </c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</row>
    <row r="324" spans="1:91" s="11" customFormat="1" x14ac:dyDescent="0.25">
      <c r="A324" s="358">
        <v>43234</v>
      </c>
      <c r="B324" s="130" t="s">
        <v>12</v>
      </c>
      <c r="C324" s="416" t="s">
        <v>2896</v>
      </c>
      <c r="D324" s="16" t="s">
        <v>54</v>
      </c>
      <c r="E324" s="41" t="s">
        <v>2645</v>
      </c>
      <c r="F324" s="24" t="s">
        <v>66</v>
      </c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</row>
    <row r="325" spans="1:91" s="11" customFormat="1" x14ac:dyDescent="0.25">
      <c r="A325" s="87">
        <v>42629</v>
      </c>
      <c r="B325" s="130" t="s">
        <v>12</v>
      </c>
      <c r="C325" s="422" t="s">
        <v>2897</v>
      </c>
      <c r="D325" s="16" t="s">
        <v>54</v>
      </c>
      <c r="E325" s="16" t="s">
        <v>71</v>
      </c>
      <c r="F325" s="24" t="s">
        <v>66</v>
      </c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</row>
    <row r="326" spans="1:91" s="11" customFormat="1" x14ac:dyDescent="0.25">
      <c r="A326" s="16"/>
      <c r="B326" s="423"/>
      <c r="C326" s="442" t="s">
        <v>3418</v>
      </c>
      <c r="D326" s="16" t="s">
        <v>54</v>
      </c>
      <c r="E326" s="16" t="s">
        <v>951</v>
      </c>
      <c r="F326" s="24" t="s">
        <v>66</v>
      </c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</row>
    <row r="327" spans="1:91" s="11" customFormat="1" x14ac:dyDescent="0.25">
      <c r="A327" s="16"/>
      <c r="B327" s="423"/>
      <c r="C327" s="442" t="s">
        <v>3419</v>
      </c>
      <c r="D327" s="16" t="s">
        <v>54</v>
      </c>
      <c r="E327" s="16" t="s">
        <v>3420</v>
      </c>
      <c r="F327" s="24" t="s">
        <v>66</v>
      </c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</row>
    <row r="328" spans="1:91" s="11" customFormat="1" x14ac:dyDescent="0.25">
      <c r="A328" s="16"/>
      <c r="B328" s="423"/>
      <c r="C328" s="442" t="s">
        <v>3421</v>
      </c>
      <c r="D328" s="16" t="s">
        <v>54</v>
      </c>
      <c r="E328" s="16">
        <v>0</v>
      </c>
      <c r="F328" s="24" t="s">
        <v>66</v>
      </c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</row>
    <row r="329" spans="1:91" s="11" customFormat="1" x14ac:dyDescent="0.25">
      <c r="A329" s="16"/>
      <c r="B329" s="423"/>
      <c r="C329" s="442" t="s">
        <v>3422</v>
      </c>
      <c r="D329" s="16" t="s">
        <v>54</v>
      </c>
      <c r="E329" s="16" t="s">
        <v>2645</v>
      </c>
      <c r="F329" s="24" t="s">
        <v>66</v>
      </c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</row>
    <row r="330" spans="1:91" s="11" customFormat="1" x14ac:dyDescent="0.25">
      <c r="A330" s="16"/>
      <c r="B330" s="423"/>
      <c r="C330" s="442" t="s">
        <v>3423</v>
      </c>
      <c r="D330" s="16" t="s">
        <v>54</v>
      </c>
      <c r="E330" s="16" t="s">
        <v>951</v>
      </c>
      <c r="F330" s="24" t="s">
        <v>66</v>
      </c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</row>
    <row r="331" spans="1:91" s="11" customFormat="1" x14ac:dyDescent="0.25">
      <c r="A331" s="16"/>
      <c r="B331" s="423"/>
      <c r="C331" s="442" t="s">
        <v>3424</v>
      </c>
      <c r="D331" s="16" t="s">
        <v>54</v>
      </c>
      <c r="E331" s="16" t="s">
        <v>2645</v>
      </c>
      <c r="F331" s="24" t="s">
        <v>66</v>
      </c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</row>
    <row r="332" spans="1:91" s="11" customFormat="1" x14ac:dyDescent="0.25">
      <c r="A332" s="87">
        <v>42395</v>
      </c>
      <c r="B332" s="130" t="s">
        <v>12</v>
      </c>
      <c r="C332" s="407" t="s">
        <v>2898</v>
      </c>
      <c r="D332" s="16" t="s">
        <v>54</v>
      </c>
      <c r="E332" s="16" t="s">
        <v>438</v>
      </c>
      <c r="F332" s="24" t="s">
        <v>66</v>
      </c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</row>
    <row r="333" spans="1:91" s="11" customFormat="1" x14ac:dyDescent="0.25">
      <c r="A333" s="87">
        <v>42781</v>
      </c>
      <c r="B333" s="130" t="s">
        <v>12</v>
      </c>
      <c r="C333" s="419" t="s">
        <v>2899</v>
      </c>
      <c r="D333" s="16" t="s">
        <v>54</v>
      </c>
      <c r="E333" s="41" t="s">
        <v>951</v>
      </c>
      <c r="F333" s="24" t="s">
        <v>66</v>
      </c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</row>
    <row r="334" spans="1:91" s="11" customFormat="1" x14ac:dyDescent="0.25">
      <c r="A334" s="358">
        <v>43234</v>
      </c>
      <c r="B334" s="130" t="s">
        <v>12</v>
      </c>
      <c r="C334" s="367" t="s">
        <v>2900</v>
      </c>
      <c r="D334" s="16" t="s">
        <v>54</v>
      </c>
      <c r="E334" s="41" t="s">
        <v>2650</v>
      </c>
      <c r="F334" s="24" t="s">
        <v>66</v>
      </c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</row>
    <row r="335" spans="1:91" s="11" customFormat="1" x14ac:dyDescent="0.25">
      <c r="A335" s="16"/>
      <c r="B335" s="423"/>
      <c r="C335" s="442" t="s">
        <v>3425</v>
      </c>
      <c r="D335" s="16" t="s">
        <v>54</v>
      </c>
      <c r="E335" s="16" t="s">
        <v>2645</v>
      </c>
      <c r="F335" s="24" t="s">
        <v>66</v>
      </c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</row>
    <row r="336" spans="1:91" s="11" customFormat="1" x14ac:dyDescent="0.25">
      <c r="A336" s="16"/>
      <c r="B336" s="423"/>
      <c r="C336" s="442" t="s">
        <v>3426</v>
      </c>
      <c r="D336" s="16" t="s">
        <v>54</v>
      </c>
      <c r="E336" s="16" t="s">
        <v>2802</v>
      </c>
      <c r="F336" s="24" t="s">
        <v>66</v>
      </c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</row>
    <row r="337" spans="1:91" s="11" customFormat="1" x14ac:dyDescent="0.25">
      <c r="A337" s="358">
        <v>43234</v>
      </c>
      <c r="B337" s="130" t="s">
        <v>12</v>
      </c>
      <c r="C337" s="367" t="s">
        <v>2901</v>
      </c>
      <c r="D337" s="16" t="s">
        <v>54</v>
      </c>
      <c r="E337" s="41" t="s">
        <v>2883</v>
      </c>
      <c r="F337" s="24" t="s">
        <v>66</v>
      </c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</row>
    <row r="338" spans="1:91" s="11" customFormat="1" x14ac:dyDescent="0.25">
      <c r="A338" s="87">
        <v>42781</v>
      </c>
      <c r="B338" s="130" t="s">
        <v>12</v>
      </c>
      <c r="C338" s="419" t="s">
        <v>2902</v>
      </c>
      <c r="D338" s="16" t="s">
        <v>54</v>
      </c>
      <c r="E338" s="41" t="s">
        <v>2903</v>
      </c>
      <c r="F338" s="24" t="s">
        <v>66</v>
      </c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</row>
    <row r="339" spans="1:91" s="11" customFormat="1" x14ac:dyDescent="0.25">
      <c r="A339" s="16"/>
      <c r="B339" s="423"/>
      <c r="C339" s="442" t="s">
        <v>3427</v>
      </c>
      <c r="D339" s="16" t="s">
        <v>54</v>
      </c>
      <c r="E339" s="16" t="s">
        <v>2868</v>
      </c>
      <c r="F339" s="24" t="s">
        <v>66</v>
      </c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</row>
    <row r="340" spans="1:91" s="11" customFormat="1" x14ac:dyDescent="0.25">
      <c r="A340" s="87">
        <v>42781</v>
      </c>
      <c r="B340" s="130" t="s">
        <v>12</v>
      </c>
      <c r="C340" s="419" t="s">
        <v>2904</v>
      </c>
      <c r="D340" s="16" t="s">
        <v>54</v>
      </c>
      <c r="E340" s="41" t="s">
        <v>2645</v>
      </c>
      <c r="F340" s="24" t="s">
        <v>66</v>
      </c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</row>
    <row r="341" spans="1:91" s="11" customFormat="1" x14ac:dyDescent="0.25">
      <c r="A341" s="16"/>
      <c r="B341" s="423"/>
      <c r="C341" s="442" t="s">
        <v>3428</v>
      </c>
      <c r="D341" s="16" t="s">
        <v>54</v>
      </c>
      <c r="E341" s="16" t="s">
        <v>2645</v>
      </c>
      <c r="F341" s="24" t="s">
        <v>66</v>
      </c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</row>
    <row r="342" spans="1:91" s="11" customFormat="1" x14ac:dyDescent="0.25">
      <c r="A342" s="358">
        <v>43234</v>
      </c>
      <c r="B342" s="130" t="s">
        <v>12</v>
      </c>
      <c r="C342" s="367" t="s">
        <v>2905</v>
      </c>
      <c r="D342" s="16" t="s">
        <v>54</v>
      </c>
      <c r="E342" s="41" t="s">
        <v>2650</v>
      </c>
      <c r="F342" s="24" t="s">
        <v>66</v>
      </c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</row>
    <row r="343" spans="1:91" s="11" customFormat="1" x14ac:dyDescent="0.25">
      <c r="A343" s="390">
        <v>43553</v>
      </c>
      <c r="B343" s="443" t="s">
        <v>12</v>
      </c>
      <c r="C343" s="445" t="s">
        <v>3227</v>
      </c>
      <c r="D343" s="16" t="s">
        <v>54</v>
      </c>
      <c r="E343" s="16" t="s">
        <v>2645</v>
      </c>
      <c r="F343" s="24" t="s">
        <v>66</v>
      </c>
      <c r="G343" s="86"/>
      <c r="H343" s="418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</row>
    <row r="344" spans="1:91" s="11" customFormat="1" x14ac:dyDescent="0.25">
      <c r="A344" s="16"/>
      <c r="B344" s="423"/>
      <c r="C344" s="442" t="s">
        <v>3429</v>
      </c>
      <c r="D344" s="16" t="s">
        <v>54</v>
      </c>
      <c r="E344" s="16" t="s">
        <v>2890</v>
      </c>
      <c r="F344" s="24" t="s">
        <v>66</v>
      </c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</row>
    <row r="345" spans="1:91" s="11" customFormat="1" x14ac:dyDescent="0.25">
      <c r="A345" s="222"/>
      <c r="B345" s="130" t="s">
        <v>12</v>
      </c>
      <c r="C345" s="417" t="s">
        <v>2906</v>
      </c>
      <c r="D345" s="16" t="s">
        <v>54</v>
      </c>
      <c r="E345" s="29" t="s">
        <v>2868</v>
      </c>
      <c r="F345" s="24" t="s">
        <v>66</v>
      </c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</row>
    <row r="346" spans="1:91" s="11" customFormat="1" x14ac:dyDescent="0.25">
      <c r="A346" s="16"/>
      <c r="B346" s="423"/>
      <c r="C346" s="442" t="s">
        <v>3430</v>
      </c>
      <c r="D346" s="16" t="s">
        <v>54</v>
      </c>
      <c r="E346" s="16" t="s">
        <v>71</v>
      </c>
      <c r="F346" s="24" t="s">
        <v>66</v>
      </c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</row>
    <row r="347" spans="1:91" s="11" customFormat="1" x14ac:dyDescent="0.25">
      <c r="A347" s="358">
        <v>43234</v>
      </c>
      <c r="B347" s="130" t="s">
        <v>12</v>
      </c>
      <c r="C347" s="367" t="s">
        <v>2907</v>
      </c>
      <c r="D347" s="16" t="s">
        <v>54</v>
      </c>
      <c r="E347" s="41" t="s">
        <v>2645</v>
      </c>
      <c r="F347" s="24" t="s">
        <v>66</v>
      </c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</row>
    <row r="348" spans="1:91" s="11" customFormat="1" x14ac:dyDescent="0.25">
      <c r="A348" s="390">
        <v>43553</v>
      </c>
      <c r="B348" s="443" t="s">
        <v>12</v>
      </c>
      <c r="C348" s="445" t="s">
        <v>3226</v>
      </c>
      <c r="D348" s="16" t="s">
        <v>54</v>
      </c>
      <c r="E348" s="16" t="s">
        <v>2645</v>
      </c>
      <c r="F348" s="24" t="s">
        <v>66</v>
      </c>
      <c r="G348" s="86"/>
      <c r="H348" s="418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</row>
    <row r="349" spans="1:91" s="11" customFormat="1" x14ac:dyDescent="0.25">
      <c r="A349" s="314">
        <v>42888</v>
      </c>
      <c r="B349" s="130" t="s">
        <v>12</v>
      </c>
      <c r="C349" s="419" t="s">
        <v>2908</v>
      </c>
      <c r="D349" s="16" t="s">
        <v>54</v>
      </c>
      <c r="E349" s="41" t="s">
        <v>2645</v>
      </c>
      <c r="F349" s="24" t="s">
        <v>66</v>
      </c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</row>
    <row r="350" spans="1:91" x14ac:dyDescent="0.25">
      <c r="A350" s="390">
        <v>43553</v>
      </c>
      <c r="B350" s="443" t="s">
        <v>12</v>
      </c>
      <c r="C350" s="444" t="s">
        <v>3242</v>
      </c>
      <c r="D350" s="16" t="s">
        <v>54</v>
      </c>
      <c r="E350" s="16" t="s">
        <v>2890</v>
      </c>
      <c r="F350" s="24" t="s">
        <v>66</v>
      </c>
    </row>
    <row r="351" spans="1:91" x14ac:dyDescent="0.25">
      <c r="A351" s="87">
        <v>42781</v>
      </c>
      <c r="B351" s="130" t="s">
        <v>12</v>
      </c>
      <c r="C351" s="419" t="s">
        <v>2909</v>
      </c>
      <c r="D351" s="16" t="s">
        <v>54</v>
      </c>
      <c r="E351" s="41" t="s">
        <v>2651</v>
      </c>
      <c r="F351" s="24" t="s">
        <v>66</v>
      </c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</row>
    <row r="352" spans="1:91" x14ac:dyDescent="0.25">
      <c r="A352" s="390">
        <v>43553</v>
      </c>
      <c r="B352" s="443" t="s">
        <v>12</v>
      </c>
      <c r="C352" s="415" t="s">
        <v>3249</v>
      </c>
      <c r="D352" s="16" t="s">
        <v>54</v>
      </c>
      <c r="E352" s="16" t="s">
        <v>2644</v>
      </c>
      <c r="F352" s="24" t="s">
        <v>66</v>
      </c>
    </row>
    <row r="353" spans="1:91" x14ac:dyDescent="0.25">
      <c r="A353" s="222"/>
      <c r="B353" s="130" t="s">
        <v>12</v>
      </c>
      <c r="C353" s="417" t="s">
        <v>2910</v>
      </c>
      <c r="D353" s="16" t="s">
        <v>54</v>
      </c>
      <c r="E353" s="29" t="s">
        <v>2911</v>
      </c>
      <c r="F353" s="24" t="s">
        <v>66</v>
      </c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</row>
    <row r="354" spans="1:91" x14ac:dyDescent="0.25">
      <c r="A354" s="16"/>
      <c r="B354" s="423" t="s">
        <v>12</v>
      </c>
      <c r="C354" s="420" t="s">
        <v>2912</v>
      </c>
      <c r="D354" s="16" t="s">
        <v>54</v>
      </c>
      <c r="E354" s="421" t="s">
        <v>2650</v>
      </c>
      <c r="F354" s="24" t="s">
        <v>66</v>
      </c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</row>
    <row r="355" spans="1:91" x14ac:dyDescent="0.25">
      <c r="A355" s="16"/>
      <c r="B355" s="423"/>
      <c r="C355" s="442" t="s">
        <v>3431</v>
      </c>
      <c r="D355" s="16" t="s">
        <v>54</v>
      </c>
      <c r="E355" s="16" t="s">
        <v>2645</v>
      </c>
      <c r="F355" s="24" t="s">
        <v>66</v>
      </c>
    </row>
    <row r="356" spans="1:91" x14ac:dyDescent="0.25">
      <c r="A356" s="16"/>
      <c r="B356" s="423"/>
      <c r="C356" s="442" t="s">
        <v>3432</v>
      </c>
      <c r="D356" s="16" t="s">
        <v>54</v>
      </c>
      <c r="E356" s="16" t="s">
        <v>2645</v>
      </c>
      <c r="F356" s="24" t="s">
        <v>66</v>
      </c>
    </row>
    <row r="357" spans="1:91" x14ac:dyDescent="0.25">
      <c r="A357" s="16"/>
      <c r="B357" s="423"/>
      <c r="C357" s="442" t="s">
        <v>3433</v>
      </c>
      <c r="D357" s="16" t="s">
        <v>54</v>
      </c>
      <c r="E357" s="16" t="s">
        <v>2651</v>
      </c>
      <c r="F357" s="24" t="s">
        <v>66</v>
      </c>
    </row>
    <row r="358" spans="1:91" x14ac:dyDescent="0.25">
      <c r="A358" s="390">
        <v>43553</v>
      </c>
      <c r="B358" s="443" t="s">
        <v>12</v>
      </c>
      <c r="C358" s="415" t="s">
        <v>2438</v>
      </c>
      <c r="D358" s="16" t="s">
        <v>54</v>
      </c>
      <c r="E358" s="16" t="s">
        <v>2439</v>
      </c>
      <c r="F358" s="24" t="s">
        <v>66</v>
      </c>
    </row>
    <row r="359" spans="1:91" x14ac:dyDescent="0.25">
      <c r="A359" s="16"/>
      <c r="B359" s="423"/>
      <c r="C359" s="442" t="s">
        <v>3434</v>
      </c>
      <c r="D359" s="16" t="s">
        <v>54</v>
      </c>
      <c r="E359" s="16" t="s">
        <v>2645</v>
      </c>
      <c r="F359" s="24" t="s">
        <v>66</v>
      </c>
    </row>
    <row r="360" spans="1:91" x14ac:dyDescent="0.25">
      <c r="A360" s="16"/>
      <c r="B360" s="423"/>
      <c r="C360" s="442" t="s">
        <v>3435</v>
      </c>
      <c r="D360" s="16" t="s">
        <v>54</v>
      </c>
      <c r="E360" s="16" t="s">
        <v>951</v>
      </c>
      <c r="F360" s="24" t="s">
        <v>66</v>
      </c>
    </row>
    <row r="361" spans="1:91" x14ac:dyDescent="0.25">
      <c r="A361" s="314">
        <v>42888</v>
      </c>
      <c r="B361" s="130" t="s">
        <v>12</v>
      </c>
      <c r="C361" s="419" t="s">
        <v>2913</v>
      </c>
      <c r="D361" s="16" t="s">
        <v>54</v>
      </c>
      <c r="E361" s="41" t="s">
        <v>2645</v>
      </c>
      <c r="F361" s="24" t="s">
        <v>66</v>
      </c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</row>
    <row r="362" spans="1:91" x14ac:dyDescent="0.25">
      <c r="A362" s="16"/>
      <c r="B362" s="423" t="s">
        <v>12</v>
      </c>
      <c r="C362" s="420" t="s">
        <v>2914</v>
      </c>
      <c r="D362" s="16" t="s">
        <v>54</v>
      </c>
      <c r="E362" s="421" t="s">
        <v>2915</v>
      </c>
      <c r="F362" s="24" t="s">
        <v>66</v>
      </c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</row>
    <row r="363" spans="1:91" x14ac:dyDescent="0.25">
      <c r="A363" s="16"/>
      <c r="B363" s="423"/>
      <c r="C363" s="442" t="s">
        <v>3436</v>
      </c>
      <c r="D363" s="16" t="s">
        <v>54</v>
      </c>
      <c r="E363" s="16" t="s">
        <v>2890</v>
      </c>
      <c r="F363" s="24" t="s">
        <v>66</v>
      </c>
    </row>
    <row r="364" spans="1:91" x14ac:dyDescent="0.25">
      <c r="A364" s="16"/>
      <c r="B364" s="423"/>
      <c r="C364" s="442" t="s">
        <v>3437</v>
      </c>
      <c r="D364" s="16" t="s">
        <v>54</v>
      </c>
      <c r="E364" s="16" t="s">
        <v>2645</v>
      </c>
      <c r="F364" s="24" t="s">
        <v>66</v>
      </c>
    </row>
    <row r="365" spans="1:91" x14ac:dyDescent="0.25">
      <c r="A365" s="16"/>
      <c r="B365" s="423"/>
      <c r="C365" s="442" t="s">
        <v>3438</v>
      </c>
      <c r="D365" s="16" t="s">
        <v>54</v>
      </c>
      <c r="E365" s="16" t="s">
        <v>2802</v>
      </c>
      <c r="F365" s="24" t="s">
        <v>66</v>
      </c>
    </row>
    <row r="366" spans="1:91" x14ac:dyDescent="0.25">
      <c r="A366" s="16"/>
      <c r="B366" s="423"/>
      <c r="C366" s="442" t="s">
        <v>3439</v>
      </c>
      <c r="D366" s="16" t="s">
        <v>54</v>
      </c>
      <c r="E366" s="16" t="s">
        <v>2645</v>
      </c>
      <c r="F366" s="24" t="s">
        <v>66</v>
      </c>
    </row>
    <row r="367" spans="1:91" x14ac:dyDescent="0.25">
      <c r="A367" s="16"/>
      <c r="B367" s="423"/>
      <c r="C367" s="420" t="s">
        <v>3342</v>
      </c>
      <c r="D367" s="16" t="s">
        <v>54</v>
      </c>
      <c r="E367" s="16" t="s">
        <v>2868</v>
      </c>
      <c r="F367" s="24" t="s">
        <v>66</v>
      </c>
    </row>
    <row r="368" spans="1:91" s="11" customFormat="1" x14ac:dyDescent="0.25">
      <c r="A368" s="16"/>
      <c r="B368" s="423"/>
      <c r="C368" s="442" t="s">
        <v>3440</v>
      </c>
      <c r="D368" s="16" t="s">
        <v>54</v>
      </c>
      <c r="E368" s="16" t="s">
        <v>2645</v>
      </c>
      <c r="F368" s="24" t="s">
        <v>66</v>
      </c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</row>
    <row r="369" spans="1:91" s="11" customFormat="1" x14ac:dyDescent="0.25">
      <c r="A369" s="16"/>
      <c r="B369" s="423"/>
      <c r="C369" s="442" t="s">
        <v>3441</v>
      </c>
      <c r="D369" s="16" t="s">
        <v>54</v>
      </c>
      <c r="E369" s="16" t="s">
        <v>2645</v>
      </c>
      <c r="F369" s="24" t="s">
        <v>66</v>
      </c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</row>
    <row r="370" spans="1:91" s="11" customFormat="1" x14ac:dyDescent="0.25">
      <c r="A370" s="87">
        <v>42629</v>
      </c>
      <c r="B370" s="130" t="s">
        <v>12</v>
      </c>
      <c r="C370" s="407" t="s">
        <v>2916</v>
      </c>
      <c r="D370" s="16" t="s">
        <v>54</v>
      </c>
      <c r="E370" s="16" t="s">
        <v>71</v>
      </c>
      <c r="F370" s="24" t="s">
        <v>66</v>
      </c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</row>
    <row r="371" spans="1:91" s="11" customFormat="1" x14ac:dyDescent="0.25">
      <c r="A371" s="390">
        <v>43553</v>
      </c>
      <c r="B371" s="443" t="s">
        <v>12</v>
      </c>
      <c r="C371" s="444" t="s">
        <v>2916</v>
      </c>
      <c r="D371" s="16" t="s">
        <v>54</v>
      </c>
      <c r="E371" s="16" t="s">
        <v>2645</v>
      </c>
      <c r="F371" s="24" t="s">
        <v>66</v>
      </c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</row>
    <row r="372" spans="1:91" s="11" customFormat="1" x14ac:dyDescent="0.25">
      <c r="A372" s="16"/>
      <c r="B372" s="423"/>
      <c r="C372" s="442" t="s">
        <v>3442</v>
      </c>
      <c r="D372" s="16" t="s">
        <v>54</v>
      </c>
      <c r="E372" s="16" t="s">
        <v>2868</v>
      </c>
      <c r="F372" s="24" t="s">
        <v>66</v>
      </c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</row>
    <row r="373" spans="1:91" s="11" customFormat="1" x14ac:dyDescent="0.25">
      <c r="A373" s="16"/>
      <c r="B373" s="423"/>
      <c r="C373" s="442" t="s">
        <v>3443</v>
      </c>
      <c r="D373" s="16" t="s">
        <v>54</v>
      </c>
      <c r="E373" s="16" t="s">
        <v>2645</v>
      </c>
      <c r="F373" s="24" t="s">
        <v>66</v>
      </c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</row>
    <row r="374" spans="1:91" s="11" customFormat="1" x14ac:dyDescent="0.25">
      <c r="A374" s="16"/>
      <c r="B374" s="423"/>
      <c r="C374" s="442" t="s">
        <v>3444</v>
      </c>
      <c r="D374" s="16" t="s">
        <v>54</v>
      </c>
      <c r="E374" s="16" t="s">
        <v>951</v>
      </c>
      <c r="F374" s="24" t="s">
        <v>66</v>
      </c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</row>
    <row r="375" spans="1:91" s="11" customFormat="1" x14ac:dyDescent="0.25">
      <c r="A375" s="16"/>
      <c r="B375" s="423"/>
      <c r="C375" s="442" t="s">
        <v>3445</v>
      </c>
      <c r="D375" s="16" t="s">
        <v>54</v>
      </c>
      <c r="E375" s="16" t="s">
        <v>3446</v>
      </c>
      <c r="F375" s="24" t="s">
        <v>66</v>
      </c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</row>
    <row r="376" spans="1:91" s="11" customFormat="1" x14ac:dyDescent="0.25">
      <c r="A376" s="358">
        <v>43234</v>
      </c>
      <c r="B376" s="130" t="s">
        <v>12</v>
      </c>
      <c r="C376" s="367" t="s">
        <v>2917</v>
      </c>
      <c r="D376" s="16" t="s">
        <v>54</v>
      </c>
      <c r="E376" s="41" t="s">
        <v>2650</v>
      </c>
      <c r="F376" s="24" t="s">
        <v>66</v>
      </c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</row>
    <row r="377" spans="1:91" s="11" customFormat="1" x14ac:dyDescent="0.25">
      <c r="A377" s="16"/>
      <c r="B377" s="423"/>
      <c r="C377" s="442" t="s">
        <v>3447</v>
      </c>
      <c r="D377" s="16" t="s">
        <v>54</v>
      </c>
      <c r="E377" s="16" t="s">
        <v>951</v>
      </c>
      <c r="F377" s="24" t="s">
        <v>66</v>
      </c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</row>
    <row r="378" spans="1:91" s="11" customFormat="1" x14ac:dyDescent="0.25">
      <c r="A378" s="16"/>
      <c r="B378" s="423"/>
      <c r="C378" s="442" t="s">
        <v>3448</v>
      </c>
      <c r="D378" s="16" t="s">
        <v>54</v>
      </c>
      <c r="E378" s="16" t="s">
        <v>2645</v>
      </c>
      <c r="F378" s="24" t="s">
        <v>66</v>
      </c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</row>
    <row r="379" spans="1:91" s="11" customFormat="1" x14ac:dyDescent="0.25">
      <c r="A379" s="16"/>
      <c r="B379" s="423"/>
      <c r="C379" s="442" t="s">
        <v>3449</v>
      </c>
      <c r="D379" s="16" t="s">
        <v>54</v>
      </c>
      <c r="E379" s="16" t="s">
        <v>2645</v>
      </c>
      <c r="F379" s="24" t="s">
        <v>66</v>
      </c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</row>
    <row r="380" spans="1:91" s="11" customFormat="1" x14ac:dyDescent="0.25">
      <c r="A380" s="87">
        <v>42781</v>
      </c>
      <c r="B380" s="130" t="s">
        <v>12</v>
      </c>
      <c r="C380" s="419" t="s">
        <v>2918</v>
      </c>
      <c r="D380" s="16" t="s">
        <v>54</v>
      </c>
      <c r="E380" s="41" t="s">
        <v>2645</v>
      </c>
      <c r="F380" s="24" t="s">
        <v>66</v>
      </c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</row>
    <row r="381" spans="1:91" s="11" customFormat="1" x14ac:dyDescent="0.25">
      <c r="A381" s="16"/>
      <c r="B381" s="423"/>
      <c r="C381" s="442" t="s">
        <v>3450</v>
      </c>
      <c r="D381" s="16" t="s">
        <v>54</v>
      </c>
      <c r="E381" s="16" t="s">
        <v>2651</v>
      </c>
      <c r="F381" s="24" t="s">
        <v>66</v>
      </c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</row>
    <row r="382" spans="1:91" s="11" customFormat="1" x14ac:dyDescent="0.25">
      <c r="A382" s="16"/>
      <c r="B382" s="423"/>
      <c r="C382" s="442" t="s">
        <v>3451</v>
      </c>
      <c r="D382" s="16" t="s">
        <v>54</v>
      </c>
      <c r="E382" s="16" t="s">
        <v>2645</v>
      </c>
      <c r="F382" s="24" t="s">
        <v>66</v>
      </c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</row>
    <row r="383" spans="1:91" s="11" customFormat="1" x14ac:dyDescent="0.25">
      <c r="A383" s="16"/>
      <c r="B383" s="423" t="s">
        <v>12</v>
      </c>
      <c r="C383" s="420" t="s">
        <v>2919</v>
      </c>
      <c r="D383" s="16" t="s">
        <v>54</v>
      </c>
      <c r="E383" s="421" t="s">
        <v>2920</v>
      </c>
      <c r="F383" s="24" t="s">
        <v>66</v>
      </c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</row>
    <row r="384" spans="1:91" s="11" customFormat="1" x14ac:dyDescent="0.25">
      <c r="A384" s="16"/>
      <c r="B384" s="423"/>
      <c r="C384" s="442" t="s">
        <v>3452</v>
      </c>
      <c r="D384" s="16" t="s">
        <v>54</v>
      </c>
      <c r="E384" s="16" t="s">
        <v>3453</v>
      </c>
      <c r="F384" s="24" t="s">
        <v>66</v>
      </c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</row>
    <row r="385" spans="1:91" s="11" customFormat="1" x14ac:dyDescent="0.25">
      <c r="A385" s="16"/>
      <c r="B385" s="423"/>
      <c r="C385" s="442" t="s">
        <v>3454</v>
      </c>
      <c r="D385" s="16" t="s">
        <v>54</v>
      </c>
      <c r="E385" s="16" t="s">
        <v>2645</v>
      </c>
      <c r="F385" s="24" t="s">
        <v>66</v>
      </c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</row>
    <row r="386" spans="1:91" s="11" customFormat="1" x14ac:dyDescent="0.25">
      <c r="A386" s="87">
        <v>42629</v>
      </c>
      <c r="B386" s="130" t="s">
        <v>12</v>
      </c>
      <c r="C386" s="407" t="s">
        <v>2921</v>
      </c>
      <c r="D386" s="16" t="s">
        <v>54</v>
      </c>
      <c r="E386" s="341" t="s">
        <v>2793</v>
      </c>
      <c r="F386" s="24" t="s">
        <v>66</v>
      </c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</row>
    <row r="387" spans="1:91" s="11" customFormat="1" x14ac:dyDescent="0.25">
      <c r="A387" s="16"/>
      <c r="B387" s="423"/>
      <c r="C387" s="442" t="s">
        <v>3455</v>
      </c>
      <c r="D387" s="16" t="s">
        <v>54</v>
      </c>
      <c r="E387" s="16" t="s">
        <v>2809</v>
      </c>
      <c r="F387" s="24" t="s">
        <v>66</v>
      </c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</row>
    <row r="388" spans="1:91" s="11" customFormat="1" x14ac:dyDescent="0.25">
      <c r="A388" s="390">
        <v>43553</v>
      </c>
      <c r="B388" s="443" t="s">
        <v>12</v>
      </c>
      <c r="C388" s="446" t="s">
        <v>3224</v>
      </c>
      <c r="D388" s="16" t="s">
        <v>54</v>
      </c>
      <c r="E388" s="16" t="s">
        <v>2645</v>
      </c>
      <c r="F388" s="24" t="s">
        <v>66</v>
      </c>
      <c r="G388" s="479"/>
      <c r="H388" s="418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</row>
    <row r="389" spans="1:91" s="11" customFormat="1" x14ac:dyDescent="0.25">
      <c r="A389" s="16"/>
      <c r="B389" s="423"/>
      <c r="C389" s="442" t="s">
        <v>3224</v>
      </c>
      <c r="D389" s="16" t="s">
        <v>54</v>
      </c>
      <c r="E389" s="16" t="s">
        <v>2645</v>
      </c>
      <c r="F389" s="24" t="s">
        <v>66</v>
      </c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</row>
    <row r="390" spans="1:91" s="11" customFormat="1" x14ac:dyDescent="0.25">
      <c r="A390" s="16"/>
      <c r="B390" s="423"/>
      <c r="C390" s="442" t="s">
        <v>3456</v>
      </c>
      <c r="D390" s="16" t="s">
        <v>54</v>
      </c>
      <c r="E390" s="16" t="s">
        <v>2645</v>
      </c>
      <c r="F390" s="24" t="s">
        <v>66</v>
      </c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</row>
    <row r="391" spans="1:91" s="11" customFormat="1" x14ac:dyDescent="0.25">
      <c r="A391" s="16"/>
      <c r="B391" s="423"/>
      <c r="C391" s="442" t="s">
        <v>3457</v>
      </c>
      <c r="D391" s="16" t="s">
        <v>54</v>
      </c>
      <c r="E391" s="16" t="s">
        <v>3420</v>
      </c>
      <c r="F391" s="24" t="s">
        <v>66</v>
      </c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</row>
    <row r="392" spans="1:91" s="11" customFormat="1" x14ac:dyDescent="0.25">
      <c r="A392" s="16"/>
      <c r="B392" s="423"/>
      <c r="C392" s="442" t="s">
        <v>3458</v>
      </c>
      <c r="D392" s="16" t="s">
        <v>54</v>
      </c>
      <c r="E392" s="16" t="s">
        <v>2645</v>
      </c>
      <c r="F392" s="24" t="s">
        <v>66</v>
      </c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</row>
    <row r="393" spans="1:91" s="11" customFormat="1" x14ac:dyDescent="0.25">
      <c r="A393" s="390">
        <v>43553</v>
      </c>
      <c r="B393" s="443" t="s">
        <v>12</v>
      </c>
      <c r="C393" s="415" t="s">
        <v>3250</v>
      </c>
      <c r="D393" s="16" t="s">
        <v>54</v>
      </c>
      <c r="E393" s="16" t="s">
        <v>2651</v>
      </c>
      <c r="F393" s="24" t="s">
        <v>66</v>
      </c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</row>
    <row r="394" spans="1:91" s="11" customFormat="1" x14ac:dyDescent="0.25">
      <c r="A394" s="358">
        <v>43234</v>
      </c>
      <c r="B394" s="130" t="s">
        <v>12</v>
      </c>
      <c r="C394" s="367" t="s">
        <v>2922</v>
      </c>
      <c r="D394" s="16" t="s">
        <v>54</v>
      </c>
      <c r="E394" s="41" t="s">
        <v>2651</v>
      </c>
      <c r="F394" s="24" t="s">
        <v>66</v>
      </c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</row>
    <row r="395" spans="1:91" s="11" customFormat="1" x14ac:dyDescent="0.25">
      <c r="A395" s="16"/>
      <c r="B395" s="423"/>
      <c r="C395" s="442" t="s">
        <v>3459</v>
      </c>
      <c r="D395" s="16" t="s">
        <v>54</v>
      </c>
      <c r="E395" s="16" t="s">
        <v>2645</v>
      </c>
      <c r="F395" s="24" t="s">
        <v>66</v>
      </c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</row>
    <row r="396" spans="1:91" s="11" customFormat="1" x14ac:dyDescent="0.25">
      <c r="A396" s="16"/>
      <c r="B396" s="423"/>
      <c r="C396" s="442" t="s">
        <v>3460</v>
      </c>
      <c r="D396" s="16" t="s">
        <v>54</v>
      </c>
      <c r="E396" s="16" t="s">
        <v>2645</v>
      </c>
      <c r="F396" s="24" t="s">
        <v>66</v>
      </c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</row>
    <row r="397" spans="1:91" s="11" customFormat="1" x14ac:dyDescent="0.25">
      <c r="A397" s="16"/>
      <c r="B397" s="423"/>
      <c r="C397" s="442" t="s">
        <v>3461</v>
      </c>
      <c r="D397" s="16" t="s">
        <v>54</v>
      </c>
      <c r="E397" s="16" t="s">
        <v>2890</v>
      </c>
      <c r="F397" s="24" t="s">
        <v>66</v>
      </c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</row>
    <row r="398" spans="1:91" s="11" customFormat="1" x14ac:dyDescent="0.25">
      <c r="A398" s="16"/>
      <c r="B398" s="423"/>
      <c r="C398" s="442" t="s">
        <v>3462</v>
      </c>
      <c r="D398" s="16" t="s">
        <v>54</v>
      </c>
      <c r="E398" s="16" t="s">
        <v>2645</v>
      </c>
      <c r="F398" s="24" t="s">
        <v>66</v>
      </c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</row>
    <row r="399" spans="1:91" s="11" customFormat="1" x14ac:dyDescent="0.25">
      <c r="A399" s="16"/>
      <c r="B399" s="423"/>
      <c r="C399" s="442" t="s">
        <v>3463</v>
      </c>
      <c r="D399" s="16" t="s">
        <v>54</v>
      </c>
      <c r="E399" s="16" t="s">
        <v>2645</v>
      </c>
      <c r="F399" s="24" t="s">
        <v>66</v>
      </c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</row>
    <row r="400" spans="1:91" s="11" customFormat="1" x14ac:dyDescent="0.25">
      <c r="A400" s="87">
        <v>42534</v>
      </c>
      <c r="B400" s="130" t="s">
        <v>2840</v>
      </c>
      <c r="C400" s="407" t="s">
        <v>2923</v>
      </c>
      <c r="D400" s="16" t="s">
        <v>54</v>
      </c>
      <c r="E400" s="16" t="s">
        <v>71</v>
      </c>
      <c r="F400" s="24" t="s">
        <v>66</v>
      </c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</row>
    <row r="401" spans="1:91" s="11" customFormat="1" x14ac:dyDescent="0.25">
      <c r="A401" s="390">
        <v>43553</v>
      </c>
      <c r="B401" s="443" t="s">
        <v>12</v>
      </c>
      <c r="C401" s="415" t="s">
        <v>2923</v>
      </c>
      <c r="D401" s="16" t="s">
        <v>54</v>
      </c>
      <c r="E401" s="16" t="s">
        <v>2645</v>
      </c>
      <c r="F401" s="24" t="s">
        <v>66</v>
      </c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</row>
    <row r="402" spans="1:91" s="11" customFormat="1" x14ac:dyDescent="0.25">
      <c r="A402" s="16"/>
      <c r="B402" s="423"/>
      <c r="C402" s="442" t="s">
        <v>3464</v>
      </c>
      <c r="D402" s="16" t="s">
        <v>54</v>
      </c>
      <c r="E402" s="16" t="s">
        <v>2645</v>
      </c>
      <c r="F402" s="24" t="s">
        <v>66</v>
      </c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</row>
    <row r="403" spans="1:91" s="11" customFormat="1" x14ac:dyDescent="0.25">
      <c r="A403" s="314">
        <v>43035</v>
      </c>
      <c r="B403" s="130" t="s">
        <v>12</v>
      </c>
      <c r="C403" s="419" t="s">
        <v>2924</v>
      </c>
      <c r="D403" s="16" t="s">
        <v>54</v>
      </c>
      <c r="E403" s="41" t="s">
        <v>951</v>
      </c>
      <c r="F403" s="24" t="s">
        <v>66</v>
      </c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</row>
    <row r="404" spans="1:91" s="11" customFormat="1" x14ac:dyDescent="0.25">
      <c r="A404" s="16"/>
      <c r="B404" s="423"/>
      <c r="C404" s="442" t="s">
        <v>3465</v>
      </c>
      <c r="D404" s="16" t="s">
        <v>54</v>
      </c>
      <c r="E404" s="16" t="s">
        <v>2645</v>
      </c>
      <c r="F404" s="24" t="s">
        <v>66</v>
      </c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</row>
    <row r="405" spans="1:91" x14ac:dyDescent="0.25">
      <c r="A405" s="358">
        <v>43234</v>
      </c>
      <c r="B405" s="130" t="s">
        <v>12</v>
      </c>
      <c r="C405" s="367" t="s">
        <v>2925</v>
      </c>
      <c r="D405" s="16" t="s">
        <v>54</v>
      </c>
      <c r="E405" s="41" t="s">
        <v>2651</v>
      </c>
      <c r="F405" s="24" t="s">
        <v>66</v>
      </c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</row>
    <row r="406" spans="1:91" x14ac:dyDescent="0.25">
      <c r="A406" s="87">
        <v>42395</v>
      </c>
      <c r="B406" s="130" t="s">
        <v>12</v>
      </c>
      <c r="C406" s="407" t="s">
        <v>2926</v>
      </c>
      <c r="D406" s="16" t="s">
        <v>54</v>
      </c>
      <c r="E406" s="16" t="s">
        <v>438</v>
      </c>
      <c r="F406" s="24" t="s">
        <v>66</v>
      </c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</row>
    <row r="407" spans="1:91" x14ac:dyDescent="0.25">
      <c r="A407" s="87">
        <v>42395</v>
      </c>
      <c r="B407" s="130" t="s">
        <v>12</v>
      </c>
      <c r="C407" s="407" t="s">
        <v>2927</v>
      </c>
      <c r="D407" s="16" t="s">
        <v>54</v>
      </c>
      <c r="E407" s="16" t="s">
        <v>438</v>
      </c>
      <c r="F407" s="24" t="s">
        <v>66</v>
      </c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</row>
    <row r="408" spans="1:91" x14ac:dyDescent="0.25">
      <c r="A408" s="16"/>
      <c r="B408" s="423"/>
      <c r="C408" s="442" t="s">
        <v>3466</v>
      </c>
      <c r="D408" s="16" t="s">
        <v>54</v>
      </c>
      <c r="E408" s="16" t="s">
        <v>2802</v>
      </c>
      <c r="F408" s="24" t="s">
        <v>66</v>
      </c>
    </row>
    <row r="409" spans="1:91" x14ac:dyDescent="0.25">
      <c r="A409" s="358">
        <v>43234</v>
      </c>
      <c r="B409" s="130" t="s">
        <v>12</v>
      </c>
      <c r="C409" s="367" t="s">
        <v>2928</v>
      </c>
      <c r="D409" s="16" t="s">
        <v>54</v>
      </c>
      <c r="E409" s="41" t="s">
        <v>2645</v>
      </c>
      <c r="F409" s="24" t="s">
        <v>66</v>
      </c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</row>
    <row r="410" spans="1:91" x14ac:dyDescent="0.25">
      <c r="A410" s="87">
        <v>42395</v>
      </c>
      <c r="B410" s="130" t="s">
        <v>12</v>
      </c>
      <c r="C410" s="422" t="s">
        <v>70</v>
      </c>
      <c r="D410" s="16" t="s">
        <v>54</v>
      </c>
      <c r="E410" s="16" t="s">
        <v>438</v>
      </c>
      <c r="F410" s="24" t="s">
        <v>66</v>
      </c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</row>
    <row r="411" spans="1:91" x14ac:dyDescent="0.25">
      <c r="A411" s="222"/>
      <c r="B411" s="130" t="s">
        <v>12</v>
      </c>
      <c r="C411" s="417" t="s">
        <v>2929</v>
      </c>
      <c r="D411" s="16" t="s">
        <v>54</v>
      </c>
      <c r="E411" s="29" t="s">
        <v>2868</v>
      </c>
      <c r="F411" s="24" t="s">
        <v>66</v>
      </c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</row>
    <row r="412" spans="1:91" x14ac:dyDescent="0.25">
      <c r="A412" s="87">
        <v>42781</v>
      </c>
      <c r="B412" s="130" t="s">
        <v>12</v>
      </c>
      <c r="C412" s="419" t="s">
        <v>2930</v>
      </c>
      <c r="D412" s="16" t="s">
        <v>54</v>
      </c>
      <c r="E412" s="41" t="s">
        <v>2931</v>
      </c>
      <c r="F412" s="24" t="s">
        <v>66</v>
      </c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</row>
    <row r="413" spans="1:91" x14ac:dyDescent="0.25">
      <c r="A413" s="16"/>
      <c r="B413" s="423"/>
      <c r="C413" s="442" t="s">
        <v>3467</v>
      </c>
      <c r="D413" s="16" t="s">
        <v>54</v>
      </c>
      <c r="E413" s="16" t="s">
        <v>2645</v>
      </c>
      <c r="F413" s="24" t="s">
        <v>66</v>
      </c>
    </row>
    <row r="414" spans="1:91" x14ac:dyDescent="0.25">
      <c r="A414" s="87">
        <v>42781</v>
      </c>
      <c r="B414" s="130" t="s">
        <v>12</v>
      </c>
      <c r="C414" s="419" t="s">
        <v>2932</v>
      </c>
      <c r="D414" s="16" t="s">
        <v>54</v>
      </c>
      <c r="E414" s="41" t="s">
        <v>2648</v>
      </c>
      <c r="F414" s="24" t="s">
        <v>66</v>
      </c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</row>
    <row r="415" spans="1:91" x14ac:dyDescent="0.25">
      <c r="A415" s="390">
        <v>43553</v>
      </c>
      <c r="B415" s="443" t="s">
        <v>12</v>
      </c>
      <c r="C415" s="415" t="s">
        <v>3251</v>
      </c>
      <c r="D415" s="16" t="s">
        <v>54</v>
      </c>
      <c r="E415" s="16" t="s">
        <v>2868</v>
      </c>
      <c r="F415" s="24" t="s">
        <v>66</v>
      </c>
    </row>
    <row r="416" spans="1:91" x14ac:dyDescent="0.25">
      <c r="A416" s="390">
        <v>43553</v>
      </c>
      <c r="B416" s="443" t="s">
        <v>12</v>
      </c>
      <c r="C416" s="415" t="s">
        <v>3238</v>
      </c>
      <c r="D416" s="16" t="s">
        <v>54</v>
      </c>
      <c r="E416" s="16" t="s">
        <v>2645</v>
      </c>
      <c r="F416" s="24" t="s">
        <v>66</v>
      </c>
    </row>
    <row r="417" spans="1:91" x14ac:dyDescent="0.25">
      <c r="A417" s="16"/>
      <c r="B417" s="423"/>
      <c r="C417" s="420" t="s">
        <v>3343</v>
      </c>
      <c r="D417" s="16" t="s">
        <v>54</v>
      </c>
      <c r="E417" s="16" t="s">
        <v>2645</v>
      </c>
      <c r="F417" s="24" t="s">
        <v>66</v>
      </c>
    </row>
    <row r="418" spans="1:91" x14ac:dyDescent="0.25">
      <c r="A418" s="87">
        <v>42781</v>
      </c>
      <c r="B418" s="130" t="s">
        <v>12</v>
      </c>
      <c r="C418" s="419" t="s">
        <v>2933</v>
      </c>
      <c r="D418" s="16" t="s">
        <v>54</v>
      </c>
      <c r="E418" s="41" t="s">
        <v>876</v>
      </c>
      <c r="F418" s="24" t="s">
        <v>66</v>
      </c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</row>
    <row r="419" spans="1:91" x14ac:dyDescent="0.25">
      <c r="A419" s="87">
        <v>42781</v>
      </c>
      <c r="B419" s="130" t="s">
        <v>12</v>
      </c>
      <c r="C419" s="419" t="s">
        <v>2934</v>
      </c>
      <c r="D419" s="16" t="s">
        <v>54</v>
      </c>
      <c r="E419" s="41" t="s">
        <v>2648</v>
      </c>
      <c r="F419" s="24" t="s">
        <v>66</v>
      </c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</row>
    <row r="420" spans="1:91" x14ac:dyDescent="0.25">
      <c r="A420" s="16"/>
      <c r="B420" s="423"/>
      <c r="C420" s="442" t="s">
        <v>3468</v>
      </c>
      <c r="D420" s="16" t="s">
        <v>54</v>
      </c>
      <c r="E420" s="16" t="s">
        <v>951</v>
      </c>
      <c r="F420" s="24" t="s">
        <v>66</v>
      </c>
    </row>
    <row r="421" spans="1:91" x14ac:dyDescent="0.25">
      <c r="A421" s="390">
        <v>43553</v>
      </c>
      <c r="B421" s="443" t="s">
        <v>12</v>
      </c>
      <c r="C421" s="444" t="s">
        <v>3252</v>
      </c>
      <c r="D421" s="16" t="s">
        <v>54</v>
      </c>
      <c r="E421" s="16" t="s">
        <v>2645</v>
      </c>
      <c r="F421" s="24" t="s">
        <v>66</v>
      </c>
    </row>
    <row r="422" spans="1:91" x14ac:dyDescent="0.25">
      <c r="A422" s="16"/>
      <c r="B422" s="423"/>
      <c r="C422" s="442" t="s">
        <v>3252</v>
      </c>
      <c r="D422" s="16" t="s">
        <v>54</v>
      </c>
      <c r="E422" s="16" t="s">
        <v>2645</v>
      </c>
      <c r="F422" s="24" t="s">
        <v>66</v>
      </c>
    </row>
    <row r="423" spans="1:91" x14ac:dyDescent="0.25">
      <c r="A423" s="358">
        <v>43234</v>
      </c>
      <c r="B423" s="130" t="s">
        <v>12</v>
      </c>
      <c r="C423" s="367" t="s">
        <v>2935</v>
      </c>
      <c r="D423" s="16" t="s">
        <v>54</v>
      </c>
      <c r="E423" s="41" t="s">
        <v>2651</v>
      </c>
      <c r="F423" s="24" t="s">
        <v>66</v>
      </c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</row>
    <row r="424" spans="1:91" x14ac:dyDescent="0.25">
      <c r="A424" s="16"/>
      <c r="B424" s="423" t="s">
        <v>12</v>
      </c>
      <c r="C424" s="420" t="s">
        <v>1830</v>
      </c>
      <c r="D424" s="16" t="s">
        <v>54</v>
      </c>
      <c r="E424" s="421" t="s">
        <v>2920</v>
      </c>
      <c r="F424" s="24" t="s">
        <v>66</v>
      </c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</row>
    <row r="425" spans="1:91" x14ac:dyDescent="0.25">
      <c r="A425" s="358">
        <v>43234</v>
      </c>
      <c r="B425" s="130" t="s">
        <v>12</v>
      </c>
      <c r="C425" s="367" t="s">
        <v>2936</v>
      </c>
      <c r="D425" s="16" t="s">
        <v>54</v>
      </c>
      <c r="E425" s="41" t="s">
        <v>2643</v>
      </c>
      <c r="F425" s="24" t="s">
        <v>66</v>
      </c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</row>
    <row r="426" spans="1:91" x14ac:dyDescent="0.25">
      <c r="A426" s="314">
        <v>43084</v>
      </c>
      <c r="B426" s="130" t="s">
        <v>12</v>
      </c>
      <c r="C426" s="419" t="s">
        <v>2937</v>
      </c>
      <c r="D426" s="16" t="s">
        <v>54</v>
      </c>
      <c r="E426" s="41" t="s">
        <v>2645</v>
      </c>
      <c r="F426" s="24" t="s">
        <v>66</v>
      </c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</row>
    <row r="427" spans="1:91" x14ac:dyDescent="0.25">
      <c r="A427" s="390">
        <v>43553</v>
      </c>
      <c r="B427" s="443" t="s">
        <v>12</v>
      </c>
      <c r="C427" s="415" t="s">
        <v>3253</v>
      </c>
      <c r="D427" s="16" t="s">
        <v>54</v>
      </c>
      <c r="E427" s="16" t="s">
        <v>3059</v>
      </c>
      <c r="F427" s="24" t="s">
        <v>66</v>
      </c>
    </row>
    <row r="428" spans="1:91" x14ac:dyDescent="0.25">
      <c r="A428" s="87">
        <v>42781</v>
      </c>
      <c r="B428" s="130" t="s">
        <v>12</v>
      </c>
      <c r="C428" s="419" t="s">
        <v>2938</v>
      </c>
      <c r="D428" s="16" t="s">
        <v>54</v>
      </c>
      <c r="E428" s="41" t="s">
        <v>2651</v>
      </c>
      <c r="F428" s="24" t="s">
        <v>66</v>
      </c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</row>
    <row r="429" spans="1:91" x14ac:dyDescent="0.25">
      <c r="A429" s="222"/>
      <c r="B429" s="130" t="s">
        <v>12</v>
      </c>
      <c r="C429" s="417" t="s">
        <v>2939</v>
      </c>
      <c r="D429" s="16" t="s">
        <v>54</v>
      </c>
      <c r="E429" s="29" t="s">
        <v>2781</v>
      </c>
      <c r="F429" s="24" t="s">
        <v>66</v>
      </c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</row>
    <row r="430" spans="1:91" x14ac:dyDescent="0.25">
      <c r="A430" s="222"/>
      <c r="B430" s="130" t="s">
        <v>12</v>
      </c>
      <c r="C430" s="417" t="s">
        <v>2940</v>
      </c>
      <c r="D430" s="16" t="s">
        <v>54</v>
      </c>
      <c r="E430" s="29" t="s">
        <v>2941</v>
      </c>
      <c r="F430" s="24" t="s">
        <v>66</v>
      </c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</row>
    <row r="431" spans="1:91" x14ac:dyDescent="0.25">
      <c r="A431" s="16"/>
      <c r="B431" s="423"/>
      <c r="C431" s="442" t="s">
        <v>3469</v>
      </c>
      <c r="D431" s="16" t="s">
        <v>54</v>
      </c>
      <c r="E431" s="16" t="s">
        <v>951</v>
      </c>
      <c r="F431" s="24" t="s">
        <v>66</v>
      </c>
    </row>
    <row r="432" spans="1:91" x14ac:dyDescent="0.25">
      <c r="A432" s="16"/>
      <c r="B432" s="423"/>
      <c r="C432" s="442" t="s">
        <v>3470</v>
      </c>
      <c r="D432" s="16" t="s">
        <v>54</v>
      </c>
      <c r="E432" s="16" t="s">
        <v>2651</v>
      </c>
      <c r="F432" s="24" t="s">
        <v>66</v>
      </c>
    </row>
    <row r="433" spans="1:91" x14ac:dyDescent="0.25">
      <c r="A433" s="16"/>
      <c r="B433" s="423"/>
      <c r="C433" s="442" t="s">
        <v>3471</v>
      </c>
      <c r="D433" s="16" t="s">
        <v>54</v>
      </c>
      <c r="E433" s="16" t="s">
        <v>2651</v>
      </c>
      <c r="F433" s="24" t="s">
        <v>66</v>
      </c>
    </row>
    <row r="434" spans="1:91" x14ac:dyDescent="0.25">
      <c r="A434" s="87">
        <v>42781</v>
      </c>
      <c r="B434" s="130" t="s">
        <v>12</v>
      </c>
      <c r="C434" s="419" t="s">
        <v>2942</v>
      </c>
      <c r="D434" s="16" t="s">
        <v>54</v>
      </c>
      <c r="E434" s="41" t="s">
        <v>2645</v>
      </c>
      <c r="F434" s="24" t="s">
        <v>66</v>
      </c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</row>
    <row r="435" spans="1:91" x14ac:dyDescent="0.25">
      <c r="A435" s="222"/>
      <c r="B435" s="130" t="s">
        <v>12</v>
      </c>
      <c r="C435" s="417" t="s">
        <v>2942</v>
      </c>
      <c r="D435" s="16" t="s">
        <v>54</v>
      </c>
      <c r="E435" s="29" t="s">
        <v>2645</v>
      </c>
      <c r="F435" s="24" t="s">
        <v>66</v>
      </c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</row>
    <row r="436" spans="1:91" x14ac:dyDescent="0.25">
      <c r="A436" s="87">
        <v>42725</v>
      </c>
      <c r="B436" s="130" t="s">
        <v>12</v>
      </c>
      <c r="C436" s="407" t="s">
        <v>2943</v>
      </c>
      <c r="D436" s="16" t="s">
        <v>54</v>
      </c>
      <c r="E436" s="470" t="s">
        <v>2648</v>
      </c>
      <c r="F436" s="24" t="s">
        <v>66</v>
      </c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</row>
    <row r="437" spans="1:91" x14ac:dyDescent="0.25">
      <c r="A437" s="87">
        <v>42781</v>
      </c>
      <c r="B437" s="130" t="s">
        <v>12</v>
      </c>
      <c r="C437" s="419" t="s">
        <v>2944</v>
      </c>
      <c r="D437" s="16" t="s">
        <v>54</v>
      </c>
      <c r="E437" s="41" t="s">
        <v>2645</v>
      </c>
      <c r="F437" s="24" t="s">
        <v>66</v>
      </c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</row>
    <row r="438" spans="1:91" x14ac:dyDescent="0.25">
      <c r="A438" s="222"/>
      <c r="B438" s="130" t="s">
        <v>12</v>
      </c>
      <c r="C438" s="417" t="s">
        <v>2945</v>
      </c>
      <c r="D438" s="16" t="s">
        <v>54</v>
      </c>
      <c r="E438" s="29" t="s">
        <v>2645</v>
      </c>
      <c r="F438" s="24" t="s">
        <v>66</v>
      </c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</row>
    <row r="439" spans="1:91" x14ac:dyDescent="0.25">
      <c r="A439" s="16"/>
      <c r="B439" s="423"/>
      <c r="C439" s="442" t="s">
        <v>3472</v>
      </c>
      <c r="D439" s="16" t="s">
        <v>54</v>
      </c>
      <c r="E439" s="16" t="s">
        <v>2651</v>
      </c>
      <c r="F439" s="24" t="s">
        <v>66</v>
      </c>
    </row>
    <row r="440" spans="1:91" x14ac:dyDescent="0.25">
      <c r="A440" s="16"/>
      <c r="B440" s="423"/>
      <c r="C440" s="442" t="s">
        <v>3473</v>
      </c>
      <c r="D440" s="16" t="s">
        <v>54</v>
      </c>
      <c r="E440" s="16" t="s">
        <v>2655</v>
      </c>
      <c r="F440" s="24" t="s">
        <v>66</v>
      </c>
    </row>
    <row r="441" spans="1:91" x14ac:dyDescent="0.25">
      <c r="A441" s="390">
        <v>43553</v>
      </c>
      <c r="B441" s="443" t="s">
        <v>12</v>
      </c>
      <c r="C441" s="444" t="s">
        <v>3254</v>
      </c>
      <c r="D441" s="16" t="s">
        <v>54</v>
      </c>
      <c r="E441" s="16" t="s">
        <v>2648</v>
      </c>
      <c r="F441" s="24" t="s">
        <v>66</v>
      </c>
    </row>
    <row r="442" spans="1:91" x14ac:dyDescent="0.25">
      <c r="A442" s="358">
        <v>43234</v>
      </c>
      <c r="B442" s="130" t="s">
        <v>12</v>
      </c>
      <c r="C442" s="416" t="s">
        <v>2946</v>
      </c>
      <c r="D442" s="16" t="s">
        <v>54</v>
      </c>
      <c r="E442" s="41" t="s">
        <v>2643</v>
      </c>
      <c r="F442" s="24" t="s">
        <v>66</v>
      </c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</row>
    <row r="443" spans="1:91" x14ac:dyDescent="0.25">
      <c r="A443" s="314">
        <v>43084</v>
      </c>
      <c r="B443" s="130" t="s">
        <v>12</v>
      </c>
      <c r="C443" s="419" t="s">
        <v>2947</v>
      </c>
      <c r="D443" s="16" t="s">
        <v>54</v>
      </c>
      <c r="E443" s="41" t="s">
        <v>2439</v>
      </c>
      <c r="F443" s="24" t="s">
        <v>66</v>
      </c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</row>
    <row r="444" spans="1:91" x14ac:dyDescent="0.25">
      <c r="A444" s="222"/>
      <c r="B444" s="130" t="s">
        <v>12</v>
      </c>
      <c r="C444" s="417" t="s">
        <v>2948</v>
      </c>
      <c r="D444" s="16" t="s">
        <v>54</v>
      </c>
      <c r="E444" s="29" t="s">
        <v>2655</v>
      </c>
      <c r="F444" s="24" t="s">
        <v>66</v>
      </c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</row>
    <row r="445" spans="1:91" x14ac:dyDescent="0.25">
      <c r="A445" s="358">
        <v>43234</v>
      </c>
      <c r="B445" s="130" t="s">
        <v>12</v>
      </c>
      <c r="C445" s="367" t="s">
        <v>2949</v>
      </c>
      <c r="D445" s="16" t="s">
        <v>54</v>
      </c>
      <c r="E445" s="41" t="s">
        <v>2950</v>
      </c>
      <c r="F445" s="24" t="s">
        <v>66</v>
      </c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</row>
    <row r="446" spans="1:91" x14ac:dyDescent="0.25">
      <c r="A446" s="358">
        <v>43234</v>
      </c>
      <c r="B446" s="130" t="s">
        <v>12</v>
      </c>
      <c r="C446" s="367" t="s">
        <v>2951</v>
      </c>
      <c r="D446" s="16" t="s">
        <v>54</v>
      </c>
      <c r="E446" s="41" t="s">
        <v>951</v>
      </c>
      <c r="F446" s="24" t="s">
        <v>66</v>
      </c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</row>
    <row r="447" spans="1:91" x14ac:dyDescent="0.25">
      <c r="A447" s="87">
        <v>42629</v>
      </c>
      <c r="B447" s="130" t="s">
        <v>12</v>
      </c>
      <c r="C447" s="422" t="s">
        <v>2952</v>
      </c>
      <c r="D447" s="16" t="s">
        <v>54</v>
      </c>
      <c r="E447" s="16" t="s">
        <v>71</v>
      </c>
      <c r="F447" s="24" t="s">
        <v>66</v>
      </c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</row>
    <row r="448" spans="1:91" x14ac:dyDescent="0.25">
      <c r="A448" s="87">
        <v>42534</v>
      </c>
      <c r="B448" s="130" t="s">
        <v>2840</v>
      </c>
      <c r="C448" s="407" t="s">
        <v>2953</v>
      </c>
      <c r="D448" s="16" t="s">
        <v>54</v>
      </c>
      <c r="E448" s="16" t="s">
        <v>71</v>
      </c>
      <c r="F448" s="24" t="s">
        <v>66</v>
      </c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</row>
    <row r="449" spans="1:91" x14ac:dyDescent="0.25">
      <c r="A449" s="390">
        <v>43553</v>
      </c>
      <c r="B449" s="443" t="s">
        <v>12</v>
      </c>
      <c r="C449" s="445" t="s">
        <v>3228</v>
      </c>
      <c r="D449" s="16" t="s">
        <v>54</v>
      </c>
      <c r="E449" s="16" t="s">
        <v>3230</v>
      </c>
      <c r="F449" s="24" t="s">
        <v>66</v>
      </c>
      <c r="G449" s="86"/>
      <c r="H449" s="418"/>
    </row>
    <row r="450" spans="1:91" x14ac:dyDescent="0.25">
      <c r="A450" s="314">
        <v>43084</v>
      </c>
      <c r="B450" s="130" t="s">
        <v>12</v>
      </c>
      <c r="C450" s="419" t="s">
        <v>2954</v>
      </c>
      <c r="D450" s="16" t="s">
        <v>54</v>
      </c>
      <c r="E450" s="41" t="s">
        <v>2439</v>
      </c>
      <c r="F450" s="24" t="s">
        <v>66</v>
      </c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</row>
    <row r="451" spans="1:91" x14ac:dyDescent="0.25">
      <c r="A451" s="16"/>
      <c r="B451" s="423" t="s">
        <v>12</v>
      </c>
      <c r="C451" s="420" t="s">
        <v>2955</v>
      </c>
      <c r="D451" s="16" t="s">
        <v>54</v>
      </c>
      <c r="E451" s="421" t="s">
        <v>2645</v>
      </c>
      <c r="F451" s="24" t="s">
        <v>66</v>
      </c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</row>
    <row r="452" spans="1:91" x14ac:dyDescent="0.25">
      <c r="A452" s="16"/>
      <c r="B452" s="423"/>
      <c r="C452" s="442" t="s">
        <v>3474</v>
      </c>
      <c r="D452" s="16" t="s">
        <v>54</v>
      </c>
      <c r="E452" s="16" t="s">
        <v>2809</v>
      </c>
      <c r="F452" s="24" t="s">
        <v>66</v>
      </c>
    </row>
    <row r="453" spans="1:91" x14ac:dyDescent="0.25">
      <c r="A453" s="390">
        <v>43553</v>
      </c>
      <c r="B453" s="443" t="s">
        <v>12</v>
      </c>
      <c r="C453" s="415" t="s">
        <v>3255</v>
      </c>
      <c r="D453" s="16" t="s">
        <v>54</v>
      </c>
      <c r="E453" s="16" t="s">
        <v>2645</v>
      </c>
      <c r="F453" s="24" t="s">
        <v>66</v>
      </c>
    </row>
    <row r="454" spans="1:91" x14ac:dyDescent="0.25">
      <c r="A454" s="87">
        <v>42395</v>
      </c>
      <c r="B454" s="130" t="s">
        <v>12</v>
      </c>
      <c r="C454" s="407" t="s">
        <v>2956</v>
      </c>
      <c r="D454" s="16" t="s">
        <v>54</v>
      </c>
      <c r="E454" s="16" t="s">
        <v>438</v>
      </c>
      <c r="F454" s="24" t="s">
        <v>66</v>
      </c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</row>
    <row r="455" spans="1:91" x14ac:dyDescent="0.25">
      <c r="A455" s="358">
        <v>43234</v>
      </c>
      <c r="B455" s="130" t="s">
        <v>12</v>
      </c>
      <c r="C455" s="416" t="s">
        <v>2957</v>
      </c>
      <c r="D455" s="16" t="s">
        <v>54</v>
      </c>
      <c r="E455" s="41" t="s">
        <v>2651</v>
      </c>
      <c r="F455" s="24" t="s">
        <v>66</v>
      </c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</row>
    <row r="456" spans="1:91" x14ac:dyDescent="0.25">
      <c r="A456" s="16"/>
      <c r="B456" s="423"/>
      <c r="C456" s="442" t="s">
        <v>3475</v>
      </c>
      <c r="D456" s="16" t="s">
        <v>54</v>
      </c>
      <c r="E456" s="16" t="s">
        <v>2960</v>
      </c>
      <c r="F456" s="24" t="s">
        <v>66</v>
      </c>
    </row>
    <row r="457" spans="1:91" x14ac:dyDescent="0.25">
      <c r="A457" s="87">
        <v>42781</v>
      </c>
      <c r="B457" s="130" t="s">
        <v>12</v>
      </c>
      <c r="C457" s="419" t="s">
        <v>2958</v>
      </c>
      <c r="D457" s="16" t="s">
        <v>54</v>
      </c>
      <c r="E457" s="41" t="s">
        <v>2950</v>
      </c>
      <c r="F457" s="24" t="s">
        <v>66</v>
      </c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</row>
    <row r="458" spans="1:91" x14ac:dyDescent="0.25">
      <c r="A458" s="87">
        <v>42781</v>
      </c>
      <c r="B458" s="130" t="s">
        <v>12</v>
      </c>
      <c r="C458" s="419" t="s">
        <v>2959</v>
      </c>
      <c r="D458" s="16" t="s">
        <v>54</v>
      </c>
      <c r="E458" s="41" t="s">
        <v>2950</v>
      </c>
      <c r="F458" s="24" t="s">
        <v>66</v>
      </c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</row>
    <row r="459" spans="1:91" x14ac:dyDescent="0.25">
      <c r="A459" s="222"/>
      <c r="B459" s="130" t="s">
        <v>12</v>
      </c>
      <c r="C459" s="417" t="s">
        <v>2959</v>
      </c>
      <c r="D459" s="16" t="s">
        <v>54</v>
      </c>
      <c r="E459" s="29" t="s">
        <v>2960</v>
      </c>
      <c r="F459" s="24" t="s">
        <v>66</v>
      </c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</row>
    <row r="460" spans="1:91" x14ac:dyDescent="0.25">
      <c r="A460" s="87">
        <v>42781</v>
      </c>
      <c r="B460" s="130" t="s">
        <v>12</v>
      </c>
      <c r="C460" s="419" t="s">
        <v>2961</v>
      </c>
      <c r="D460" s="16" t="s">
        <v>54</v>
      </c>
      <c r="E460" s="41" t="s">
        <v>2931</v>
      </c>
      <c r="F460" s="24" t="s">
        <v>66</v>
      </c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</row>
    <row r="461" spans="1:91" x14ac:dyDescent="0.25">
      <c r="A461" s="358">
        <v>43234</v>
      </c>
      <c r="B461" s="130" t="s">
        <v>12</v>
      </c>
      <c r="C461" s="416" t="s">
        <v>2962</v>
      </c>
      <c r="D461" s="16" t="s">
        <v>54</v>
      </c>
      <c r="E461" s="41" t="s">
        <v>2645</v>
      </c>
      <c r="F461" s="24" t="s">
        <v>66</v>
      </c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</row>
    <row r="462" spans="1:91" x14ac:dyDescent="0.25">
      <c r="A462" s="87">
        <v>42781</v>
      </c>
      <c r="B462" s="130" t="s">
        <v>12</v>
      </c>
      <c r="C462" s="419" t="s">
        <v>2963</v>
      </c>
      <c r="D462" s="16" t="s">
        <v>54</v>
      </c>
      <c r="E462" s="41" t="s">
        <v>2645</v>
      </c>
      <c r="F462" s="24" t="s">
        <v>66</v>
      </c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</row>
    <row r="463" spans="1:91" x14ac:dyDescent="0.25">
      <c r="A463" s="390">
        <v>43553</v>
      </c>
      <c r="B463" s="443" t="s">
        <v>12</v>
      </c>
      <c r="C463" s="444" t="s">
        <v>3256</v>
      </c>
      <c r="D463" s="16" t="s">
        <v>54</v>
      </c>
      <c r="E463" s="16" t="s">
        <v>2645</v>
      </c>
      <c r="F463" s="24" t="s">
        <v>66</v>
      </c>
    </row>
    <row r="464" spans="1:91" x14ac:dyDescent="0.25">
      <c r="A464" s="87">
        <v>42781</v>
      </c>
      <c r="B464" s="130" t="s">
        <v>12</v>
      </c>
      <c r="C464" s="419" t="s">
        <v>2964</v>
      </c>
      <c r="D464" s="16" t="s">
        <v>54</v>
      </c>
      <c r="E464" s="41" t="s">
        <v>2645</v>
      </c>
      <c r="F464" s="24" t="s">
        <v>66</v>
      </c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</row>
    <row r="465" spans="1:91" x14ac:dyDescent="0.25">
      <c r="A465" s="222"/>
      <c r="B465" s="130" t="s">
        <v>12</v>
      </c>
      <c r="C465" s="417" t="s">
        <v>2965</v>
      </c>
      <c r="D465" s="16" t="s">
        <v>54</v>
      </c>
      <c r="E465" s="29" t="s">
        <v>2868</v>
      </c>
      <c r="F465" s="24" t="s">
        <v>66</v>
      </c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</row>
    <row r="466" spans="1:91" x14ac:dyDescent="0.25">
      <c r="A466" s="222"/>
      <c r="B466" s="130" t="s">
        <v>12</v>
      </c>
      <c r="C466" s="417" t="s">
        <v>2966</v>
      </c>
      <c r="D466" s="16" t="s">
        <v>54</v>
      </c>
      <c r="E466" s="29" t="s">
        <v>2868</v>
      </c>
      <c r="F466" s="24" t="s">
        <v>66</v>
      </c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</row>
    <row r="467" spans="1:91" x14ac:dyDescent="0.25">
      <c r="A467" s="16"/>
      <c r="B467" s="423" t="s">
        <v>12</v>
      </c>
      <c r="C467" s="424" t="s">
        <v>2967</v>
      </c>
      <c r="D467" s="16" t="s">
        <v>54</v>
      </c>
      <c r="E467" s="421" t="s">
        <v>2890</v>
      </c>
      <c r="F467" s="24" t="s">
        <v>66</v>
      </c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</row>
    <row r="468" spans="1:91" x14ac:dyDescent="0.25">
      <c r="A468" s="87">
        <v>42781</v>
      </c>
      <c r="B468" s="130" t="s">
        <v>12</v>
      </c>
      <c r="C468" s="419" t="s">
        <v>2968</v>
      </c>
      <c r="D468" s="16" t="s">
        <v>54</v>
      </c>
      <c r="E468" s="41" t="s">
        <v>2651</v>
      </c>
      <c r="F468" s="24" t="s">
        <v>66</v>
      </c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</row>
    <row r="469" spans="1:91" x14ac:dyDescent="0.25">
      <c r="A469" s="390">
        <v>43553</v>
      </c>
      <c r="B469" s="443" t="s">
        <v>12</v>
      </c>
      <c r="C469" s="415" t="s">
        <v>3257</v>
      </c>
      <c r="D469" s="16" t="s">
        <v>54</v>
      </c>
      <c r="E469" s="16" t="s">
        <v>3258</v>
      </c>
      <c r="F469" s="24" t="s">
        <v>66</v>
      </c>
    </row>
    <row r="470" spans="1:91" x14ac:dyDescent="0.25">
      <c r="A470" s="390">
        <v>43553</v>
      </c>
      <c r="B470" s="443" t="s">
        <v>12</v>
      </c>
      <c r="C470" s="415" t="s">
        <v>3259</v>
      </c>
      <c r="D470" s="16" t="s">
        <v>54</v>
      </c>
      <c r="E470" s="16" t="s">
        <v>3258</v>
      </c>
      <c r="F470" s="24" t="s">
        <v>66</v>
      </c>
    </row>
    <row r="471" spans="1:91" x14ac:dyDescent="0.25">
      <c r="A471" s="390">
        <v>43553</v>
      </c>
      <c r="B471" s="443" t="s">
        <v>12</v>
      </c>
      <c r="C471" s="444" t="s">
        <v>3260</v>
      </c>
      <c r="D471" s="16" t="s">
        <v>54</v>
      </c>
      <c r="E471" s="16" t="s">
        <v>2645</v>
      </c>
      <c r="F471" s="24" t="s">
        <v>66</v>
      </c>
    </row>
    <row r="472" spans="1:91" x14ac:dyDescent="0.25">
      <c r="A472" s="358">
        <v>43123</v>
      </c>
      <c r="B472" s="130" t="s">
        <v>12</v>
      </c>
      <c r="C472" s="419" t="s">
        <v>2969</v>
      </c>
      <c r="D472" s="16" t="s">
        <v>54</v>
      </c>
      <c r="E472" s="41" t="s">
        <v>2651</v>
      </c>
      <c r="F472" s="24" t="s">
        <v>66</v>
      </c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</row>
    <row r="473" spans="1:91" x14ac:dyDescent="0.25">
      <c r="A473" s="87">
        <v>42534</v>
      </c>
      <c r="B473" s="130" t="s">
        <v>2840</v>
      </c>
      <c r="C473" s="407" t="s">
        <v>2970</v>
      </c>
      <c r="D473" s="16" t="s">
        <v>54</v>
      </c>
      <c r="E473" s="16" t="s">
        <v>71</v>
      </c>
      <c r="F473" s="24" t="s">
        <v>66</v>
      </c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</row>
    <row r="474" spans="1:91" x14ac:dyDescent="0.25">
      <c r="A474" s="87">
        <v>42395</v>
      </c>
      <c r="B474" s="130" t="s">
        <v>12</v>
      </c>
      <c r="C474" s="407" t="s">
        <v>2971</v>
      </c>
      <c r="D474" s="16" t="s">
        <v>54</v>
      </c>
      <c r="E474" s="16" t="s">
        <v>438</v>
      </c>
      <c r="F474" s="24" t="s">
        <v>66</v>
      </c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</row>
    <row r="475" spans="1:91" x14ac:dyDescent="0.25">
      <c r="A475" s="16"/>
      <c r="B475" s="423"/>
      <c r="C475" s="442" t="s">
        <v>3476</v>
      </c>
      <c r="D475" s="16" t="s">
        <v>54</v>
      </c>
      <c r="E475" s="16" t="s">
        <v>2868</v>
      </c>
      <c r="F475" s="24" t="s">
        <v>66</v>
      </c>
    </row>
    <row r="476" spans="1:91" x14ac:dyDescent="0.25">
      <c r="A476" s="87">
        <v>42629</v>
      </c>
      <c r="B476" s="130" t="s">
        <v>12</v>
      </c>
      <c r="C476" s="407" t="s">
        <v>2972</v>
      </c>
      <c r="D476" s="16" t="s">
        <v>54</v>
      </c>
      <c r="E476" s="341" t="s">
        <v>2793</v>
      </c>
      <c r="F476" s="24" t="s">
        <v>66</v>
      </c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</row>
    <row r="477" spans="1:91" x14ac:dyDescent="0.25">
      <c r="A477" s="358">
        <v>43115</v>
      </c>
      <c r="B477" s="130" t="s">
        <v>12</v>
      </c>
      <c r="C477" s="419" t="s">
        <v>2973</v>
      </c>
      <c r="D477" s="16" t="s">
        <v>54</v>
      </c>
      <c r="E477" s="41" t="s">
        <v>2890</v>
      </c>
      <c r="F477" s="24" t="s">
        <v>66</v>
      </c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</row>
    <row r="478" spans="1:91" x14ac:dyDescent="0.25">
      <c r="A478" s="87">
        <v>42395</v>
      </c>
      <c r="B478" s="130" t="s">
        <v>12</v>
      </c>
      <c r="C478" s="407" t="s">
        <v>2974</v>
      </c>
      <c r="D478" s="16" t="s">
        <v>54</v>
      </c>
      <c r="E478" s="16" t="s">
        <v>438</v>
      </c>
      <c r="F478" s="24" t="s">
        <v>66</v>
      </c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</row>
    <row r="479" spans="1:91" x14ac:dyDescent="0.25">
      <c r="A479" s="87">
        <v>42781</v>
      </c>
      <c r="B479" s="130" t="s">
        <v>12</v>
      </c>
      <c r="C479" s="419" t="s">
        <v>2975</v>
      </c>
      <c r="D479" s="16" t="s">
        <v>54</v>
      </c>
      <c r="E479" s="41" t="s">
        <v>951</v>
      </c>
      <c r="F479" s="24" t="s">
        <v>66</v>
      </c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</row>
    <row r="480" spans="1:91" x14ac:dyDescent="0.25">
      <c r="A480" s="358">
        <v>43234</v>
      </c>
      <c r="B480" s="130" t="s">
        <v>12</v>
      </c>
      <c r="C480" s="416" t="s">
        <v>2976</v>
      </c>
      <c r="D480" s="16" t="s">
        <v>54</v>
      </c>
      <c r="E480" s="41" t="s">
        <v>2651</v>
      </c>
      <c r="F480" s="24" t="s">
        <v>66</v>
      </c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</row>
    <row r="481" spans="1:91" x14ac:dyDescent="0.25">
      <c r="A481" s="358">
        <v>43234</v>
      </c>
      <c r="B481" s="130" t="s">
        <v>12</v>
      </c>
      <c r="C481" s="367" t="s">
        <v>2977</v>
      </c>
      <c r="D481" s="16" t="s">
        <v>54</v>
      </c>
      <c r="E481" s="41" t="s">
        <v>2651</v>
      </c>
      <c r="F481" s="24" t="s">
        <v>66</v>
      </c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</row>
    <row r="482" spans="1:91" x14ac:dyDescent="0.25">
      <c r="A482" s="16"/>
      <c r="B482" s="423"/>
      <c r="C482" s="442" t="s">
        <v>3477</v>
      </c>
      <c r="D482" s="16" t="s">
        <v>54</v>
      </c>
      <c r="E482" s="16" t="s">
        <v>2651</v>
      </c>
      <c r="F482" s="24" t="s">
        <v>66</v>
      </c>
    </row>
    <row r="483" spans="1:91" x14ac:dyDescent="0.25">
      <c r="A483" s="358">
        <v>43234</v>
      </c>
      <c r="B483" s="130" t="s">
        <v>12</v>
      </c>
      <c r="C483" s="416" t="s">
        <v>2978</v>
      </c>
      <c r="D483" s="16" t="s">
        <v>54</v>
      </c>
      <c r="E483" s="41" t="s">
        <v>951</v>
      </c>
      <c r="F483" s="24" t="s">
        <v>66</v>
      </c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</row>
    <row r="484" spans="1:91" x14ac:dyDescent="0.25">
      <c r="A484" s="87">
        <v>42781</v>
      </c>
      <c r="B484" s="130" t="s">
        <v>12</v>
      </c>
      <c r="C484" s="419" t="s">
        <v>2979</v>
      </c>
      <c r="D484" s="16" t="s">
        <v>54</v>
      </c>
      <c r="E484" s="41" t="s">
        <v>2645</v>
      </c>
      <c r="F484" s="24" t="s">
        <v>66</v>
      </c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</row>
    <row r="485" spans="1:91" x14ac:dyDescent="0.25">
      <c r="A485" s="16"/>
      <c r="B485" s="423"/>
      <c r="C485" s="442" t="s">
        <v>3478</v>
      </c>
      <c r="D485" s="16" t="s">
        <v>54</v>
      </c>
      <c r="E485" s="16" t="s">
        <v>2645</v>
      </c>
      <c r="F485" s="24" t="s">
        <v>66</v>
      </c>
    </row>
    <row r="486" spans="1:91" x14ac:dyDescent="0.25">
      <c r="A486" s="358">
        <v>43234</v>
      </c>
      <c r="B486" s="130" t="s">
        <v>12</v>
      </c>
      <c r="C486" s="367" t="s">
        <v>2980</v>
      </c>
      <c r="D486" s="16" t="s">
        <v>54</v>
      </c>
      <c r="E486" s="41" t="s">
        <v>2883</v>
      </c>
      <c r="F486" s="24" t="s">
        <v>66</v>
      </c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</row>
    <row r="487" spans="1:91" x14ac:dyDescent="0.25">
      <c r="A487" s="16"/>
      <c r="B487" s="423"/>
      <c r="C487" s="442" t="s">
        <v>3479</v>
      </c>
      <c r="D487" s="16" t="s">
        <v>54</v>
      </c>
      <c r="E487" s="16" t="s">
        <v>2809</v>
      </c>
      <c r="F487" s="24" t="s">
        <v>66</v>
      </c>
    </row>
    <row r="488" spans="1:91" x14ac:dyDescent="0.25">
      <c r="A488" s="16"/>
      <c r="B488" s="423"/>
      <c r="C488" s="442" t="s">
        <v>3480</v>
      </c>
      <c r="D488" s="16" t="s">
        <v>54</v>
      </c>
      <c r="E488" s="16" t="s">
        <v>951</v>
      </c>
      <c r="F488" s="24" t="s">
        <v>66</v>
      </c>
    </row>
    <row r="489" spans="1:91" x14ac:dyDescent="0.25">
      <c r="A489" s="16"/>
      <c r="B489" s="423"/>
      <c r="C489" s="442" t="s">
        <v>3481</v>
      </c>
      <c r="D489" s="16" t="s">
        <v>54</v>
      </c>
      <c r="E489" s="16" t="s">
        <v>2868</v>
      </c>
      <c r="F489" s="24" t="s">
        <v>66</v>
      </c>
    </row>
    <row r="490" spans="1:91" x14ac:dyDescent="0.25">
      <c r="A490" s="16"/>
      <c r="B490" s="423"/>
      <c r="C490" s="442" t="s">
        <v>3482</v>
      </c>
      <c r="D490" s="16" t="s">
        <v>54</v>
      </c>
      <c r="E490" s="16" t="s">
        <v>2809</v>
      </c>
      <c r="F490" s="24" t="s">
        <v>66</v>
      </c>
    </row>
    <row r="491" spans="1:91" x14ac:dyDescent="0.25">
      <c r="A491" s="87">
        <v>42629</v>
      </c>
      <c r="B491" s="130" t="s">
        <v>12</v>
      </c>
      <c r="C491" s="422" t="s">
        <v>2981</v>
      </c>
      <c r="D491" s="16" t="s">
        <v>54</v>
      </c>
      <c r="E491" s="16" t="s">
        <v>71</v>
      </c>
      <c r="F491" s="24" t="s">
        <v>66</v>
      </c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</row>
    <row r="492" spans="1:91" x14ac:dyDescent="0.25">
      <c r="A492" s="16"/>
      <c r="B492" s="423"/>
      <c r="C492" s="442" t="s">
        <v>3483</v>
      </c>
      <c r="D492" s="16" t="s">
        <v>54</v>
      </c>
      <c r="E492" s="16" t="s">
        <v>3484</v>
      </c>
      <c r="F492" s="24" t="s">
        <v>66</v>
      </c>
    </row>
    <row r="493" spans="1:91" x14ac:dyDescent="0.25">
      <c r="A493" s="16"/>
      <c r="B493" s="423"/>
      <c r="C493" s="442" t="s">
        <v>3485</v>
      </c>
      <c r="D493" s="16" t="s">
        <v>54</v>
      </c>
      <c r="E493" s="16" t="s">
        <v>2890</v>
      </c>
      <c r="F493" s="24" t="s">
        <v>66</v>
      </c>
    </row>
    <row r="494" spans="1:91" x14ac:dyDescent="0.25">
      <c r="A494" s="358">
        <v>43234</v>
      </c>
      <c r="B494" s="130" t="s">
        <v>12</v>
      </c>
      <c r="C494" s="416" t="s">
        <v>2982</v>
      </c>
      <c r="D494" s="16" t="s">
        <v>54</v>
      </c>
      <c r="E494" s="41" t="s">
        <v>2643</v>
      </c>
      <c r="F494" s="24" t="s">
        <v>66</v>
      </c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</row>
    <row r="495" spans="1:91" ht="15.75" x14ac:dyDescent="0.25">
      <c r="A495" s="390">
        <v>43553</v>
      </c>
      <c r="B495" s="443" t="s">
        <v>12</v>
      </c>
      <c r="C495" s="446" t="s">
        <v>3225</v>
      </c>
      <c r="D495" s="16" t="s">
        <v>54</v>
      </c>
      <c r="E495" s="439" t="s">
        <v>2960</v>
      </c>
      <c r="F495" s="24" t="s">
        <v>66</v>
      </c>
      <c r="G495" s="86"/>
      <c r="H495" s="418"/>
    </row>
    <row r="496" spans="1:91" x14ac:dyDescent="0.25">
      <c r="A496" s="16"/>
      <c r="B496" s="423"/>
      <c r="C496" s="442" t="s">
        <v>3486</v>
      </c>
      <c r="D496" s="16" t="s">
        <v>54</v>
      </c>
      <c r="E496" s="16" t="s">
        <v>3487</v>
      </c>
      <c r="F496" s="24" t="s">
        <v>66</v>
      </c>
    </row>
    <row r="497" spans="1:91" x14ac:dyDescent="0.25">
      <c r="A497" s="390">
        <v>43553</v>
      </c>
      <c r="B497" s="443" t="s">
        <v>12</v>
      </c>
      <c r="C497" s="415" t="s">
        <v>3261</v>
      </c>
      <c r="D497" s="16" t="s">
        <v>54</v>
      </c>
      <c r="E497" s="16" t="s">
        <v>2645</v>
      </c>
      <c r="F497" s="24" t="s">
        <v>66</v>
      </c>
    </row>
    <row r="498" spans="1:91" x14ac:dyDescent="0.25">
      <c r="A498" s="16"/>
      <c r="B498" s="423"/>
      <c r="C498" s="442" t="s">
        <v>3488</v>
      </c>
      <c r="D498" s="16" t="s">
        <v>54</v>
      </c>
      <c r="E498" s="16" t="s">
        <v>2645</v>
      </c>
      <c r="F498" s="24" t="s">
        <v>66</v>
      </c>
    </row>
    <row r="499" spans="1:91" x14ac:dyDescent="0.25">
      <c r="A499" s="16"/>
      <c r="B499" s="423"/>
      <c r="C499" s="442" t="s">
        <v>3489</v>
      </c>
      <c r="D499" s="16" t="s">
        <v>54</v>
      </c>
      <c r="E499" s="16" t="s">
        <v>2784</v>
      </c>
      <c r="F499" s="24" t="s">
        <v>66</v>
      </c>
    </row>
    <row r="500" spans="1:91" x14ac:dyDescent="0.25">
      <c r="A500" s="16"/>
      <c r="B500" s="423"/>
      <c r="C500" s="442" t="s">
        <v>3490</v>
      </c>
      <c r="D500" s="16" t="s">
        <v>54</v>
      </c>
      <c r="E500" s="16" t="s">
        <v>951</v>
      </c>
      <c r="F500" s="24" t="s">
        <v>66</v>
      </c>
    </row>
    <row r="501" spans="1:91" x14ac:dyDescent="0.25">
      <c r="A501" s="16"/>
      <c r="B501" s="423"/>
      <c r="C501" s="442" t="s">
        <v>3491</v>
      </c>
      <c r="D501" s="16" t="s">
        <v>54</v>
      </c>
      <c r="E501" s="16" t="s">
        <v>2645</v>
      </c>
      <c r="F501" s="24" t="s">
        <v>66</v>
      </c>
    </row>
    <row r="502" spans="1:91" x14ac:dyDescent="0.25">
      <c r="A502" s="16"/>
      <c r="B502" s="423"/>
      <c r="C502" s="442" t="s">
        <v>3492</v>
      </c>
      <c r="D502" s="16" t="s">
        <v>54</v>
      </c>
      <c r="E502" s="16" t="s">
        <v>2890</v>
      </c>
      <c r="F502" s="24" t="s">
        <v>66</v>
      </c>
    </row>
    <row r="503" spans="1:91" x14ac:dyDescent="0.25">
      <c r="A503" s="87">
        <v>42534</v>
      </c>
      <c r="B503" s="130" t="s">
        <v>2840</v>
      </c>
      <c r="C503" s="422" t="s">
        <v>2983</v>
      </c>
      <c r="D503" s="16" t="s">
        <v>54</v>
      </c>
      <c r="E503" s="16" t="s">
        <v>71</v>
      </c>
      <c r="F503" s="24" t="s">
        <v>66</v>
      </c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</row>
    <row r="504" spans="1:91" x14ac:dyDescent="0.25">
      <c r="A504" s="87">
        <v>42534</v>
      </c>
      <c r="B504" s="130" t="s">
        <v>2840</v>
      </c>
      <c r="C504" s="422" t="s">
        <v>2984</v>
      </c>
      <c r="D504" s="16" t="s">
        <v>54</v>
      </c>
      <c r="E504" s="16" t="s">
        <v>71</v>
      </c>
      <c r="F504" s="24" t="s">
        <v>66</v>
      </c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</row>
    <row r="505" spans="1:91" x14ac:dyDescent="0.25">
      <c r="A505" s="16"/>
      <c r="B505" s="423"/>
      <c r="C505" s="442" t="s">
        <v>3493</v>
      </c>
      <c r="D505" s="16" t="s">
        <v>54</v>
      </c>
      <c r="E505" s="16" t="s">
        <v>2802</v>
      </c>
      <c r="F505" s="24" t="s">
        <v>66</v>
      </c>
    </row>
    <row r="506" spans="1:91" x14ac:dyDescent="0.25">
      <c r="A506" s="16"/>
      <c r="B506" s="423"/>
      <c r="C506" s="442" t="s">
        <v>3494</v>
      </c>
      <c r="D506" s="16" t="s">
        <v>54</v>
      </c>
      <c r="E506" s="16" t="s">
        <v>951</v>
      </c>
      <c r="F506" s="24" t="s">
        <v>66</v>
      </c>
    </row>
    <row r="507" spans="1:91" x14ac:dyDescent="0.25">
      <c r="A507" s="16"/>
      <c r="B507" s="423"/>
      <c r="C507" s="442" t="s">
        <v>3495</v>
      </c>
      <c r="D507" s="16" t="s">
        <v>54</v>
      </c>
      <c r="E507" s="16" t="s">
        <v>2644</v>
      </c>
      <c r="F507" s="24" t="s">
        <v>66</v>
      </c>
    </row>
    <row r="508" spans="1:91" x14ac:dyDescent="0.25">
      <c r="A508" s="87">
        <v>42781</v>
      </c>
      <c r="B508" s="130" t="s">
        <v>12</v>
      </c>
      <c r="C508" s="419" t="s">
        <v>2985</v>
      </c>
      <c r="D508" s="16" t="s">
        <v>54</v>
      </c>
      <c r="E508" s="41" t="s">
        <v>2439</v>
      </c>
      <c r="F508" s="24" t="s">
        <v>66</v>
      </c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</row>
    <row r="509" spans="1:91" x14ac:dyDescent="0.25">
      <c r="A509" s="358">
        <v>43234</v>
      </c>
      <c r="B509" s="130" t="s">
        <v>12</v>
      </c>
      <c r="C509" s="367" t="s">
        <v>2986</v>
      </c>
      <c r="D509" s="16" t="s">
        <v>54</v>
      </c>
      <c r="E509" s="41" t="s">
        <v>2439</v>
      </c>
      <c r="F509" s="24" t="s">
        <v>66</v>
      </c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</row>
    <row r="510" spans="1:91" x14ac:dyDescent="0.25">
      <c r="A510" s="87">
        <v>42781</v>
      </c>
      <c r="B510" s="130" t="s">
        <v>12</v>
      </c>
      <c r="C510" s="419" t="s">
        <v>2987</v>
      </c>
      <c r="D510" s="16" t="s">
        <v>54</v>
      </c>
      <c r="E510" s="41" t="s">
        <v>2647</v>
      </c>
      <c r="F510" s="24" t="s">
        <v>66</v>
      </c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</row>
    <row r="511" spans="1:91" x14ac:dyDescent="0.25">
      <c r="A511" s="433">
        <v>43035</v>
      </c>
      <c r="B511" s="130" t="s">
        <v>12</v>
      </c>
      <c r="C511" s="419" t="s">
        <v>2988</v>
      </c>
      <c r="D511" s="16" t="s">
        <v>54</v>
      </c>
      <c r="E511" s="41" t="s">
        <v>2883</v>
      </c>
      <c r="F511" s="24" t="s">
        <v>66</v>
      </c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</row>
    <row r="512" spans="1:91" x14ac:dyDescent="0.25">
      <c r="A512" s="447">
        <v>43553</v>
      </c>
      <c r="B512" s="443" t="s">
        <v>12</v>
      </c>
      <c r="C512" s="444" t="s">
        <v>2988</v>
      </c>
      <c r="D512" s="16" t="s">
        <v>54</v>
      </c>
      <c r="E512" s="16" t="s">
        <v>2645</v>
      </c>
      <c r="F512" s="24" t="s">
        <v>66</v>
      </c>
    </row>
    <row r="513" spans="1:91" x14ac:dyDescent="0.25">
      <c r="C513" s="442" t="s">
        <v>3496</v>
      </c>
      <c r="D513" s="16" t="s">
        <v>54</v>
      </c>
      <c r="E513" s="16" t="s">
        <v>3059</v>
      </c>
      <c r="F513" s="24" t="s">
        <v>66</v>
      </c>
    </row>
    <row r="514" spans="1:91" x14ac:dyDescent="0.25">
      <c r="A514" s="431">
        <v>42781</v>
      </c>
      <c r="B514" s="432" t="s">
        <v>12</v>
      </c>
      <c r="C514" s="419" t="s">
        <v>2989</v>
      </c>
      <c r="D514" s="16" t="s">
        <v>54</v>
      </c>
      <c r="E514" s="41" t="s">
        <v>2890</v>
      </c>
      <c r="F514" s="24" t="s">
        <v>66</v>
      </c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</row>
    <row r="515" spans="1:91" x14ac:dyDescent="0.25">
      <c r="A515" s="430">
        <v>43234</v>
      </c>
      <c r="B515" s="432" t="s">
        <v>12</v>
      </c>
      <c r="C515" s="367" t="s">
        <v>2990</v>
      </c>
      <c r="D515" s="16" t="s">
        <v>54</v>
      </c>
      <c r="E515" s="41" t="s">
        <v>2650</v>
      </c>
      <c r="F515" s="24" t="s">
        <v>66</v>
      </c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</row>
    <row r="516" spans="1:91" x14ac:dyDescent="0.25">
      <c r="A516" s="431">
        <v>42781</v>
      </c>
      <c r="B516" s="432" t="s">
        <v>12</v>
      </c>
      <c r="C516" s="419" t="s">
        <v>2991</v>
      </c>
      <c r="D516" s="16" t="s">
        <v>54</v>
      </c>
      <c r="E516" s="41" t="s">
        <v>2645</v>
      </c>
      <c r="F516" s="24" t="s">
        <v>66</v>
      </c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</row>
    <row r="517" spans="1:91" x14ac:dyDescent="0.25">
      <c r="A517" s="431">
        <v>42781</v>
      </c>
      <c r="B517" s="432" t="s">
        <v>12</v>
      </c>
      <c r="C517" s="419" t="s">
        <v>2992</v>
      </c>
      <c r="D517" s="16" t="s">
        <v>54</v>
      </c>
      <c r="E517" s="41" t="s">
        <v>2645</v>
      </c>
      <c r="F517" s="24" t="s">
        <v>66</v>
      </c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</row>
    <row r="518" spans="1:91" x14ac:dyDescent="0.25">
      <c r="A518" s="447">
        <v>43553</v>
      </c>
      <c r="B518" s="184" t="s">
        <v>12</v>
      </c>
      <c r="C518" s="415" t="s">
        <v>3236</v>
      </c>
      <c r="D518" s="16" t="s">
        <v>54</v>
      </c>
      <c r="E518" s="16" t="s">
        <v>2890</v>
      </c>
      <c r="F518" s="24" t="s">
        <v>66</v>
      </c>
    </row>
    <row r="519" spans="1:91" x14ac:dyDescent="0.25">
      <c r="A519" s="431">
        <v>42781</v>
      </c>
      <c r="B519" s="432" t="s">
        <v>12</v>
      </c>
      <c r="C519" s="419" t="s">
        <v>2993</v>
      </c>
      <c r="D519" s="16" t="s">
        <v>54</v>
      </c>
      <c r="E519" s="41" t="s">
        <v>2645</v>
      </c>
      <c r="F519" s="24" t="s">
        <v>66</v>
      </c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</row>
    <row r="520" spans="1:91" x14ac:dyDescent="0.25">
      <c r="A520" s="431">
        <v>42781</v>
      </c>
      <c r="B520" s="432" t="s">
        <v>12</v>
      </c>
      <c r="C520" s="419" t="s">
        <v>2994</v>
      </c>
      <c r="D520" s="16" t="s">
        <v>54</v>
      </c>
      <c r="E520" s="41" t="s">
        <v>2650</v>
      </c>
      <c r="F520" s="24" t="s">
        <v>66</v>
      </c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</row>
    <row r="521" spans="1:91" x14ac:dyDescent="0.25">
      <c r="A521" s="431">
        <v>42781</v>
      </c>
      <c r="B521" s="432" t="s">
        <v>12</v>
      </c>
      <c r="C521" s="419" t="s">
        <v>2995</v>
      </c>
      <c r="D521" s="16" t="s">
        <v>54</v>
      </c>
      <c r="E521" s="41" t="s">
        <v>2950</v>
      </c>
      <c r="F521" s="24" t="s">
        <v>66</v>
      </c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1"/>
    </row>
    <row r="522" spans="1:91" x14ac:dyDescent="0.25">
      <c r="A522" s="447">
        <v>43553</v>
      </c>
      <c r="B522" s="184" t="s">
        <v>12</v>
      </c>
      <c r="C522" s="415" t="s">
        <v>3262</v>
      </c>
      <c r="D522" s="16" t="s">
        <v>54</v>
      </c>
      <c r="E522" s="16" t="s">
        <v>2645</v>
      </c>
      <c r="F522" s="24" t="s">
        <v>66</v>
      </c>
    </row>
    <row r="523" spans="1:91" x14ac:dyDescent="0.25">
      <c r="A523" s="431">
        <v>42781</v>
      </c>
      <c r="B523" s="432" t="s">
        <v>12</v>
      </c>
      <c r="C523" s="419" t="s">
        <v>2996</v>
      </c>
      <c r="D523" s="16" t="s">
        <v>54</v>
      </c>
      <c r="E523" s="41" t="s">
        <v>2997</v>
      </c>
      <c r="F523" s="24" t="s">
        <v>66</v>
      </c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</row>
    <row r="524" spans="1:91" x14ac:dyDescent="0.25">
      <c r="A524" s="431">
        <v>42781</v>
      </c>
      <c r="B524" s="432" t="s">
        <v>12</v>
      </c>
      <c r="C524" s="419" t="s">
        <v>2998</v>
      </c>
      <c r="D524" s="16" t="s">
        <v>54</v>
      </c>
      <c r="E524" s="41" t="s">
        <v>2997</v>
      </c>
      <c r="F524" s="24" t="s">
        <v>66</v>
      </c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1"/>
    </row>
    <row r="525" spans="1:91" x14ac:dyDescent="0.25">
      <c r="A525" s="433">
        <v>43035</v>
      </c>
      <c r="B525" s="432" t="s">
        <v>12</v>
      </c>
      <c r="C525" s="419" t="s">
        <v>2999</v>
      </c>
      <c r="D525" s="16" t="s">
        <v>54</v>
      </c>
      <c r="E525" s="41" t="s">
        <v>2890</v>
      </c>
      <c r="F525" s="24" t="s">
        <v>66</v>
      </c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</row>
    <row r="526" spans="1:91" x14ac:dyDescent="0.25">
      <c r="C526" s="420" t="s">
        <v>3344</v>
      </c>
      <c r="D526" s="16" t="s">
        <v>54</v>
      </c>
      <c r="E526" s="16" t="s">
        <v>2868</v>
      </c>
      <c r="F526" s="24" t="s">
        <v>66</v>
      </c>
    </row>
    <row r="527" spans="1:91" x14ac:dyDescent="0.25">
      <c r="A527" s="430">
        <v>43234</v>
      </c>
      <c r="B527" s="432" t="s">
        <v>12</v>
      </c>
      <c r="C527" s="416" t="s">
        <v>3000</v>
      </c>
      <c r="D527" s="16" t="s">
        <v>54</v>
      </c>
      <c r="E527" s="41" t="s">
        <v>2890</v>
      </c>
      <c r="F527" s="24" t="s">
        <v>66</v>
      </c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</row>
    <row r="528" spans="1:91" x14ac:dyDescent="0.25">
      <c r="A528" s="431">
        <v>42781</v>
      </c>
      <c r="B528" s="432" t="s">
        <v>12</v>
      </c>
      <c r="C528" s="419" t="s">
        <v>3001</v>
      </c>
      <c r="D528" s="16" t="s">
        <v>54</v>
      </c>
      <c r="E528" s="41" t="s">
        <v>2645</v>
      </c>
      <c r="F528" s="24" t="s">
        <v>66</v>
      </c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</row>
    <row r="529" spans="1:91" x14ac:dyDescent="0.25">
      <c r="A529" s="14"/>
      <c r="B529" s="432" t="s">
        <v>12</v>
      </c>
      <c r="C529" s="417" t="s">
        <v>3002</v>
      </c>
      <c r="D529" s="16" t="s">
        <v>54</v>
      </c>
      <c r="E529" s="29" t="s">
        <v>2644</v>
      </c>
      <c r="F529" s="24" t="s">
        <v>66</v>
      </c>
    </row>
    <row r="530" spans="1:91" x14ac:dyDescent="0.25">
      <c r="A530" s="431">
        <v>42781</v>
      </c>
      <c r="B530" s="432" t="s">
        <v>12</v>
      </c>
      <c r="C530" s="419" t="s">
        <v>3003</v>
      </c>
      <c r="D530" s="16" t="s">
        <v>54</v>
      </c>
      <c r="E530" s="41" t="s">
        <v>2647</v>
      </c>
      <c r="F530" s="24" t="s">
        <v>66</v>
      </c>
      <c r="BU530" s="11"/>
    </row>
    <row r="531" spans="1:91" x14ac:dyDescent="0.25">
      <c r="A531" s="431">
        <v>42781</v>
      </c>
      <c r="B531" s="432" t="s">
        <v>12</v>
      </c>
      <c r="C531" s="419" t="s">
        <v>3004</v>
      </c>
      <c r="D531" s="16" t="s">
        <v>54</v>
      </c>
      <c r="E531" s="41" t="s">
        <v>951</v>
      </c>
      <c r="F531" s="24" t="s">
        <v>66</v>
      </c>
      <c r="BU531" s="11"/>
    </row>
    <row r="532" spans="1:91" x14ac:dyDescent="0.25">
      <c r="A532" s="431">
        <v>42781</v>
      </c>
      <c r="B532" s="432" t="s">
        <v>12</v>
      </c>
      <c r="C532" s="419" t="s">
        <v>3005</v>
      </c>
      <c r="D532" s="16" t="s">
        <v>54</v>
      </c>
      <c r="E532" s="41" t="s">
        <v>2645</v>
      </c>
      <c r="F532" s="24" t="s">
        <v>66</v>
      </c>
    </row>
    <row r="533" spans="1:91" x14ac:dyDescent="0.25">
      <c r="A533" s="431">
        <v>42781</v>
      </c>
      <c r="B533" s="432" t="s">
        <v>12</v>
      </c>
      <c r="C533" s="419" t="s">
        <v>3006</v>
      </c>
      <c r="D533" s="16" t="s">
        <v>54</v>
      </c>
      <c r="E533" s="41" t="s">
        <v>2647</v>
      </c>
      <c r="F533" s="24" t="s">
        <v>66</v>
      </c>
      <c r="BU533" s="11"/>
    </row>
    <row r="534" spans="1:91" x14ac:dyDescent="0.25">
      <c r="A534" s="431">
        <v>42781</v>
      </c>
      <c r="B534" s="432" t="s">
        <v>12</v>
      </c>
      <c r="C534" s="419" t="s">
        <v>3007</v>
      </c>
      <c r="D534" s="16" t="s">
        <v>54</v>
      </c>
      <c r="E534" s="41" t="s">
        <v>2650</v>
      </c>
      <c r="F534" s="24" t="s">
        <v>66</v>
      </c>
    </row>
    <row r="535" spans="1:91" s="11" customFormat="1" x14ac:dyDescent="0.25">
      <c r="A535" s="87">
        <v>42781</v>
      </c>
      <c r="B535" s="130" t="s">
        <v>12</v>
      </c>
      <c r="C535" s="419" t="s">
        <v>3008</v>
      </c>
      <c r="D535" s="16" t="s">
        <v>54</v>
      </c>
      <c r="E535" s="41" t="s">
        <v>2890</v>
      </c>
      <c r="F535" s="24" t="s">
        <v>66</v>
      </c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</row>
    <row r="536" spans="1:91" s="11" customFormat="1" x14ac:dyDescent="0.25">
      <c r="A536" s="16"/>
      <c r="B536" s="423"/>
      <c r="C536" s="442" t="s">
        <v>3497</v>
      </c>
      <c r="D536" s="16" t="s">
        <v>54</v>
      </c>
      <c r="E536" s="16" t="s">
        <v>2645</v>
      </c>
      <c r="F536" s="24" t="s">
        <v>66</v>
      </c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</row>
    <row r="537" spans="1:91" s="11" customFormat="1" x14ac:dyDescent="0.25">
      <c r="A537" s="87">
        <v>42781</v>
      </c>
      <c r="B537" s="130" t="s">
        <v>12</v>
      </c>
      <c r="C537" s="419" t="s">
        <v>3009</v>
      </c>
      <c r="D537" s="16" t="s">
        <v>54</v>
      </c>
      <c r="E537" s="41" t="s">
        <v>2645</v>
      </c>
      <c r="F537" s="24" t="s">
        <v>66</v>
      </c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</row>
    <row r="538" spans="1:91" s="11" customFormat="1" x14ac:dyDescent="0.25">
      <c r="A538" s="16"/>
      <c r="B538" s="423"/>
      <c r="C538" s="442" t="s">
        <v>3498</v>
      </c>
      <c r="D538" s="16" t="s">
        <v>54</v>
      </c>
      <c r="E538" s="16" t="s">
        <v>2645</v>
      </c>
      <c r="F538" s="24" t="s">
        <v>66</v>
      </c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</row>
    <row r="539" spans="1:91" s="11" customFormat="1" x14ac:dyDescent="0.25">
      <c r="A539" s="87">
        <v>42781</v>
      </c>
      <c r="B539" s="130" t="s">
        <v>12</v>
      </c>
      <c r="C539" s="419" t="s">
        <v>3010</v>
      </c>
      <c r="D539" s="16" t="s">
        <v>54</v>
      </c>
      <c r="E539" s="41" t="s">
        <v>2647</v>
      </c>
      <c r="F539" s="24" t="s">
        <v>66</v>
      </c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</row>
    <row r="540" spans="1:91" x14ac:dyDescent="0.25">
      <c r="A540" s="16"/>
      <c r="B540" s="423"/>
      <c r="C540" s="442" t="s">
        <v>3499</v>
      </c>
      <c r="D540" s="16" t="s">
        <v>54</v>
      </c>
      <c r="E540" s="16" t="s">
        <v>2645</v>
      </c>
      <c r="F540" s="24" t="s">
        <v>66</v>
      </c>
    </row>
    <row r="541" spans="1:91" x14ac:dyDescent="0.25">
      <c r="A541" s="87">
        <v>42395</v>
      </c>
      <c r="B541" s="130" t="s">
        <v>12</v>
      </c>
      <c r="C541" s="407" t="s">
        <v>3011</v>
      </c>
      <c r="D541" s="16" t="s">
        <v>54</v>
      </c>
      <c r="E541" s="16" t="s">
        <v>438</v>
      </c>
      <c r="F541" s="24" t="s">
        <v>66</v>
      </c>
      <c r="BR541" s="11"/>
      <c r="BS541" s="11"/>
      <c r="BT541" s="11"/>
      <c r="BU541" s="11"/>
    </row>
    <row r="542" spans="1:91" x14ac:dyDescent="0.25">
      <c r="A542" s="390">
        <v>43553</v>
      </c>
      <c r="B542" s="443" t="s">
        <v>12</v>
      </c>
      <c r="C542" s="444" t="s">
        <v>3263</v>
      </c>
      <c r="D542" s="16" t="s">
        <v>54</v>
      </c>
      <c r="E542" s="16" t="s">
        <v>2890</v>
      </c>
      <c r="F542" s="24" t="s">
        <v>66</v>
      </c>
    </row>
    <row r="543" spans="1:91" x14ac:dyDescent="0.25">
      <c r="A543" s="87">
        <v>42781</v>
      </c>
      <c r="B543" s="130" t="s">
        <v>12</v>
      </c>
      <c r="C543" s="419" t="s">
        <v>3012</v>
      </c>
      <c r="D543" s="16" t="s">
        <v>54</v>
      </c>
      <c r="E543" s="41" t="s">
        <v>2890</v>
      </c>
      <c r="F543" s="24" t="s">
        <v>66</v>
      </c>
      <c r="BU543" s="11"/>
    </row>
    <row r="544" spans="1:91" x14ac:dyDescent="0.25">
      <c r="A544" s="87">
        <v>42781</v>
      </c>
      <c r="B544" s="130" t="s">
        <v>12</v>
      </c>
      <c r="C544" s="419" t="s">
        <v>3013</v>
      </c>
      <c r="D544" s="16" t="s">
        <v>54</v>
      </c>
      <c r="E544" s="41" t="s">
        <v>2647</v>
      </c>
      <c r="F544" s="24" t="s">
        <v>66</v>
      </c>
    </row>
    <row r="545" spans="1:91" x14ac:dyDescent="0.25">
      <c r="A545" s="87">
        <v>42781</v>
      </c>
      <c r="B545" s="130" t="s">
        <v>12</v>
      </c>
      <c r="C545" s="419" t="s">
        <v>3014</v>
      </c>
      <c r="D545" s="16" t="s">
        <v>54</v>
      </c>
      <c r="E545" s="41" t="s">
        <v>2645</v>
      </c>
      <c r="F545" s="24" t="s">
        <v>66</v>
      </c>
      <c r="BU545" s="11"/>
    </row>
    <row r="546" spans="1:91" x14ac:dyDescent="0.25">
      <c r="A546" s="222"/>
      <c r="B546" s="130" t="s">
        <v>12</v>
      </c>
      <c r="C546" s="417" t="s">
        <v>3015</v>
      </c>
      <c r="D546" s="16" t="s">
        <v>54</v>
      </c>
      <c r="E546" s="29" t="s">
        <v>2868</v>
      </c>
      <c r="F546" s="24" t="s">
        <v>66</v>
      </c>
    </row>
    <row r="547" spans="1:91" x14ac:dyDescent="0.25">
      <c r="A547" s="87">
        <v>42781</v>
      </c>
      <c r="B547" s="130" t="s">
        <v>12</v>
      </c>
      <c r="C547" s="419" t="s">
        <v>3016</v>
      </c>
      <c r="D547" s="16" t="s">
        <v>54</v>
      </c>
      <c r="E547" s="41" t="s">
        <v>2651</v>
      </c>
      <c r="F547" s="24" t="s">
        <v>66</v>
      </c>
      <c r="BU547" s="11"/>
    </row>
    <row r="548" spans="1:91" x14ac:dyDescent="0.25">
      <c r="A548" s="87">
        <v>42781</v>
      </c>
      <c r="B548" s="130" t="s">
        <v>12</v>
      </c>
      <c r="C548" s="419" t="s">
        <v>3017</v>
      </c>
      <c r="D548" s="16" t="s">
        <v>54</v>
      </c>
      <c r="E548" s="41" t="s">
        <v>2890</v>
      </c>
      <c r="F548" s="24" t="s">
        <v>66</v>
      </c>
      <c r="BU548" s="11"/>
    </row>
    <row r="549" spans="1:91" x14ac:dyDescent="0.25">
      <c r="A549" s="87">
        <v>42781</v>
      </c>
      <c r="B549" s="130" t="s">
        <v>12</v>
      </c>
      <c r="C549" s="419" t="s">
        <v>3018</v>
      </c>
      <c r="D549" s="16" t="s">
        <v>54</v>
      </c>
      <c r="E549" s="41" t="s">
        <v>2645</v>
      </c>
      <c r="F549" s="24" t="s">
        <v>66</v>
      </c>
      <c r="BU549" s="11"/>
    </row>
    <row r="550" spans="1:91" x14ac:dyDescent="0.25">
      <c r="A550" s="87">
        <v>42781</v>
      </c>
      <c r="B550" s="130" t="s">
        <v>12</v>
      </c>
      <c r="C550" s="419" t="s">
        <v>3019</v>
      </c>
      <c r="D550" s="16" t="s">
        <v>54</v>
      </c>
      <c r="E550" s="41" t="s">
        <v>2950</v>
      </c>
      <c r="F550" s="24" t="s">
        <v>66</v>
      </c>
      <c r="BU550" s="11"/>
    </row>
    <row r="551" spans="1:91" x14ac:dyDescent="0.25">
      <c r="A551" s="16"/>
      <c r="B551" s="423"/>
      <c r="C551" s="442" t="s">
        <v>3500</v>
      </c>
      <c r="D551" s="16" t="s">
        <v>54</v>
      </c>
      <c r="E551" s="16" t="s">
        <v>2645</v>
      </c>
      <c r="F551" s="24" t="s">
        <v>66</v>
      </c>
    </row>
    <row r="552" spans="1:91" x14ac:dyDescent="0.25">
      <c r="A552" s="87">
        <v>42781</v>
      </c>
      <c r="B552" s="130" t="s">
        <v>12</v>
      </c>
      <c r="C552" s="419" t="s">
        <v>3020</v>
      </c>
      <c r="D552" s="16" t="s">
        <v>54</v>
      </c>
      <c r="E552" s="41" t="s">
        <v>2651</v>
      </c>
      <c r="F552" s="24" t="s">
        <v>66</v>
      </c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</row>
    <row r="553" spans="1:91" x14ac:dyDescent="0.25">
      <c r="A553" s="87">
        <v>42781</v>
      </c>
      <c r="B553" s="130" t="s">
        <v>12</v>
      </c>
      <c r="C553" s="419" t="s">
        <v>3021</v>
      </c>
      <c r="D553" s="16" t="s">
        <v>54</v>
      </c>
      <c r="E553" s="41" t="s">
        <v>2647</v>
      </c>
      <c r="F553" s="24" t="s">
        <v>66</v>
      </c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</row>
    <row r="554" spans="1:91" x14ac:dyDescent="0.25">
      <c r="A554" s="87">
        <v>42781</v>
      </c>
      <c r="B554" s="130" t="s">
        <v>12</v>
      </c>
      <c r="C554" s="419" t="s">
        <v>3022</v>
      </c>
      <c r="D554" s="16" t="s">
        <v>54</v>
      </c>
      <c r="E554" s="41" t="s">
        <v>951</v>
      </c>
      <c r="F554" s="24" t="s">
        <v>66</v>
      </c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</row>
    <row r="555" spans="1:91" x14ac:dyDescent="0.25">
      <c r="A555" s="314">
        <v>43035</v>
      </c>
      <c r="B555" s="130" t="s">
        <v>12</v>
      </c>
      <c r="C555" s="419" t="s">
        <v>3023</v>
      </c>
      <c r="D555" s="16" t="s">
        <v>54</v>
      </c>
      <c r="E555" s="41" t="s">
        <v>2866</v>
      </c>
      <c r="F555" s="24" t="s">
        <v>66</v>
      </c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</row>
    <row r="556" spans="1:91" x14ac:dyDescent="0.25">
      <c r="A556" s="87">
        <v>42781</v>
      </c>
      <c r="B556" s="130" t="s">
        <v>12</v>
      </c>
      <c r="C556" s="419" t="s">
        <v>3024</v>
      </c>
      <c r="D556" s="16" t="s">
        <v>54</v>
      </c>
      <c r="E556" s="41" t="s">
        <v>2651</v>
      </c>
      <c r="F556" s="24" t="s">
        <v>66</v>
      </c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1"/>
    </row>
    <row r="557" spans="1:91" x14ac:dyDescent="0.25">
      <c r="A557" s="16"/>
      <c r="B557" s="423"/>
      <c r="C557" s="442" t="s">
        <v>3501</v>
      </c>
      <c r="D557" s="16" t="s">
        <v>54</v>
      </c>
      <c r="E557" s="16" t="s">
        <v>3502</v>
      </c>
      <c r="F557" s="24" t="s">
        <v>66</v>
      </c>
    </row>
    <row r="558" spans="1:91" x14ac:dyDescent="0.25">
      <c r="A558" s="358">
        <v>43234</v>
      </c>
      <c r="B558" s="130" t="s">
        <v>12</v>
      </c>
      <c r="C558" s="367" t="s">
        <v>3025</v>
      </c>
      <c r="D558" s="16" t="s">
        <v>54</v>
      </c>
      <c r="E558" s="41" t="s">
        <v>2651</v>
      </c>
      <c r="F558" s="24" t="s">
        <v>66</v>
      </c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1"/>
    </row>
    <row r="559" spans="1:91" x14ac:dyDescent="0.25">
      <c r="A559" s="87">
        <v>42781</v>
      </c>
      <c r="B559" s="130" t="s">
        <v>12</v>
      </c>
      <c r="C559" s="419" t="s">
        <v>3026</v>
      </c>
      <c r="D559" s="16" t="s">
        <v>54</v>
      </c>
      <c r="E559" s="41" t="s">
        <v>2651</v>
      </c>
      <c r="F559" s="24" t="s">
        <v>66</v>
      </c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</row>
    <row r="560" spans="1:91" x14ac:dyDescent="0.25">
      <c r="A560" s="87">
        <v>42781</v>
      </c>
      <c r="B560" s="130" t="s">
        <v>12</v>
      </c>
      <c r="C560" s="419" t="s">
        <v>3027</v>
      </c>
      <c r="D560" s="16" t="s">
        <v>54</v>
      </c>
      <c r="E560" s="41" t="s">
        <v>2647</v>
      </c>
      <c r="F560" s="24" t="s">
        <v>66</v>
      </c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</row>
    <row r="561" spans="1:91" x14ac:dyDescent="0.25">
      <c r="A561" s="87">
        <v>42781</v>
      </c>
      <c r="B561" s="130" t="s">
        <v>12</v>
      </c>
      <c r="C561" s="419" t="s">
        <v>3028</v>
      </c>
      <c r="D561" s="16" t="s">
        <v>54</v>
      </c>
      <c r="E561" s="41" t="s">
        <v>2645</v>
      </c>
      <c r="F561" s="24" t="s">
        <v>66</v>
      </c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1"/>
    </row>
    <row r="562" spans="1:91" x14ac:dyDescent="0.25">
      <c r="A562" s="16"/>
      <c r="B562" s="423"/>
      <c r="C562" s="442" t="s">
        <v>3503</v>
      </c>
      <c r="D562" s="16" t="s">
        <v>54</v>
      </c>
      <c r="E562" s="16" t="s">
        <v>2868</v>
      </c>
      <c r="F562" s="24" t="s">
        <v>66</v>
      </c>
    </row>
    <row r="563" spans="1:91" x14ac:dyDescent="0.25">
      <c r="A563" s="87">
        <v>42781</v>
      </c>
      <c r="B563" s="130" t="s">
        <v>12</v>
      </c>
      <c r="C563" s="419" t="s">
        <v>3029</v>
      </c>
      <c r="D563" s="16" t="s">
        <v>54</v>
      </c>
      <c r="E563" s="41" t="s">
        <v>2645</v>
      </c>
      <c r="F563" s="24" t="s">
        <v>66</v>
      </c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1"/>
    </row>
    <row r="564" spans="1:91" x14ac:dyDescent="0.25">
      <c r="A564" s="16"/>
      <c r="B564" s="423"/>
      <c r="C564" s="442" t="s">
        <v>3504</v>
      </c>
      <c r="D564" s="16" t="s">
        <v>54</v>
      </c>
      <c r="E564" s="16" t="s">
        <v>2644</v>
      </c>
      <c r="F564" s="24" t="s">
        <v>66</v>
      </c>
    </row>
    <row r="565" spans="1:91" x14ac:dyDescent="0.25">
      <c r="A565" s="87">
        <v>42781</v>
      </c>
      <c r="B565" s="130" t="s">
        <v>12</v>
      </c>
      <c r="C565" s="419" t="s">
        <v>3030</v>
      </c>
      <c r="D565" s="16" t="s">
        <v>54</v>
      </c>
      <c r="E565" s="41" t="s">
        <v>2645</v>
      </c>
      <c r="F565" s="24" t="s">
        <v>66</v>
      </c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1"/>
    </row>
    <row r="566" spans="1:91" x14ac:dyDescent="0.25">
      <c r="A566" s="222"/>
      <c r="B566" s="130" t="s">
        <v>12</v>
      </c>
      <c r="C566" s="417" t="s">
        <v>3031</v>
      </c>
      <c r="D566" s="16" t="s">
        <v>54</v>
      </c>
      <c r="E566" s="29" t="s">
        <v>2868</v>
      </c>
      <c r="F566" s="24" t="s">
        <v>66</v>
      </c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  <c r="CM566" s="11"/>
    </row>
    <row r="567" spans="1:91" x14ac:dyDescent="0.25">
      <c r="A567" s="16"/>
      <c r="B567" s="423"/>
      <c r="C567" s="442" t="s">
        <v>3505</v>
      </c>
      <c r="D567" s="16" t="s">
        <v>54</v>
      </c>
      <c r="E567" s="16" t="s">
        <v>2645</v>
      </c>
      <c r="F567" s="24" t="s">
        <v>66</v>
      </c>
    </row>
    <row r="568" spans="1:91" x14ac:dyDescent="0.25">
      <c r="A568" s="222"/>
      <c r="B568" s="130" t="s">
        <v>12</v>
      </c>
      <c r="C568" s="417" t="s">
        <v>3032</v>
      </c>
      <c r="D568" s="16" t="s">
        <v>54</v>
      </c>
      <c r="E568" s="29" t="s">
        <v>2868</v>
      </c>
      <c r="F568" s="24" t="s">
        <v>66</v>
      </c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  <c r="CM568" s="11"/>
    </row>
    <row r="569" spans="1:91" x14ac:dyDescent="0.25">
      <c r="A569" s="16"/>
      <c r="B569" s="130" t="s">
        <v>12</v>
      </c>
      <c r="C569" s="417" t="s">
        <v>2656</v>
      </c>
      <c r="D569" s="16" t="s">
        <v>54</v>
      </c>
      <c r="E569" s="421" t="s">
        <v>2645</v>
      </c>
      <c r="F569" s="24" t="s">
        <v>66</v>
      </c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</row>
    <row r="570" spans="1:91" x14ac:dyDescent="0.25">
      <c r="A570" s="87">
        <v>42781</v>
      </c>
      <c r="B570" s="130" t="s">
        <v>12</v>
      </c>
      <c r="C570" s="419" t="s">
        <v>3033</v>
      </c>
      <c r="D570" s="16" t="s">
        <v>54</v>
      </c>
      <c r="E570" s="41" t="s">
        <v>2645</v>
      </c>
      <c r="F570" s="24" t="s">
        <v>66</v>
      </c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1"/>
    </row>
    <row r="571" spans="1:91" x14ac:dyDescent="0.25">
      <c r="A571" s="87">
        <v>42781</v>
      </c>
      <c r="B571" s="130" t="s">
        <v>12</v>
      </c>
      <c r="C571" s="419" t="s">
        <v>3034</v>
      </c>
      <c r="D571" s="16" t="s">
        <v>54</v>
      </c>
      <c r="E571" s="41" t="s">
        <v>2950</v>
      </c>
      <c r="F571" s="24" t="s">
        <v>66</v>
      </c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</row>
    <row r="572" spans="1:91" x14ac:dyDescent="0.25">
      <c r="A572" s="16"/>
      <c r="B572" s="423"/>
      <c r="C572" s="442" t="s">
        <v>3506</v>
      </c>
      <c r="D572" s="16" t="s">
        <v>54</v>
      </c>
      <c r="E572" s="16" t="s">
        <v>2645</v>
      </c>
      <c r="F572" s="24" t="s">
        <v>66</v>
      </c>
    </row>
    <row r="573" spans="1:91" x14ac:dyDescent="0.25">
      <c r="A573" s="358">
        <v>43234</v>
      </c>
      <c r="B573" s="130" t="s">
        <v>12</v>
      </c>
      <c r="C573" s="367" t="s">
        <v>3035</v>
      </c>
      <c r="D573" s="16" t="s">
        <v>54</v>
      </c>
      <c r="E573" s="41" t="s">
        <v>2650</v>
      </c>
      <c r="F573" s="24" t="s">
        <v>66</v>
      </c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1"/>
    </row>
    <row r="574" spans="1:91" x14ac:dyDescent="0.25">
      <c r="A574" s="16"/>
      <c r="B574" s="423"/>
      <c r="C574" s="442" t="s">
        <v>3507</v>
      </c>
      <c r="D574" s="16" t="s">
        <v>54</v>
      </c>
      <c r="E574" s="16" t="s">
        <v>2645</v>
      </c>
      <c r="F574" s="24" t="s">
        <v>66</v>
      </c>
    </row>
    <row r="575" spans="1:91" x14ac:dyDescent="0.25">
      <c r="A575" s="16"/>
      <c r="B575" s="423" t="s">
        <v>12</v>
      </c>
      <c r="C575" s="420" t="s">
        <v>3036</v>
      </c>
      <c r="D575" s="16" t="s">
        <v>54</v>
      </c>
      <c r="E575" s="421" t="s">
        <v>2648</v>
      </c>
      <c r="F575" s="24" t="s">
        <v>66</v>
      </c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1"/>
    </row>
    <row r="576" spans="1:91" x14ac:dyDescent="0.25">
      <c r="A576" s="16"/>
      <c r="B576" s="423"/>
      <c r="C576" s="442" t="s">
        <v>3508</v>
      </c>
      <c r="D576" s="16" t="s">
        <v>54</v>
      </c>
      <c r="E576" s="16" t="s">
        <v>2645</v>
      </c>
      <c r="F576" s="24" t="s">
        <v>66</v>
      </c>
    </row>
    <row r="577" spans="1:91" x14ac:dyDescent="0.25">
      <c r="A577" s="222"/>
      <c r="B577" s="130" t="s">
        <v>12</v>
      </c>
      <c r="C577" s="417" t="s">
        <v>3037</v>
      </c>
      <c r="D577" s="16" t="s">
        <v>54</v>
      </c>
      <c r="E577" s="29" t="s">
        <v>3038</v>
      </c>
      <c r="F577" s="24" t="s">
        <v>66</v>
      </c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1"/>
      <c r="CL577" s="11"/>
      <c r="CM577" s="11"/>
    </row>
    <row r="578" spans="1:91" x14ac:dyDescent="0.25">
      <c r="A578" s="222"/>
      <c r="B578" s="130" t="s">
        <v>12</v>
      </c>
      <c r="C578" s="417" t="s">
        <v>3039</v>
      </c>
      <c r="D578" s="16" t="s">
        <v>54</v>
      </c>
      <c r="E578" s="29" t="s">
        <v>3040</v>
      </c>
      <c r="F578" s="24" t="s">
        <v>66</v>
      </c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</row>
    <row r="579" spans="1:91" x14ac:dyDescent="0.25">
      <c r="A579" s="222"/>
      <c r="B579" s="130" t="s">
        <v>12</v>
      </c>
      <c r="C579" s="417" t="s">
        <v>3041</v>
      </c>
      <c r="D579" s="16" t="s">
        <v>54</v>
      </c>
      <c r="E579" s="29" t="s">
        <v>2648</v>
      </c>
      <c r="F579" s="24" t="s">
        <v>66</v>
      </c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</row>
    <row r="580" spans="1:91" x14ac:dyDescent="0.25">
      <c r="A580" s="358">
        <v>43234</v>
      </c>
      <c r="B580" s="130" t="s">
        <v>12</v>
      </c>
      <c r="C580" s="367" t="s">
        <v>3042</v>
      </c>
      <c r="D580" s="16" t="s">
        <v>54</v>
      </c>
      <c r="E580" s="41" t="s">
        <v>2649</v>
      </c>
      <c r="F580" s="24" t="s">
        <v>66</v>
      </c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  <c r="CM580" s="11"/>
    </row>
    <row r="581" spans="1:91" x14ac:dyDescent="0.25">
      <c r="A581" s="16"/>
      <c r="B581" s="423" t="s">
        <v>12</v>
      </c>
      <c r="C581" s="420" t="s">
        <v>3043</v>
      </c>
      <c r="D581" s="16" t="s">
        <v>54</v>
      </c>
      <c r="E581" s="421" t="s">
        <v>2802</v>
      </c>
      <c r="F581" s="24" t="s">
        <v>66</v>
      </c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1"/>
    </row>
    <row r="582" spans="1:91" x14ac:dyDescent="0.25">
      <c r="A582" s="16"/>
      <c r="B582" s="423" t="s">
        <v>12</v>
      </c>
      <c r="C582" s="420" t="s">
        <v>3044</v>
      </c>
      <c r="D582" s="16" t="s">
        <v>54</v>
      </c>
      <c r="E582" s="421" t="s">
        <v>2650</v>
      </c>
      <c r="F582" s="24" t="s">
        <v>66</v>
      </c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  <c r="CM582" s="11"/>
    </row>
    <row r="583" spans="1:91" x14ac:dyDescent="0.25">
      <c r="A583" s="16"/>
      <c r="B583" s="423"/>
      <c r="C583" s="442" t="s">
        <v>3509</v>
      </c>
      <c r="D583" s="16" t="s">
        <v>54</v>
      </c>
      <c r="E583" s="16" t="s">
        <v>2960</v>
      </c>
      <c r="F583" s="24" t="s">
        <v>66</v>
      </c>
    </row>
    <row r="584" spans="1:91" x14ac:dyDescent="0.25">
      <c r="A584" s="87">
        <v>42781</v>
      </c>
      <c r="B584" s="130" t="s">
        <v>12</v>
      </c>
      <c r="C584" s="419" t="s">
        <v>3045</v>
      </c>
      <c r="D584" s="16" t="s">
        <v>54</v>
      </c>
      <c r="E584" s="41" t="s">
        <v>3046</v>
      </c>
      <c r="F584" s="24" t="s">
        <v>66</v>
      </c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1"/>
    </row>
    <row r="585" spans="1:91" x14ac:dyDescent="0.25">
      <c r="A585" s="87">
        <v>42781</v>
      </c>
      <c r="B585" s="130" t="s">
        <v>12</v>
      </c>
      <c r="C585" s="419" t="s">
        <v>3047</v>
      </c>
      <c r="D585" s="16" t="s">
        <v>54</v>
      </c>
      <c r="E585" s="41" t="s">
        <v>2890</v>
      </c>
      <c r="F585" s="24" t="s">
        <v>66</v>
      </c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1"/>
    </row>
    <row r="586" spans="1:91" x14ac:dyDescent="0.25">
      <c r="A586" s="16"/>
      <c r="B586" s="423"/>
      <c r="C586" s="442" t="s">
        <v>3510</v>
      </c>
      <c r="D586" s="16" t="s">
        <v>54</v>
      </c>
      <c r="E586" s="16" t="s">
        <v>3059</v>
      </c>
      <c r="F586" s="24" t="s">
        <v>66</v>
      </c>
    </row>
    <row r="587" spans="1:91" x14ac:dyDescent="0.25">
      <c r="A587" s="16"/>
      <c r="B587" s="423"/>
      <c r="C587" s="442" t="s">
        <v>3511</v>
      </c>
      <c r="D587" s="16" t="s">
        <v>54</v>
      </c>
      <c r="E587" s="16" t="s">
        <v>2868</v>
      </c>
      <c r="F587" s="24" t="s">
        <v>66</v>
      </c>
    </row>
    <row r="588" spans="1:91" x14ac:dyDescent="0.25">
      <c r="A588" s="87">
        <v>42781</v>
      </c>
      <c r="B588" s="130" t="s">
        <v>12</v>
      </c>
      <c r="C588" s="419" t="s">
        <v>3048</v>
      </c>
      <c r="D588" s="16" t="s">
        <v>54</v>
      </c>
      <c r="E588" s="41" t="s">
        <v>2950</v>
      </c>
      <c r="F588" s="24" t="s">
        <v>66</v>
      </c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1"/>
      <c r="CL588" s="11"/>
      <c r="CM588" s="11"/>
    </row>
    <row r="589" spans="1:91" x14ac:dyDescent="0.25">
      <c r="A589" s="87">
        <v>42781</v>
      </c>
      <c r="B589" s="130" t="s">
        <v>12</v>
      </c>
      <c r="C589" s="419" t="s">
        <v>3049</v>
      </c>
      <c r="D589" s="16" t="s">
        <v>54</v>
      </c>
      <c r="E589" s="41" t="s">
        <v>2950</v>
      </c>
      <c r="F589" s="24" t="s">
        <v>66</v>
      </c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</row>
    <row r="590" spans="1:91" x14ac:dyDescent="0.25">
      <c r="A590" s="87">
        <v>42781</v>
      </c>
      <c r="B590" s="130" t="s">
        <v>12</v>
      </c>
      <c r="C590" s="419" t="s">
        <v>3050</v>
      </c>
      <c r="D590" s="16" t="s">
        <v>54</v>
      </c>
      <c r="E590" s="41" t="s">
        <v>2645</v>
      </c>
      <c r="F590" s="24" t="s">
        <v>66</v>
      </c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1"/>
    </row>
    <row r="591" spans="1:91" x14ac:dyDescent="0.25">
      <c r="A591" s="390">
        <v>43553</v>
      </c>
      <c r="B591" s="443" t="s">
        <v>12</v>
      </c>
      <c r="C591" s="444" t="s">
        <v>3264</v>
      </c>
      <c r="D591" s="16" t="s">
        <v>54</v>
      </c>
      <c r="E591" s="16" t="s">
        <v>951</v>
      </c>
      <c r="F591" s="24" t="s">
        <v>66</v>
      </c>
    </row>
    <row r="592" spans="1:91" x14ac:dyDescent="0.25">
      <c r="A592" s="87">
        <v>42781</v>
      </c>
      <c r="B592" s="130" t="s">
        <v>12</v>
      </c>
      <c r="C592" s="419" t="s">
        <v>3051</v>
      </c>
      <c r="D592" s="16" t="s">
        <v>54</v>
      </c>
      <c r="E592" s="41" t="s">
        <v>2950</v>
      </c>
      <c r="F592" s="24" t="s">
        <v>66</v>
      </c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  <c r="CM592" s="11"/>
    </row>
    <row r="593" spans="1:91" x14ac:dyDescent="0.25">
      <c r="A593" s="314">
        <v>43035</v>
      </c>
      <c r="B593" s="130" t="s">
        <v>12</v>
      </c>
      <c r="C593" s="419" t="s">
        <v>3052</v>
      </c>
      <c r="D593" s="16" t="s">
        <v>54</v>
      </c>
      <c r="E593" s="41" t="s">
        <v>2931</v>
      </c>
      <c r="F593" s="24" t="s">
        <v>66</v>
      </c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1"/>
    </row>
    <row r="594" spans="1:91" x14ac:dyDescent="0.25">
      <c r="A594" s="16"/>
      <c r="B594" s="423"/>
      <c r="C594" s="420" t="s">
        <v>3345</v>
      </c>
      <c r="D594" s="16" t="s">
        <v>54</v>
      </c>
      <c r="E594" s="16" t="s">
        <v>951</v>
      </c>
      <c r="F594" s="24" t="s">
        <v>66</v>
      </c>
    </row>
    <row r="595" spans="1:91" x14ac:dyDescent="0.25">
      <c r="A595" s="314">
        <v>43084</v>
      </c>
      <c r="B595" s="130" t="s">
        <v>12</v>
      </c>
      <c r="C595" s="419" t="s">
        <v>3053</v>
      </c>
      <c r="D595" s="16" t="s">
        <v>54</v>
      </c>
      <c r="E595" s="41" t="s">
        <v>2645</v>
      </c>
      <c r="F595" s="24" t="s">
        <v>66</v>
      </c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1"/>
      <c r="CL595" s="11"/>
      <c r="CM595" s="11"/>
    </row>
    <row r="596" spans="1:91" x14ac:dyDescent="0.25">
      <c r="A596" s="358">
        <v>43234</v>
      </c>
      <c r="B596" s="130" t="s">
        <v>12</v>
      </c>
      <c r="C596" s="416" t="s">
        <v>3054</v>
      </c>
      <c r="D596" s="16" t="s">
        <v>54</v>
      </c>
      <c r="E596" s="41" t="s">
        <v>2890</v>
      </c>
      <c r="F596" s="24" t="s">
        <v>66</v>
      </c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1"/>
      <c r="CL596" s="11"/>
      <c r="CM596" s="11"/>
    </row>
    <row r="597" spans="1:91" x14ac:dyDescent="0.25">
      <c r="A597" s="390">
        <v>43553</v>
      </c>
      <c r="B597" s="443" t="s">
        <v>12</v>
      </c>
      <c r="C597" s="415" t="s">
        <v>3265</v>
      </c>
      <c r="D597" s="16" t="s">
        <v>54</v>
      </c>
      <c r="E597" s="16" t="s">
        <v>2890</v>
      </c>
      <c r="F597" s="24" t="s">
        <v>66</v>
      </c>
    </row>
    <row r="598" spans="1:91" x14ac:dyDescent="0.25">
      <c r="A598" s="87">
        <v>42781</v>
      </c>
      <c r="B598" s="130" t="s">
        <v>12</v>
      </c>
      <c r="C598" s="419" t="s">
        <v>3055</v>
      </c>
      <c r="D598" s="16" t="s">
        <v>54</v>
      </c>
      <c r="E598" s="41" t="s">
        <v>2931</v>
      </c>
      <c r="F598" s="24" t="s">
        <v>66</v>
      </c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  <c r="CM598" s="11"/>
    </row>
    <row r="599" spans="1:91" x14ac:dyDescent="0.25">
      <c r="A599" s="87">
        <v>42781</v>
      </c>
      <c r="B599" s="130" t="s">
        <v>12</v>
      </c>
      <c r="C599" s="419" t="s">
        <v>3056</v>
      </c>
      <c r="D599" s="16" t="s">
        <v>54</v>
      </c>
      <c r="E599" s="41" t="s">
        <v>2931</v>
      </c>
      <c r="F599" s="24" t="s">
        <v>66</v>
      </c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  <c r="CM599" s="11"/>
    </row>
    <row r="600" spans="1:91" x14ac:dyDescent="0.25">
      <c r="A600" s="87">
        <v>42781</v>
      </c>
      <c r="B600" s="130" t="s">
        <v>12</v>
      </c>
      <c r="C600" s="419" t="s">
        <v>3057</v>
      </c>
      <c r="D600" s="16" t="s">
        <v>54</v>
      </c>
      <c r="E600" s="41" t="s">
        <v>2645</v>
      </c>
      <c r="F600" s="24" t="s">
        <v>66</v>
      </c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  <c r="CM600" s="11"/>
    </row>
    <row r="601" spans="1:91" x14ac:dyDescent="0.25">
      <c r="A601" s="87">
        <v>42781</v>
      </c>
      <c r="B601" s="130" t="s">
        <v>12</v>
      </c>
      <c r="C601" s="419" t="s">
        <v>3058</v>
      </c>
      <c r="D601" s="16" t="s">
        <v>54</v>
      </c>
      <c r="E601" s="41" t="s">
        <v>2931</v>
      </c>
      <c r="F601" s="24" t="s">
        <v>66</v>
      </c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1"/>
      <c r="CL601" s="11"/>
      <c r="CM601" s="11"/>
    </row>
    <row r="602" spans="1:91" x14ac:dyDescent="0.25">
      <c r="A602" s="222"/>
      <c r="B602" s="130" t="s">
        <v>12</v>
      </c>
      <c r="C602" s="417" t="s">
        <v>3058</v>
      </c>
      <c r="D602" s="16" t="s">
        <v>54</v>
      </c>
      <c r="E602" s="29" t="s">
        <v>3059</v>
      </c>
      <c r="F602" s="24" t="s">
        <v>66</v>
      </c>
    </row>
    <row r="603" spans="1:91" x14ac:dyDescent="0.25">
      <c r="A603" s="222"/>
      <c r="B603" s="130" t="s">
        <v>12</v>
      </c>
      <c r="C603" s="417" t="s">
        <v>3060</v>
      </c>
      <c r="D603" s="16" t="s">
        <v>54</v>
      </c>
      <c r="E603" s="29" t="s">
        <v>3061</v>
      </c>
      <c r="F603" s="24" t="s">
        <v>66</v>
      </c>
    </row>
    <row r="604" spans="1:91" x14ac:dyDescent="0.25">
      <c r="A604" s="87">
        <v>42781</v>
      </c>
      <c r="B604" s="130" t="s">
        <v>12</v>
      </c>
      <c r="C604" s="419" t="s">
        <v>3062</v>
      </c>
      <c r="D604" s="16" t="s">
        <v>54</v>
      </c>
      <c r="E604" s="41" t="s">
        <v>2439</v>
      </c>
      <c r="F604" s="24" t="s">
        <v>66</v>
      </c>
      <c r="BU604" s="11"/>
    </row>
    <row r="605" spans="1:91" x14ac:dyDescent="0.25">
      <c r="A605" s="87">
        <v>42781</v>
      </c>
      <c r="B605" s="130" t="s">
        <v>12</v>
      </c>
      <c r="C605" s="419" t="s">
        <v>3063</v>
      </c>
      <c r="D605" s="16" t="s">
        <v>54</v>
      </c>
      <c r="E605" s="41" t="s">
        <v>3064</v>
      </c>
      <c r="F605" s="24" t="s">
        <v>66</v>
      </c>
      <c r="BU605" s="11"/>
    </row>
    <row r="606" spans="1:91" x14ac:dyDescent="0.25">
      <c r="A606" s="87">
        <v>42781</v>
      </c>
      <c r="B606" s="130" t="s">
        <v>12</v>
      </c>
      <c r="C606" s="419" t="s">
        <v>3065</v>
      </c>
      <c r="D606" s="16" t="s">
        <v>54</v>
      </c>
      <c r="E606" s="41" t="s">
        <v>3064</v>
      </c>
      <c r="F606" s="24" t="s">
        <v>66</v>
      </c>
      <c r="BU606" s="11"/>
    </row>
    <row r="607" spans="1:91" x14ac:dyDescent="0.25">
      <c r="A607" s="358">
        <v>43234</v>
      </c>
      <c r="B607" s="130" t="s">
        <v>12</v>
      </c>
      <c r="C607" s="367" t="s">
        <v>3066</v>
      </c>
      <c r="D607" s="16" t="s">
        <v>54</v>
      </c>
      <c r="E607" s="41" t="s">
        <v>2645</v>
      </c>
      <c r="F607" s="24" t="s">
        <v>66</v>
      </c>
      <c r="BU607" s="11"/>
    </row>
    <row r="608" spans="1:91" x14ac:dyDescent="0.25">
      <c r="A608" s="87">
        <v>42781</v>
      </c>
      <c r="B608" s="130" t="s">
        <v>12</v>
      </c>
      <c r="C608" s="419" t="s">
        <v>3067</v>
      </c>
      <c r="D608" s="16" t="s">
        <v>54</v>
      </c>
      <c r="E608" s="41" t="s">
        <v>2645</v>
      </c>
      <c r="F608" s="24" t="s">
        <v>66</v>
      </c>
    </row>
    <row r="609" spans="1:73" x14ac:dyDescent="0.25">
      <c r="A609" s="222"/>
      <c r="B609" s="130" t="s">
        <v>12</v>
      </c>
      <c r="C609" s="417" t="s">
        <v>3068</v>
      </c>
      <c r="D609" s="16" t="s">
        <v>54</v>
      </c>
      <c r="E609" s="29" t="s">
        <v>2890</v>
      </c>
      <c r="F609" s="24" t="s">
        <v>66</v>
      </c>
    </row>
    <row r="610" spans="1:73" x14ac:dyDescent="0.25">
      <c r="A610" s="390">
        <v>43553</v>
      </c>
      <c r="B610" s="443" t="s">
        <v>12</v>
      </c>
      <c r="C610" s="444" t="s">
        <v>3266</v>
      </c>
      <c r="D610" s="16" t="s">
        <v>54</v>
      </c>
      <c r="E610" s="16" t="s">
        <v>2645</v>
      </c>
      <c r="F610" s="24" t="s">
        <v>66</v>
      </c>
    </row>
    <row r="611" spans="1:73" x14ac:dyDescent="0.25">
      <c r="A611" s="87">
        <v>42781</v>
      </c>
      <c r="B611" s="130" t="s">
        <v>12</v>
      </c>
      <c r="C611" s="419" t="s">
        <v>3069</v>
      </c>
      <c r="D611" s="16" t="s">
        <v>54</v>
      </c>
      <c r="E611" s="41" t="s">
        <v>2651</v>
      </c>
      <c r="F611" s="24" t="s">
        <v>66</v>
      </c>
      <c r="BU611" s="11"/>
    </row>
    <row r="612" spans="1:73" x14ac:dyDescent="0.25">
      <c r="A612" s="390">
        <v>43553</v>
      </c>
      <c r="B612" s="443" t="s">
        <v>12</v>
      </c>
      <c r="C612" s="444" t="s">
        <v>3267</v>
      </c>
      <c r="D612" s="16" t="s">
        <v>54</v>
      </c>
      <c r="E612" s="16" t="s">
        <v>2645</v>
      </c>
      <c r="F612" s="24" t="s">
        <v>66</v>
      </c>
    </row>
    <row r="613" spans="1:73" x14ac:dyDescent="0.25">
      <c r="A613" s="16"/>
      <c r="B613" s="423"/>
      <c r="C613" s="442" t="s">
        <v>3267</v>
      </c>
      <c r="D613" s="16" t="s">
        <v>54</v>
      </c>
      <c r="E613" s="16" t="s">
        <v>2645</v>
      </c>
      <c r="F613" s="24" t="s">
        <v>66</v>
      </c>
    </row>
    <row r="614" spans="1:73" x14ac:dyDescent="0.25">
      <c r="A614" s="87">
        <v>42781</v>
      </c>
      <c r="B614" s="130" t="s">
        <v>12</v>
      </c>
      <c r="C614" s="419" t="s">
        <v>3070</v>
      </c>
      <c r="D614" s="16" t="s">
        <v>54</v>
      </c>
      <c r="E614" s="41" t="s">
        <v>2950</v>
      </c>
      <c r="F614" s="24" t="s">
        <v>66</v>
      </c>
      <c r="BU614" s="11"/>
    </row>
    <row r="615" spans="1:73" x14ac:dyDescent="0.25">
      <c r="A615" s="87">
        <v>42781</v>
      </c>
      <c r="B615" s="130" t="s">
        <v>12</v>
      </c>
      <c r="C615" s="419" t="s">
        <v>3071</v>
      </c>
      <c r="D615" s="16" t="s">
        <v>54</v>
      </c>
      <c r="E615" s="41" t="s">
        <v>71</v>
      </c>
      <c r="F615" s="24" t="s">
        <v>66</v>
      </c>
      <c r="BU615" s="11"/>
    </row>
    <row r="616" spans="1:73" x14ac:dyDescent="0.25">
      <c r="A616" s="390">
        <v>43553</v>
      </c>
      <c r="B616" s="443" t="s">
        <v>12</v>
      </c>
      <c r="C616" s="444" t="s">
        <v>3071</v>
      </c>
      <c r="D616" s="16" t="s">
        <v>54</v>
      </c>
      <c r="E616" s="16" t="s">
        <v>2890</v>
      </c>
      <c r="F616" s="24" t="s">
        <v>66</v>
      </c>
    </row>
    <row r="617" spans="1:73" x14ac:dyDescent="0.25">
      <c r="A617" s="87">
        <v>42781</v>
      </c>
      <c r="B617" s="130" t="s">
        <v>12</v>
      </c>
      <c r="C617" s="419" t="s">
        <v>3072</v>
      </c>
      <c r="D617" s="16" t="s">
        <v>54</v>
      </c>
      <c r="E617" s="41" t="s">
        <v>2650</v>
      </c>
      <c r="F617" s="24" t="s">
        <v>66</v>
      </c>
    </row>
    <row r="618" spans="1:73" x14ac:dyDescent="0.25">
      <c r="A618" s="87">
        <v>42629</v>
      </c>
      <c r="B618" s="130" t="s">
        <v>12</v>
      </c>
      <c r="C618" s="407" t="s">
        <v>3073</v>
      </c>
      <c r="D618" s="16" t="s">
        <v>54</v>
      </c>
      <c r="E618" s="16" t="s">
        <v>71</v>
      </c>
      <c r="F618" s="24" t="s">
        <v>66</v>
      </c>
      <c r="BS618" s="11"/>
      <c r="BT618" s="11"/>
      <c r="BU618" s="11"/>
    </row>
    <row r="619" spans="1:73" x14ac:dyDescent="0.25">
      <c r="A619" s="87">
        <v>42781</v>
      </c>
      <c r="B619" s="130" t="s">
        <v>12</v>
      </c>
      <c r="C619" s="419" t="s">
        <v>3074</v>
      </c>
      <c r="D619" s="16" t="s">
        <v>54</v>
      </c>
      <c r="E619" s="41" t="s">
        <v>2651</v>
      </c>
      <c r="F619" s="24" t="s">
        <v>66</v>
      </c>
      <c r="BU619" s="11"/>
    </row>
    <row r="620" spans="1:73" x14ac:dyDescent="0.25">
      <c r="A620" s="433">
        <v>42888</v>
      </c>
      <c r="B620" s="432" t="s">
        <v>12</v>
      </c>
      <c r="C620" s="428" t="s">
        <v>3075</v>
      </c>
      <c r="D620" s="16" t="s">
        <v>54</v>
      </c>
      <c r="E620" s="41" t="s">
        <v>2645</v>
      </c>
      <c r="F620" s="24" t="s">
        <v>66</v>
      </c>
      <c r="BU620" s="11"/>
    </row>
    <row r="621" spans="1:73" x14ac:dyDescent="0.25">
      <c r="A621" s="431">
        <v>42781</v>
      </c>
      <c r="B621" s="432" t="s">
        <v>12</v>
      </c>
      <c r="C621" s="419" t="s">
        <v>3076</v>
      </c>
      <c r="D621" s="16" t="s">
        <v>54</v>
      </c>
      <c r="E621" s="41" t="s">
        <v>2439</v>
      </c>
      <c r="F621" s="24" t="s">
        <v>66</v>
      </c>
      <c r="BU621" s="11"/>
    </row>
    <row r="622" spans="1:73" x14ac:dyDescent="0.25">
      <c r="C622" s="442" t="s">
        <v>3512</v>
      </c>
      <c r="D622" s="16" t="s">
        <v>54</v>
      </c>
      <c r="E622" s="16" t="s">
        <v>2809</v>
      </c>
      <c r="F622" s="24" t="s">
        <v>66</v>
      </c>
    </row>
    <row r="623" spans="1:73" x14ac:dyDescent="0.25">
      <c r="A623" s="447">
        <v>43553</v>
      </c>
      <c r="B623" s="184" t="s">
        <v>12</v>
      </c>
      <c r="C623" s="415" t="s">
        <v>3268</v>
      </c>
      <c r="D623" s="16" t="s">
        <v>54</v>
      </c>
      <c r="E623" s="16" t="s">
        <v>2648</v>
      </c>
      <c r="F623" s="24" t="s">
        <v>66</v>
      </c>
    </row>
    <row r="624" spans="1:73" x14ac:dyDescent="0.25">
      <c r="A624" s="431">
        <v>42395</v>
      </c>
      <c r="B624" s="432" t="s">
        <v>12</v>
      </c>
      <c r="C624" s="407" t="s">
        <v>3077</v>
      </c>
      <c r="D624" s="16" t="s">
        <v>54</v>
      </c>
      <c r="E624" s="16" t="s">
        <v>438</v>
      </c>
      <c r="F624" s="24" t="s">
        <v>66</v>
      </c>
      <c r="BR624" s="11"/>
      <c r="BS624" s="11"/>
      <c r="BT624" s="11"/>
      <c r="BU624" s="11"/>
    </row>
    <row r="625" spans="1:73" x14ac:dyDescent="0.25">
      <c r="C625" s="420" t="s">
        <v>3346</v>
      </c>
      <c r="D625" s="16" t="s">
        <v>54</v>
      </c>
      <c r="E625" s="16" t="s">
        <v>2645</v>
      </c>
      <c r="F625" s="24" t="s">
        <v>66</v>
      </c>
    </row>
    <row r="626" spans="1:73" x14ac:dyDescent="0.25">
      <c r="C626" s="420" t="s">
        <v>3347</v>
      </c>
      <c r="D626" s="16" t="s">
        <v>54</v>
      </c>
      <c r="E626" s="16" t="s">
        <v>2645</v>
      </c>
      <c r="F626" s="24" t="s">
        <v>66</v>
      </c>
    </row>
    <row r="627" spans="1:73" x14ac:dyDescent="0.25">
      <c r="A627" s="430">
        <v>43234</v>
      </c>
      <c r="B627" s="432" t="s">
        <v>12</v>
      </c>
      <c r="C627" s="416" t="s">
        <v>3078</v>
      </c>
      <c r="D627" s="16" t="s">
        <v>54</v>
      </c>
      <c r="E627" s="41" t="s">
        <v>3079</v>
      </c>
      <c r="F627" s="24" t="s">
        <v>66</v>
      </c>
    </row>
    <row r="628" spans="1:73" x14ac:dyDescent="0.25">
      <c r="A628" s="430">
        <v>43234</v>
      </c>
      <c r="B628" s="432" t="s">
        <v>12</v>
      </c>
      <c r="C628" s="416" t="s">
        <v>3080</v>
      </c>
      <c r="D628" s="16" t="s">
        <v>54</v>
      </c>
      <c r="E628" s="41" t="s">
        <v>2654</v>
      </c>
      <c r="F628" s="24" t="s">
        <v>66</v>
      </c>
    </row>
    <row r="629" spans="1:73" x14ac:dyDescent="0.25">
      <c r="A629" s="430">
        <v>43234</v>
      </c>
      <c r="B629" s="432" t="s">
        <v>12</v>
      </c>
      <c r="C629" s="416" t="s">
        <v>3081</v>
      </c>
      <c r="D629" s="16" t="s">
        <v>54</v>
      </c>
      <c r="E629" s="41" t="s">
        <v>3082</v>
      </c>
      <c r="F629" s="24" t="s">
        <v>66</v>
      </c>
    </row>
    <row r="630" spans="1:73" x14ac:dyDescent="0.25">
      <c r="C630" s="420" t="s">
        <v>3083</v>
      </c>
      <c r="D630" s="16" t="s">
        <v>54</v>
      </c>
      <c r="E630" s="425" t="s">
        <v>2640</v>
      </c>
      <c r="F630" s="24" t="s">
        <v>66</v>
      </c>
    </row>
    <row r="631" spans="1:73" x14ac:dyDescent="0.25">
      <c r="A631" s="447">
        <v>43553</v>
      </c>
      <c r="B631" s="184" t="s">
        <v>12</v>
      </c>
      <c r="C631" s="446" t="s">
        <v>3229</v>
      </c>
      <c r="D631" s="16" t="s">
        <v>54</v>
      </c>
      <c r="E631" s="16" t="s">
        <v>2642</v>
      </c>
      <c r="F631" s="24" t="s">
        <v>66</v>
      </c>
    </row>
    <row r="632" spans="1:73" x14ac:dyDescent="0.25">
      <c r="A632" s="433">
        <v>43035</v>
      </c>
      <c r="B632" s="432" t="s">
        <v>12</v>
      </c>
      <c r="C632" s="419" t="s">
        <v>3084</v>
      </c>
      <c r="D632" s="16" t="s">
        <v>54</v>
      </c>
      <c r="E632" s="41" t="s">
        <v>2642</v>
      </c>
      <c r="F632" s="24" t="s">
        <v>66</v>
      </c>
      <c r="BU632" s="11"/>
    </row>
    <row r="633" spans="1:73" x14ac:dyDescent="0.25">
      <c r="C633" s="442" t="s">
        <v>3513</v>
      </c>
      <c r="D633" s="16" t="s">
        <v>54</v>
      </c>
      <c r="E633" s="16" t="s">
        <v>59</v>
      </c>
      <c r="F633" s="24" t="s">
        <v>66</v>
      </c>
    </row>
    <row r="634" spans="1:73" x14ac:dyDescent="0.25">
      <c r="A634" s="433">
        <v>43084</v>
      </c>
      <c r="B634" s="432" t="s">
        <v>12</v>
      </c>
      <c r="C634" s="419" t="s">
        <v>3085</v>
      </c>
      <c r="D634" s="16" t="s">
        <v>54</v>
      </c>
      <c r="E634" s="41" t="s">
        <v>3086</v>
      </c>
      <c r="F634" s="24" t="s">
        <v>66</v>
      </c>
      <c r="BU634" s="11"/>
    </row>
    <row r="635" spans="1:73" x14ac:dyDescent="0.25">
      <c r="C635" s="442" t="s">
        <v>3514</v>
      </c>
      <c r="D635" s="16" t="s">
        <v>54</v>
      </c>
      <c r="E635" s="16" t="s">
        <v>2493</v>
      </c>
      <c r="F635" s="24" t="s">
        <v>66</v>
      </c>
    </row>
    <row r="636" spans="1:73" x14ac:dyDescent="0.25">
      <c r="A636" s="447">
        <v>43553</v>
      </c>
      <c r="B636" s="184" t="s">
        <v>12</v>
      </c>
      <c r="C636" s="415" t="s">
        <v>3233</v>
      </c>
      <c r="D636" s="16" t="s">
        <v>54</v>
      </c>
      <c r="E636" s="16" t="s">
        <v>2642</v>
      </c>
      <c r="F636" s="24" t="s">
        <v>66</v>
      </c>
    </row>
    <row r="637" spans="1:73" x14ac:dyDescent="0.25">
      <c r="C637" s="442" t="s">
        <v>3515</v>
      </c>
      <c r="D637" s="16" t="s">
        <v>54</v>
      </c>
      <c r="E637" s="16" t="s">
        <v>59</v>
      </c>
      <c r="F637" s="24" t="s">
        <v>66</v>
      </c>
    </row>
    <row r="638" spans="1:73" x14ac:dyDescent="0.25">
      <c r="A638" s="14"/>
      <c r="B638" s="432" t="s">
        <v>12</v>
      </c>
      <c r="C638" s="417" t="s">
        <v>3087</v>
      </c>
      <c r="D638" s="16" t="s">
        <v>54</v>
      </c>
      <c r="E638" s="29" t="s">
        <v>2642</v>
      </c>
      <c r="F638" s="24" t="s">
        <v>66</v>
      </c>
    </row>
    <row r="639" spans="1:73" x14ac:dyDescent="0.25">
      <c r="A639" s="430">
        <v>43234</v>
      </c>
      <c r="B639" s="432" t="s">
        <v>12</v>
      </c>
      <c r="C639" s="416" t="s">
        <v>3088</v>
      </c>
      <c r="D639" s="16" t="s">
        <v>54</v>
      </c>
      <c r="E639" s="41" t="s">
        <v>2819</v>
      </c>
      <c r="F639" s="24" t="s">
        <v>66</v>
      </c>
    </row>
    <row r="640" spans="1:73" x14ac:dyDescent="0.25">
      <c r="A640" s="431">
        <v>42534</v>
      </c>
      <c r="B640" s="432" t="s">
        <v>2840</v>
      </c>
      <c r="C640" s="407" t="s">
        <v>3089</v>
      </c>
      <c r="D640" s="16" t="s">
        <v>54</v>
      </c>
      <c r="E640" s="16" t="s">
        <v>59</v>
      </c>
      <c r="F640" s="24" t="s">
        <v>66</v>
      </c>
      <c r="BS640" s="11"/>
      <c r="BT640" s="11"/>
      <c r="BU640" s="11"/>
    </row>
    <row r="641" spans="1:73" x14ac:dyDescent="0.25">
      <c r="B641" s="4" t="s">
        <v>12</v>
      </c>
      <c r="C641" s="420" t="s">
        <v>604</v>
      </c>
      <c r="D641" s="16" t="s">
        <v>54</v>
      </c>
      <c r="E641" s="421" t="s">
        <v>3090</v>
      </c>
      <c r="F641" s="24" t="s">
        <v>66</v>
      </c>
    </row>
    <row r="642" spans="1:73" x14ac:dyDescent="0.25">
      <c r="C642" s="420" t="s">
        <v>759</v>
      </c>
      <c r="D642" s="16" t="s">
        <v>54</v>
      </c>
      <c r="E642" s="16" t="s">
        <v>3090</v>
      </c>
      <c r="F642" s="24" t="s">
        <v>66</v>
      </c>
    </row>
    <row r="643" spans="1:73" x14ac:dyDescent="0.25">
      <c r="B643" s="4" t="s">
        <v>12</v>
      </c>
      <c r="C643" s="424" t="s">
        <v>3091</v>
      </c>
      <c r="D643" s="16" t="s">
        <v>54</v>
      </c>
      <c r="E643" s="421" t="s">
        <v>3092</v>
      </c>
      <c r="F643" s="24" t="s">
        <v>66</v>
      </c>
    </row>
    <row r="644" spans="1:73" x14ac:dyDescent="0.25">
      <c r="A644" s="447">
        <v>43553</v>
      </c>
      <c r="B644" s="184" t="s">
        <v>12</v>
      </c>
      <c r="C644" s="444" t="s">
        <v>3269</v>
      </c>
      <c r="D644" s="16" t="s">
        <v>54</v>
      </c>
      <c r="E644" s="16" t="s">
        <v>2819</v>
      </c>
      <c r="F644" s="24" t="s">
        <v>66</v>
      </c>
    </row>
    <row r="645" spans="1:73" x14ac:dyDescent="0.25">
      <c r="C645" s="420" t="s">
        <v>3348</v>
      </c>
      <c r="D645" s="16" t="s">
        <v>54</v>
      </c>
      <c r="E645" s="16" t="s">
        <v>2642</v>
      </c>
      <c r="F645" s="24" t="s">
        <v>66</v>
      </c>
    </row>
    <row r="646" spans="1:73" x14ac:dyDescent="0.25">
      <c r="C646" s="420" t="s">
        <v>3349</v>
      </c>
      <c r="D646" s="16" t="s">
        <v>54</v>
      </c>
      <c r="E646" s="16" t="s">
        <v>2642</v>
      </c>
      <c r="F646" s="24" t="s">
        <v>66</v>
      </c>
    </row>
    <row r="647" spans="1:73" x14ac:dyDescent="0.25">
      <c r="A647" s="431">
        <v>42781</v>
      </c>
      <c r="B647" s="432" t="s">
        <v>12</v>
      </c>
      <c r="C647" s="419" t="s">
        <v>3093</v>
      </c>
      <c r="D647" s="16" t="s">
        <v>54</v>
      </c>
      <c r="E647" s="41" t="s">
        <v>2493</v>
      </c>
      <c r="F647" s="24" t="s">
        <v>66</v>
      </c>
      <c r="BU647" s="11"/>
    </row>
    <row r="648" spans="1:73" x14ac:dyDescent="0.25">
      <c r="A648" s="433">
        <v>42888</v>
      </c>
      <c r="B648" s="432" t="s">
        <v>12</v>
      </c>
      <c r="C648" s="419" t="s">
        <v>3094</v>
      </c>
      <c r="D648" s="16" t="s">
        <v>54</v>
      </c>
      <c r="E648" s="41" t="s">
        <v>2642</v>
      </c>
      <c r="F648" s="24" t="s">
        <v>66</v>
      </c>
      <c r="BU648" s="11"/>
    </row>
    <row r="649" spans="1:73" x14ac:dyDescent="0.25">
      <c r="C649" s="420" t="s">
        <v>3350</v>
      </c>
      <c r="D649" s="16" t="s">
        <v>54</v>
      </c>
      <c r="E649" s="16" t="s">
        <v>2642</v>
      </c>
      <c r="F649" s="24" t="s">
        <v>66</v>
      </c>
    </row>
    <row r="650" spans="1:73" x14ac:dyDescent="0.25">
      <c r="A650" s="14"/>
      <c r="B650" s="432" t="s">
        <v>12</v>
      </c>
      <c r="C650" s="417" t="s">
        <v>3095</v>
      </c>
      <c r="D650" s="16" t="s">
        <v>54</v>
      </c>
      <c r="E650" s="29" t="s">
        <v>3086</v>
      </c>
      <c r="F650" s="24" t="s">
        <v>66</v>
      </c>
    </row>
    <row r="651" spans="1:73" x14ac:dyDescent="0.25">
      <c r="C651" s="442" t="s">
        <v>3516</v>
      </c>
      <c r="D651" s="16" t="s">
        <v>54</v>
      </c>
      <c r="E651" s="16" t="s">
        <v>3097</v>
      </c>
      <c r="F651" s="24" t="s">
        <v>66</v>
      </c>
    </row>
    <row r="652" spans="1:73" x14ac:dyDescent="0.25">
      <c r="C652" s="442" t="s">
        <v>3517</v>
      </c>
      <c r="D652" s="16" t="s">
        <v>54</v>
      </c>
      <c r="E652" s="16" t="s">
        <v>3097</v>
      </c>
      <c r="F652" s="24" t="s">
        <v>66</v>
      </c>
    </row>
    <row r="653" spans="1:73" x14ac:dyDescent="0.25">
      <c r="C653" s="442" t="s">
        <v>3518</v>
      </c>
      <c r="D653" s="16" t="s">
        <v>54</v>
      </c>
      <c r="E653" s="16" t="s">
        <v>3097</v>
      </c>
      <c r="F653" s="24" t="s">
        <v>66</v>
      </c>
    </row>
    <row r="654" spans="1:73" x14ac:dyDescent="0.25">
      <c r="C654" s="442" t="s">
        <v>3519</v>
      </c>
      <c r="D654" s="16" t="s">
        <v>54</v>
      </c>
      <c r="E654" s="16" t="s">
        <v>3097</v>
      </c>
      <c r="F654" s="24" t="s">
        <v>66</v>
      </c>
    </row>
    <row r="655" spans="1:73" x14ac:dyDescent="0.25">
      <c r="C655" s="442" t="s">
        <v>3520</v>
      </c>
      <c r="D655" s="16" t="s">
        <v>54</v>
      </c>
      <c r="E655" s="16" t="s">
        <v>3097</v>
      </c>
      <c r="F655" s="24" t="s">
        <v>66</v>
      </c>
    </row>
    <row r="656" spans="1:73" x14ac:dyDescent="0.25">
      <c r="C656" s="442" t="s">
        <v>3521</v>
      </c>
      <c r="D656" s="16" t="s">
        <v>54</v>
      </c>
      <c r="E656" s="16" t="s">
        <v>3097</v>
      </c>
      <c r="F656" s="24" t="s">
        <v>66</v>
      </c>
    </row>
    <row r="657" spans="1:73" x14ac:dyDescent="0.25">
      <c r="C657" s="442" t="s">
        <v>3522</v>
      </c>
      <c r="D657" s="16" t="s">
        <v>54</v>
      </c>
      <c r="E657" s="16" t="s">
        <v>3097</v>
      </c>
      <c r="F657" s="24" t="s">
        <v>66</v>
      </c>
    </row>
    <row r="658" spans="1:73" x14ac:dyDescent="0.25">
      <c r="C658" s="442" t="s">
        <v>3523</v>
      </c>
      <c r="D658" s="16" t="s">
        <v>54</v>
      </c>
      <c r="E658" s="16" t="s">
        <v>3097</v>
      </c>
      <c r="F658" s="24" t="s">
        <v>66</v>
      </c>
    </row>
    <row r="659" spans="1:73" x14ac:dyDescent="0.25">
      <c r="A659" s="431">
        <v>42725</v>
      </c>
      <c r="B659" s="432" t="s">
        <v>12</v>
      </c>
      <c r="C659" s="407" t="s">
        <v>3096</v>
      </c>
      <c r="D659" s="16" t="s">
        <v>54</v>
      </c>
      <c r="E659" s="16" t="s">
        <v>3097</v>
      </c>
      <c r="F659" s="24" t="s">
        <v>66</v>
      </c>
      <c r="BS659" s="11"/>
      <c r="BT659" s="11"/>
      <c r="BU659" s="11"/>
    </row>
    <row r="660" spans="1:73" x14ac:dyDescent="0.25">
      <c r="C660" s="442" t="s">
        <v>3524</v>
      </c>
      <c r="D660" s="16" t="s">
        <v>54</v>
      </c>
      <c r="E660" s="16" t="s">
        <v>3097</v>
      </c>
      <c r="F660" s="24" t="s">
        <v>66</v>
      </c>
    </row>
    <row r="661" spans="1:73" x14ac:dyDescent="0.25">
      <c r="A661" s="14"/>
      <c r="B661" s="432" t="s">
        <v>12</v>
      </c>
      <c r="C661" s="417" t="s">
        <v>3098</v>
      </c>
      <c r="D661" s="16" t="s">
        <v>54</v>
      </c>
      <c r="E661" s="29" t="s">
        <v>3097</v>
      </c>
      <c r="F661" s="24" t="s">
        <v>66</v>
      </c>
    </row>
    <row r="662" spans="1:73" x14ac:dyDescent="0.25">
      <c r="A662" s="14"/>
      <c r="B662" s="432" t="s">
        <v>12</v>
      </c>
      <c r="C662" s="417" t="s">
        <v>3099</v>
      </c>
      <c r="D662" s="16" t="s">
        <v>54</v>
      </c>
      <c r="E662" s="29" t="s">
        <v>3097</v>
      </c>
      <c r="F662" s="24" t="s">
        <v>66</v>
      </c>
    </row>
    <row r="663" spans="1:73" x14ac:dyDescent="0.25">
      <c r="C663" s="442" t="s">
        <v>3351</v>
      </c>
      <c r="D663" s="16" t="s">
        <v>54</v>
      </c>
      <c r="E663" s="16" t="s">
        <v>3097</v>
      </c>
      <c r="F663" s="24" t="s">
        <v>66</v>
      </c>
    </row>
    <row r="664" spans="1:73" x14ac:dyDescent="0.25">
      <c r="C664" s="442" t="s">
        <v>3525</v>
      </c>
      <c r="D664" s="16" t="s">
        <v>54</v>
      </c>
      <c r="E664" s="16" t="s">
        <v>3097</v>
      </c>
      <c r="F664" s="24" t="s">
        <v>66</v>
      </c>
    </row>
    <row r="665" spans="1:73" x14ac:dyDescent="0.25">
      <c r="A665" s="430">
        <v>43234</v>
      </c>
      <c r="B665" s="432" t="s">
        <v>12</v>
      </c>
      <c r="C665" s="367" t="s">
        <v>3100</v>
      </c>
      <c r="D665" s="16" t="s">
        <v>54</v>
      </c>
      <c r="E665" s="421" t="s">
        <v>3097</v>
      </c>
      <c r="F665" s="24" t="s">
        <v>66</v>
      </c>
      <c r="BU665" s="11"/>
    </row>
    <row r="666" spans="1:73" x14ac:dyDescent="0.25">
      <c r="A666" s="14"/>
      <c r="B666" s="432" t="s">
        <v>12</v>
      </c>
      <c r="C666" s="417" t="s">
        <v>3101</v>
      </c>
      <c r="D666" s="16" t="s">
        <v>54</v>
      </c>
      <c r="E666" s="29" t="s">
        <v>3097</v>
      </c>
      <c r="F666" s="24" t="s">
        <v>66</v>
      </c>
    </row>
    <row r="667" spans="1:73" x14ac:dyDescent="0.25">
      <c r="C667" s="442" t="s">
        <v>3526</v>
      </c>
      <c r="D667" s="16" t="s">
        <v>54</v>
      </c>
      <c r="E667" s="16" t="s">
        <v>3097</v>
      </c>
      <c r="F667" s="24" t="s">
        <v>66</v>
      </c>
    </row>
    <row r="668" spans="1:73" x14ac:dyDescent="0.25">
      <c r="C668" s="442" t="s">
        <v>3527</v>
      </c>
      <c r="D668" s="16" t="s">
        <v>54</v>
      </c>
      <c r="E668" s="16" t="s">
        <v>3097</v>
      </c>
      <c r="F668" s="24" t="s">
        <v>66</v>
      </c>
    </row>
    <row r="669" spans="1:73" x14ac:dyDescent="0.25">
      <c r="C669" s="442" t="s">
        <v>3528</v>
      </c>
      <c r="D669" s="16" t="s">
        <v>54</v>
      </c>
      <c r="E669" s="16" t="s">
        <v>3097</v>
      </c>
      <c r="F669" s="24" t="s">
        <v>66</v>
      </c>
    </row>
    <row r="670" spans="1:73" x14ac:dyDescent="0.25">
      <c r="A670" s="447">
        <v>43553</v>
      </c>
      <c r="B670" s="184" t="s">
        <v>12</v>
      </c>
      <c r="C670" s="444" t="s">
        <v>3231</v>
      </c>
      <c r="D670" s="16" t="s">
        <v>54</v>
      </c>
      <c r="E670" s="16" t="s">
        <v>3097</v>
      </c>
      <c r="F670" s="24" t="s">
        <v>66</v>
      </c>
    </row>
    <row r="671" spans="1:73" x14ac:dyDescent="0.25">
      <c r="C671" s="442" t="s">
        <v>3529</v>
      </c>
      <c r="D671" s="16" t="s">
        <v>54</v>
      </c>
      <c r="E671" s="16" t="s">
        <v>72</v>
      </c>
      <c r="F671" s="24" t="s">
        <v>66</v>
      </c>
    </row>
    <row r="672" spans="1:73" x14ac:dyDescent="0.25">
      <c r="A672" s="447">
        <v>43553</v>
      </c>
      <c r="B672" s="184" t="s">
        <v>12</v>
      </c>
      <c r="C672" s="444" t="s">
        <v>3270</v>
      </c>
      <c r="D672" s="16" t="s">
        <v>54</v>
      </c>
      <c r="E672" s="16" t="s">
        <v>3097</v>
      </c>
      <c r="F672" s="24" t="s">
        <v>66</v>
      </c>
    </row>
    <row r="673" spans="1:73" x14ac:dyDescent="0.25">
      <c r="C673" s="442" t="s">
        <v>3270</v>
      </c>
      <c r="D673" s="16" t="s">
        <v>54</v>
      </c>
      <c r="E673" s="16" t="s">
        <v>3097</v>
      </c>
      <c r="F673" s="24" t="s">
        <v>66</v>
      </c>
    </row>
    <row r="674" spans="1:73" x14ac:dyDescent="0.25">
      <c r="A674" s="431">
        <v>42534</v>
      </c>
      <c r="B674" s="432" t="s">
        <v>2840</v>
      </c>
      <c r="C674" s="407" t="s">
        <v>3102</v>
      </c>
      <c r="D674" s="16" t="s">
        <v>54</v>
      </c>
      <c r="E674" s="16" t="s">
        <v>72</v>
      </c>
      <c r="F674" s="24" t="s">
        <v>66</v>
      </c>
      <c r="BS674" s="11"/>
      <c r="BT674" s="11"/>
      <c r="BU674" s="11"/>
    </row>
    <row r="675" spans="1:73" x14ac:dyDescent="0.25">
      <c r="C675" s="442" t="s">
        <v>3530</v>
      </c>
      <c r="D675" s="16" t="s">
        <v>54</v>
      </c>
      <c r="E675" s="16" t="s">
        <v>3097</v>
      </c>
      <c r="F675" s="24" t="s">
        <v>66</v>
      </c>
    </row>
    <row r="676" spans="1:73" x14ac:dyDescent="0.25">
      <c r="A676" s="431">
        <v>41960</v>
      </c>
      <c r="B676" s="432" t="s">
        <v>12</v>
      </c>
      <c r="C676" s="429" t="s">
        <v>80</v>
      </c>
      <c r="D676" s="16" t="s">
        <v>54</v>
      </c>
      <c r="E676" s="29" t="s">
        <v>3097</v>
      </c>
      <c r="F676" s="24" t="s">
        <v>66</v>
      </c>
    </row>
    <row r="677" spans="1:73" x14ac:dyDescent="0.25">
      <c r="C677" s="442" t="s">
        <v>3531</v>
      </c>
      <c r="D677" s="16" t="s">
        <v>54</v>
      </c>
      <c r="E677" s="16" t="s">
        <v>3097</v>
      </c>
      <c r="F677" s="24" t="s">
        <v>66</v>
      </c>
    </row>
    <row r="678" spans="1:73" x14ac:dyDescent="0.25">
      <c r="C678" s="442" t="s">
        <v>3532</v>
      </c>
      <c r="D678" s="16" t="s">
        <v>54</v>
      </c>
      <c r="E678" s="16" t="s">
        <v>3097</v>
      </c>
      <c r="F678" s="24" t="s">
        <v>66</v>
      </c>
    </row>
    <row r="679" spans="1:73" x14ac:dyDescent="0.25">
      <c r="C679" s="442" t="s">
        <v>3533</v>
      </c>
      <c r="D679" s="16" t="s">
        <v>54</v>
      </c>
      <c r="E679" s="16" t="s">
        <v>3097</v>
      </c>
      <c r="F679" s="24" t="s">
        <v>66</v>
      </c>
    </row>
    <row r="680" spans="1:73" x14ac:dyDescent="0.25">
      <c r="A680" s="431">
        <v>42534</v>
      </c>
      <c r="B680" s="432" t="s">
        <v>2840</v>
      </c>
      <c r="C680" s="407" t="s">
        <v>3103</v>
      </c>
      <c r="D680" s="16" t="s">
        <v>54</v>
      </c>
      <c r="E680" s="16" t="s">
        <v>72</v>
      </c>
      <c r="F680" s="24" t="s">
        <v>66</v>
      </c>
      <c r="BS680" s="11"/>
      <c r="BT680" s="11"/>
      <c r="BU680" s="11"/>
    </row>
    <row r="681" spans="1:73" x14ac:dyDescent="0.25">
      <c r="A681" s="433">
        <v>42888</v>
      </c>
      <c r="B681" s="432" t="s">
        <v>12</v>
      </c>
      <c r="C681" s="419" t="s">
        <v>3104</v>
      </c>
      <c r="D681" s="16" t="s">
        <v>54</v>
      </c>
      <c r="E681" s="41" t="s">
        <v>3097</v>
      </c>
      <c r="F681" s="24" t="s">
        <v>66</v>
      </c>
      <c r="BU681" s="11"/>
    </row>
    <row r="682" spans="1:73" x14ac:dyDescent="0.25">
      <c r="C682" s="442" t="s">
        <v>3534</v>
      </c>
      <c r="D682" s="16" t="s">
        <v>54</v>
      </c>
      <c r="E682" s="16" t="s">
        <v>3097</v>
      </c>
      <c r="F682" s="24" t="s">
        <v>66</v>
      </c>
    </row>
    <row r="683" spans="1:73" x14ac:dyDescent="0.25">
      <c r="A683" s="447">
        <v>43553</v>
      </c>
      <c r="B683" s="184" t="s">
        <v>12</v>
      </c>
      <c r="C683" s="444" t="s">
        <v>3234</v>
      </c>
      <c r="D683" s="16" t="s">
        <v>54</v>
      </c>
      <c r="E683" s="16" t="s">
        <v>3097</v>
      </c>
      <c r="F683" s="24" t="s">
        <v>66</v>
      </c>
    </row>
    <row r="684" spans="1:73" x14ac:dyDescent="0.25">
      <c r="A684" s="430">
        <v>43129</v>
      </c>
      <c r="B684" s="432" t="s">
        <v>12</v>
      </c>
      <c r="C684" s="419" t="s">
        <v>3105</v>
      </c>
      <c r="D684" s="16" t="s">
        <v>54</v>
      </c>
      <c r="E684" s="41" t="s">
        <v>3097</v>
      </c>
      <c r="F684" s="24" t="s">
        <v>66</v>
      </c>
      <c r="BU684" s="11"/>
    </row>
    <row r="685" spans="1:73" x14ac:dyDescent="0.25">
      <c r="A685" s="431">
        <v>42629</v>
      </c>
      <c r="B685" s="432" t="s">
        <v>12</v>
      </c>
      <c r="C685" s="407" t="s">
        <v>3106</v>
      </c>
      <c r="D685" s="16" t="s">
        <v>54</v>
      </c>
      <c r="E685" s="16" t="s">
        <v>72</v>
      </c>
      <c r="F685" s="24" t="s">
        <v>66</v>
      </c>
      <c r="BS685" s="11"/>
      <c r="BT685" s="11"/>
      <c r="BU685" s="11"/>
    </row>
    <row r="686" spans="1:73" x14ac:dyDescent="0.25">
      <c r="A686" s="431">
        <v>42534</v>
      </c>
      <c r="B686" s="432" t="s">
        <v>2840</v>
      </c>
      <c r="C686" s="407" t="s">
        <v>3107</v>
      </c>
      <c r="D686" s="16" t="s">
        <v>54</v>
      </c>
      <c r="E686" s="16" t="s">
        <v>72</v>
      </c>
      <c r="F686" s="24" t="s">
        <v>66</v>
      </c>
      <c r="BS686" s="11"/>
      <c r="BT686" s="11"/>
      <c r="BU686" s="11"/>
    </row>
    <row r="687" spans="1:73" x14ac:dyDescent="0.25">
      <c r="A687" s="447">
        <v>43553</v>
      </c>
      <c r="B687" s="184" t="s">
        <v>12</v>
      </c>
      <c r="C687" s="415" t="s">
        <v>3271</v>
      </c>
      <c r="D687" s="16" t="s">
        <v>54</v>
      </c>
      <c r="E687" s="16" t="s">
        <v>2640</v>
      </c>
      <c r="F687" s="24" t="s">
        <v>66</v>
      </c>
    </row>
    <row r="688" spans="1:73" x14ac:dyDescent="0.25">
      <c r="C688" s="442" t="s">
        <v>3535</v>
      </c>
      <c r="D688" s="16" t="s">
        <v>54</v>
      </c>
      <c r="E688" s="16" t="s">
        <v>2640</v>
      </c>
      <c r="F688" s="24" t="s">
        <v>66</v>
      </c>
    </row>
    <row r="689" spans="1:73" x14ac:dyDescent="0.25">
      <c r="C689" s="442" t="s">
        <v>3536</v>
      </c>
      <c r="D689" s="16" t="s">
        <v>54</v>
      </c>
      <c r="E689" s="16" t="s">
        <v>2640</v>
      </c>
      <c r="F689" s="24" t="s">
        <v>66</v>
      </c>
    </row>
    <row r="690" spans="1:73" x14ac:dyDescent="0.25">
      <c r="C690" s="442" t="s">
        <v>3537</v>
      </c>
      <c r="D690" s="16" t="s">
        <v>54</v>
      </c>
      <c r="E690" s="16" t="s">
        <v>2640</v>
      </c>
      <c r="F690" s="24" t="s">
        <v>66</v>
      </c>
    </row>
    <row r="691" spans="1:73" x14ac:dyDescent="0.25">
      <c r="C691" s="442" t="s">
        <v>3538</v>
      </c>
      <c r="D691" s="16" t="s">
        <v>54</v>
      </c>
      <c r="E691" s="16" t="s">
        <v>2640</v>
      </c>
      <c r="F691" s="24" t="s">
        <v>66</v>
      </c>
    </row>
    <row r="692" spans="1:73" x14ac:dyDescent="0.25">
      <c r="A692" s="431">
        <v>42629</v>
      </c>
      <c r="B692" s="432" t="s">
        <v>12</v>
      </c>
      <c r="C692" s="422" t="s">
        <v>3108</v>
      </c>
      <c r="D692" s="16" t="s">
        <v>54</v>
      </c>
      <c r="E692" s="16" t="s">
        <v>59</v>
      </c>
      <c r="F692" s="24" t="s">
        <v>66</v>
      </c>
      <c r="BS692" s="11"/>
      <c r="BT692" s="11"/>
      <c r="BU692" s="11"/>
    </row>
    <row r="693" spans="1:73" x14ac:dyDescent="0.25">
      <c r="A693" s="431">
        <v>42534</v>
      </c>
      <c r="B693" s="432" t="s">
        <v>2840</v>
      </c>
      <c r="C693" s="422" t="s">
        <v>3109</v>
      </c>
      <c r="D693" s="16" t="s">
        <v>54</v>
      </c>
      <c r="E693" s="16" t="s">
        <v>84</v>
      </c>
      <c r="F693" s="24" t="s">
        <v>66</v>
      </c>
      <c r="BS693" s="11"/>
      <c r="BT693" s="11"/>
      <c r="BU693" s="11"/>
    </row>
    <row r="694" spans="1:73" x14ac:dyDescent="0.25">
      <c r="A694" s="14"/>
      <c r="B694" s="432" t="s">
        <v>12</v>
      </c>
      <c r="C694" s="417" t="s">
        <v>3110</v>
      </c>
      <c r="D694" s="16" t="s">
        <v>54</v>
      </c>
      <c r="E694" s="29" t="s">
        <v>3097</v>
      </c>
      <c r="F694" s="24" t="s">
        <v>66</v>
      </c>
    </row>
    <row r="695" spans="1:73" x14ac:dyDescent="0.25">
      <c r="A695" s="431">
        <v>42781</v>
      </c>
      <c r="B695" s="432" t="s">
        <v>12</v>
      </c>
      <c r="C695" s="419" t="s">
        <v>3111</v>
      </c>
      <c r="D695" s="16" t="s">
        <v>54</v>
      </c>
      <c r="E695" s="41" t="s">
        <v>2640</v>
      </c>
      <c r="F695" s="24" t="s">
        <v>66</v>
      </c>
      <c r="BU695" s="11"/>
    </row>
    <row r="696" spans="1:73" x14ac:dyDescent="0.25">
      <c r="A696" s="447">
        <v>43553</v>
      </c>
      <c r="B696" s="184" t="s">
        <v>12</v>
      </c>
      <c r="C696" s="415" t="s">
        <v>3111</v>
      </c>
      <c r="D696" s="16" t="s">
        <v>54</v>
      </c>
      <c r="E696" s="16" t="s">
        <v>2640</v>
      </c>
      <c r="F696" s="24" t="s">
        <v>66</v>
      </c>
    </row>
    <row r="697" spans="1:73" x14ac:dyDescent="0.25">
      <c r="A697" s="433">
        <v>42888</v>
      </c>
      <c r="B697" s="432" t="s">
        <v>12</v>
      </c>
      <c r="C697" s="419" t="s">
        <v>3112</v>
      </c>
      <c r="D697" s="16" t="s">
        <v>54</v>
      </c>
      <c r="E697" s="41" t="s">
        <v>2640</v>
      </c>
      <c r="F697" s="24" t="s">
        <v>66</v>
      </c>
      <c r="BU697" s="11"/>
    </row>
    <row r="698" spans="1:73" x14ac:dyDescent="0.25">
      <c r="A698" s="433">
        <v>43084</v>
      </c>
      <c r="B698" s="432" t="s">
        <v>12</v>
      </c>
      <c r="C698" s="419" t="s">
        <v>3113</v>
      </c>
      <c r="D698" s="16" t="s">
        <v>54</v>
      </c>
      <c r="E698" s="41" t="s">
        <v>2640</v>
      </c>
      <c r="F698" s="24" t="s">
        <v>66</v>
      </c>
      <c r="BU698" s="11"/>
    </row>
    <row r="699" spans="1:73" x14ac:dyDescent="0.25">
      <c r="C699" s="442" t="s">
        <v>3539</v>
      </c>
      <c r="D699" s="16" t="s">
        <v>54</v>
      </c>
      <c r="E699" s="16" t="s">
        <v>2640</v>
      </c>
      <c r="F699" s="24" t="s">
        <v>66</v>
      </c>
    </row>
    <row r="700" spans="1:73" x14ac:dyDescent="0.25">
      <c r="C700" s="420" t="s">
        <v>3352</v>
      </c>
      <c r="D700" s="16" t="s">
        <v>54</v>
      </c>
      <c r="E700" s="16" t="s">
        <v>2640</v>
      </c>
      <c r="F700" s="24" t="s">
        <v>66</v>
      </c>
    </row>
    <row r="701" spans="1:73" x14ac:dyDescent="0.25">
      <c r="C701" s="442" t="s">
        <v>3540</v>
      </c>
      <c r="D701" s="16" t="s">
        <v>54</v>
      </c>
      <c r="E701" s="16" t="s">
        <v>2640</v>
      </c>
      <c r="F701" s="24" t="s">
        <v>66</v>
      </c>
    </row>
    <row r="702" spans="1:73" x14ac:dyDescent="0.25">
      <c r="C702" s="442" t="s">
        <v>3541</v>
      </c>
      <c r="D702" s="16" t="s">
        <v>54</v>
      </c>
      <c r="E702" s="16" t="s">
        <v>2640</v>
      </c>
      <c r="F702" s="24" t="s">
        <v>66</v>
      </c>
    </row>
    <row r="703" spans="1:73" x14ac:dyDescent="0.25">
      <c r="C703" s="442" t="s">
        <v>3542</v>
      </c>
      <c r="D703" s="16" t="s">
        <v>54</v>
      </c>
      <c r="E703" s="16" t="s">
        <v>2640</v>
      </c>
      <c r="F703" s="24" t="s">
        <v>66</v>
      </c>
    </row>
    <row r="704" spans="1:73" x14ac:dyDescent="0.25">
      <c r="C704" s="420" t="s">
        <v>3353</v>
      </c>
      <c r="D704" s="16" t="s">
        <v>54</v>
      </c>
      <c r="E704" s="16" t="s">
        <v>2640</v>
      </c>
      <c r="F704" s="24" t="s">
        <v>66</v>
      </c>
    </row>
    <row r="705" spans="1:73" x14ac:dyDescent="0.25">
      <c r="A705" s="433">
        <v>42888</v>
      </c>
      <c r="B705" s="432" t="s">
        <v>12</v>
      </c>
      <c r="C705" s="419" t="s">
        <v>3114</v>
      </c>
      <c r="D705" s="16" t="s">
        <v>54</v>
      </c>
      <c r="E705" s="41" t="s">
        <v>2640</v>
      </c>
      <c r="F705" s="24" t="s">
        <v>66</v>
      </c>
      <c r="BU705" s="11"/>
    </row>
    <row r="706" spans="1:73" x14ac:dyDescent="0.25">
      <c r="C706" s="420" t="s">
        <v>3354</v>
      </c>
      <c r="D706" s="16" t="s">
        <v>54</v>
      </c>
      <c r="E706" s="16" t="s">
        <v>2640</v>
      </c>
      <c r="F706" s="24" t="s">
        <v>66</v>
      </c>
    </row>
    <row r="707" spans="1:73" x14ac:dyDescent="0.25">
      <c r="C707" s="420" t="s">
        <v>3355</v>
      </c>
      <c r="D707" s="16" t="s">
        <v>54</v>
      </c>
      <c r="E707" s="16" t="s">
        <v>2642</v>
      </c>
      <c r="F707" s="24" t="s">
        <v>66</v>
      </c>
    </row>
    <row r="708" spans="1:73" x14ac:dyDescent="0.25">
      <c r="C708" s="420" t="s">
        <v>3356</v>
      </c>
      <c r="D708" s="16" t="s">
        <v>54</v>
      </c>
      <c r="E708" s="16" t="s">
        <v>2640</v>
      </c>
      <c r="F708" s="24" t="s">
        <v>66</v>
      </c>
    </row>
    <row r="709" spans="1:73" x14ac:dyDescent="0.25">
      <c r="C709" s="442" t="s">
        <v>3543</v>
      </c>
      <c r="D709" s="16" t="s">
        <v>54</v>
      </c>
      <c r="E709" s="16" t="s">
        <v>3116</v>
      </c>
      <c r="F709" s="24" t="s">
        <v>66</v>
      </c>
    </row>
    <row r="710" spans="1:73" x14ac:dyDescent="0.25">
      <c r="A710" s="431">
        <v>42534</v>
      </c>
      <c r="B710" s="432" t="s">
        <v>2840</v>
      </c>
      <c r="C710" s="422" t="s">
        <v>3115</v>
      </c>
      <c r="D710" s="16" t="s">
        <v>54</v>
      </c>
      <c r="E710" s="16" t="s">
        <v>3116</v>
      </c>
      <c r="F710" s="24" t="s">
        <v>66</v>
      </c>
      <c r="BS710" s="11"/>
      <c r="BT710" s="11"/>
      <c r="BU710" s="11"/>
    </row>
    <row r="711" spans="1:73" x14ac:dyDescent="0.25">
      <c r="C711" s="442" t="s">
        <v>3544</v>
      </c>
      <c r="D711" s="16" t="s">
        <v>54</v>
      </c>
      <c r="E711" s="16" t="s">
        <v>3545</v>
      </c>
      <c r="F711" s="24" t="s">
        <v>66</v>
      </c>
    </row>
    <row r="712" spans="1:73" x14ac:dyDescent="0.25">
      <c r="C712" s="442" t="s">
        <v>3546</v>
      </c>
      <c r="D712" s="16" t="s">
        <v>54</v>
      </c>
      <c r="E712" s="16" t="s">
        <v>2653</v>
      </c>
      <c r="F712" s="24" t="s">
        <v>66</v>
      </c>
    </row>
    <row r="713" spans="1:73" x14ac:dyDescent="0.25">
      <c r="A713" s="430">
        <v>43234</v>
      </c>
      <c r="B713" s="432" t="s">
        <v>12</v>
      </c>
      <c r="C713" s="416" t="s">
        <v>3117</v>
      </c>
      <c r="D713" s="16" t="s">
        <v>54</v>
      </c>
      <c r="E713" s="41" t="s">
        <v>2653</v>
      </c>
      <c r="F713" s="24" t="s">
        <v>66</v>
      </c>
    </row>
    <row r="714" spans="1:73" x14ac:dyDescent="0.25">
      <c r="C714" s="442" t="s">
        <v>3547</v>
      </c>
      <c r="D714" s="16" t="s">
        <v>54</v>
      </c>
      <c r="E714" s="16" t="s">
        <v>2653</v>
      </c>
      <c r="F714" s="24" t="s">
        <v>66</v>
      </c>
    </row>
    <row r="715" spans="1:73" x14ac:dyDescent="0.25">
      <c r="C715" s="420" t="s">
        <v>3357</v>
      </c>
      <c r="D715" s="16" t="s">
        <v>54</v>
      </c>
      <c r="E715" s="16" t="s">
        <v>2653</v>
      </c>
      <c r="F715" s="24" t="s">
        <v>66</v>
      </c>
    </row>
    <row r="716" spans="1:73" x14ac:dyDescent="0.25">
      <c r="A716" s="430">
        <v>43234</v>
      </c>
      <c r="B716" s="432" t="s">
        <v>12</v>
      </c>
      <c r="C716" s="416" t="s">
        <v>3118</v>
      </c>
      <c r="D716" s="16" t="s">
        <v>54</v>
      </c>
      <c r="E716" s="41" t="s">
        <v>2653</v>
      </c>
      <c r="F716" s="24" t="s">
        <v>66</v>
      </c>
    </row>
    <row r="717" spans="1:73" x14ac:dyDescent="0.25">
      <c r="C717" s="442" t="s">
        <v>3548</v>
      </c>
      <c r="D717" s="16" t="s">
        <v>54</v>
      </c>
      <c r="E717" s="16" t="s">
        <v>2653</v>
      </c>
      <c r="F717" s="24" t="s">
        <v>66</v>
      </c>
    </row>
    <row r="718" spans="1:73" x14ac:dyDescent="0.25">
      <c r="C718" s="442" t="s">
        <v>3549</v>
      </c>
      <c r="D718" s="16" t="s">
        <v>54</v>
      </c>
      <c r="E718" s="16" t="s">
        <v>2653</v>
      </c>
      <c r="F718" s="24" t="s">
        <v>66</v>
      </c>
    </row>
    <row r="719" spans="1:73" x14ac:dyDescent="0.25">
      <c r="B719" s="4" t="s">
        <v>12</v>
      </c>
      <c r="C719" s="420" t="s">
        <v>3119</v>
      </c>
      <c r="D719" s="16" t="s">
        <v>54</v>
      </c>
      <c r="E719" s="421" t="s">
        <v>2653</v>
      </c>
      <c r="F719" s="24" t="s">
        <v>66</v>
      </c>
    </row>
    <row r="720" spans="1:73" x14ac:dyDescent="0.25">
      <c r="C720" s="442" t="s">
        <v>3358</v>
      </c>
      <c r="D720" s="16" t="s">
        <v>54</v>
      </c>
      <c r="E720" s="16" t="s">
        <v>2653</v>
      </c>
      <c r="F720" s="24" t="s">
        <v>66</v>
      </c>
    </row>
    <row r="721" spans="1:73" x14ac:dyDescent="0.25">
      <c r="C721" s="420" t="s">
        <v>3358</v>
      </c>
      <c r="D721" s="16" t="s">
        <v>54</v>
      </c>
      <c r="E721" s="16" t="s">
        <v>2653</v>
      </c>
      <c r="F721" s="24" t="s">
        <v>66</v>
      </c>
    </row>
    <row r="722" spans="1:73" x14ac:dyDescent="0.25">
      <c r="C722" s="442" t="s">
        <v>3550</v>
      </c>
      <c r="D722" s="16" t="s">
        <v>54</v>
      </c>
      <c r="E722" s="16" t="s">
        <v>2653</v>
      </c>
      <c r="F722" s="24" t="s">
        <v>66</v>
      </c>
    </row>
    <row r="723" spans="1:73" x14ac:dyDescent="0.25">
      <c r="A723" s="431">
        <v>42395</v>
      </c>
      <c r="B723" s="432" t="s">
        <v>12</v>
      </c>
      <c r="C723" s="422" t="s">
        <v>82</v>
      </c>
      <c r="D723" s="16" t="s">
        <v>54</v>
      </c>
      <c r="E723" s="16" t="s">
        <v>977</v>
      </c>
      <c r="F723" s="24" t="s">
        <v>66</v>
      </c>
      <c r="BR723" s="11"/>
      <c r="BS723" s="11"/>
      <c r="BT723" s="11"/>
      <c r="BU723" s="11"/>
    </row>
    <row r="724" spans="1:73" x14ac:dyDescent="0.25">
      <c r="A724" s="430">
        <v>43234</v>
      </c>
      <c r="B724" s="432" t="s">
        <v>12</v>
      </c>
      <c r="C724" s="416" t="s">
        <v>3120</v>
      </c>
      <c r="D724" s="16" t="s">
        <v>54</v>
      </c>
      <c r="E724" s="41" t="s">
        <v>2653</v>
      </c>
      <c r="F724" s="24" t="s">
        <v>66</v>
      </c>
    </row>
    <row r="725" spans="1:73" x14ac:dyDescent="0.25">
      <c r="A725" s="431">
        <v>42781</v>
      </c>
      <c r="B725" s="432" t="s">
        <v>12</v>
      </c>
      <c r="C725" s="419" t="s">
        <v>3121</v>
      </c>
      <c r="D725" s="16" t="s">
        <v>54</v>
      </c>
      <c r="E725" s="41" t="s">
        <v>2653</v>
      </c>
      <c r="F725" s="24" t="s">
        <v>66</v>
      </c>
      <c r="BU725" s="11"/>
    </row>
    <row r="726" spans="1:73" x14ac:dyDescent="0.25">
      <c r="A726" s="431">
        <v>42781</v>
      </c>
      <c r="B726" s="432" t="s">
        <v>12</v>
      </c>
      <c r="C726" s="419" t="s">
        <v>3122</v>
      </c>
      <c r="D726" s="16" t="s">
        <v>54</v>
      </c>
      <c r="E726" s="41" t="s">
        <v>2653</v>
      </c>
      <c r="F726" s="24" t="s">
        <v>66</v>
      </c>
    </row>
    <row r="727" spans="1:73" x14ac:dyDescent="0.25">
      <c r="A727" s="431">
        <v>42781</v>
      </c>
      <c r="B727" s="432" t="s">
        <v>12</v>
      </c>
      <c r="C727" s="419" t="s">
        <v>3123</v>
      </c>
      <c r="D727" s="16" t="s">
        <v>54</v>
      </c>
      <c r="E727" s="41" t="s">
        <v>2653</v>
      </c>
      <c r="F727" s="24" t="s">
        <v>66</v>
      </c>
      <c r="BU727" s="11"/>
    </row>
    <row r="728" spans="1:73" x14ac:dyDescent="0.25">
      <c r="A728" s="430">
        <v>43234</v>
      </c>
      <c r="B728" s="432" t="s">
        <v>12</v>
      </c>
      <c r="C728" s="367" t="s">
        <v>3124</v>
      </c>
      <c r="D728" s="16" t="s">
        <v>54</v>
      </c>
      <c r="E728" s="41" t="s">
        <v>2653</v>
      </c>
      <c r="F728" s="24" t="s">
        <v>66</v>
      </c>
      <c r="BU728" s="11"/>
    </row>
    <row r="729" spans="1:73" x14ac:dyDescent="0.25">
      <c r="A729" s="430">
        <v>43234</v>
      </c>
      <c r="B729" s="432" t="s">
        <v>12</v>
      </c>
      <c r="C729" s="367" t="s">
        <v>3125</v>
      </c>
      <c r="D729" s="16" t="s">
        <v>54</v>
      </c>
      <c r="E729" s="41" t="s">
        <v>2653</v>
      </c>
      <c r="F729" s="24" t="s">
        <v>66</v>
      </c>
      <c r="BU729" s="11"/>
    </row>
    <row r="730" spans="1:73" x14ac:dyDescent="0.25">
      <c r="A730" s="433">
        <v>42888</v>
      </c>
      <c r="B730" s="432" t="s">
        <v>12</v>
      </c>
      <c r="C730" s="428" t="s">
        <v>3126</v>
      </c>
      <c r="D730" s="16" t="s">
        <v>54</v>
      </c>
      <c r="E730" s="41" t="s">
        <v>2653</v>
      </c>
      <c r="F730" s="24" t="s">
        <v>66</v>
      </c>
      <c r="BU730" s="11"/>
    </row>
    <row r="731" spans="1:73" x14ac:dyDescent="0.25">
      <c r="A731" s="447">
        <v>43553</v>
      </c>
      <c r="B731" s="184" t="s">
        <v>12</v>
      </c>
      <c r="C731" s="415" t="s">
        <v>3235</v>
      </c>
      <c r="D731" s="16" t="s">
        <v>54</v>
      </c>
      <c r="E731" s="16" t="s">
        <v>2653</v>
      </c>
      <c r="F731" s="24" t="s">
        <v>66</v>
      </c>
    </row>
    <row r="732" spans="1:73" x14ac:dyDescent="0.25">
      <c r="C732" s="442" t="s">
        <v>3551</v>
      </c>
      <c r="D732" s="16" t="s">
        <v>54</v>
      </c>
      <c r="E732" s="16" t="s">
        <v>2653</v>
      </c>
      <c r="F732" s="24" t="s">
        <v>66</v>
      </c>
    </row>
    <row r="733" spans="1:73" x14ac:dyDescent="0.25">
      <c r="A733" s="430">
        <v>43234</v>
      </c>
      <c r="B733" s="432" t="s">
        <v>12</v>
      </c>
      <c r="C733" s="367" t="s">
        <v>3127</v>
      </c>
      <c r="D733" s="16" t="s">
        <v>54</v>
      </c>
      <c r="E733" s="41" t="s">
        <v>2653</v>
      </c>
      <c r="F733" s="24" t="s">
        <v>66</v>
      </c>
      <c r="BU733" s="11"/>
    </row>
    <row r="734" spans="1:73" x14ac:dyDescent="0.25">
      <c r="C734" s="442" t="s">
        <v>3552</v>
      </c>
      <c r="D734" s="16" t="s">
        <v>54</v>
      </c>
      <c r="E734" s="16" t="s">
        <v>2653</v>
      </c>
      <c r="F734" s="24" t="s">
        <v>66</v>
      </c>
    </row>
    <row r="735" spans="1:73" x14ac:dyDescent="0.25">
      <c r="C735" s="442" t="s">
        <v>3553</v>
      </c>
      <c r="D735" s="16" t="s">
        <v>54</v>
      </c>
      <c r="E735" s="16" t="s">
        <v>2653</v>
      </c>
      <c r="F735" s="24" t="s">
        <v>66</v>
      </c>
    </row>
    <row r="736" spans="1:73" x14ac:dyDescent="0.25">
      <c r="C736" s="442" t="s">
        <v>3554</v>
      </c>
      <c r="D736" s="16" t="s">
        <v>54</v>
      </c>
      <c r="E736" s="16" t="s">
        <v>2653</v>
      </c>
      <c r="F736" s="24" t="s">
        <v>66</v>
      </c>
    </row>
    <row r="737" spans="1:73" x14ac:dyDescent="0.25">
      <c r="C737" s="442" t="s">
        <v>3555</v>
      </c>
      <c r="D737" s="16" t="s">
        <v>54</v>
      </c>
      <c r="E737" s="16" t="s">
        <v>2653</v>
      </c>
      <c r="F737" s="24" t="s">
        <v>66</v>
      </c>
    </row>
    <row r="738" spans="1:73" x14ac:dyDescent="0.25">
      <c r="A738" s="430">
        <v>43234</v>
      </c>
      <c r="B738" s="432" t="s">
        <v>12</v>
      </c>
      <c r="C738" s="416" t="s">
        <v>3128</v>
      </c>
      <c r="D738" s="16" t="s">
        <v>54</v>
      </c>
      <c r="E738" s="41" t="s">
        <v>2653</v>
      </c>
      <c r="F738" s="24" t="s">
        <v>66</v>
      </c>
    </row>
    <row r="739" spans="1:73" x14ac:dyDescent="0.25">
      <c r="C739" s="442" t="s">
        <v>3556</v>
      </c>
      <c r="D739" s="16" t="s">
        <v>54</v>
      </c>
      <c r="E739" s="16" t="s">
        <v>2653</v>
      </c>
      <c r="F739" s="24" t="s">
        <v>66</v>
      </c>
    </row>
    <row r="740" spans="1:73" x14ac:dyDescent="0.25">
      <c r="A740" s="430">
        <v>43234</v>
      </c>
      <c r="B740" s="432" t="s">
        <v>12</v>
      </c>
      <c r="C740" s="416" t="s">
        <v>3129</v>
      </c>
      <c r="D740" s="16" t="s">
        <v>54</v>
      </c>
      <c r="E740" s="41" t="s">
        <v>2653</v>
      </c>
      <c r="F740" s="24" t="s">
        <v>66</v>
      </c>
    </row>
    <row r="741" spans="1:73" x14ac:dyDescent="0.25">
      <c r="A741" s="431">
        <v>42781</v>
      </c>
      <c r="B741" s="432" t="s">
        <v>12</v>
      </c>
      <c r="C741" s="419" t="s">
        <v>3130</v>
      </c>
      <c r="D741" s="16" t="s">
        <v>54</v>
      </c>
      <c r="E741" s="41" t="s">
        <v>2653</v>
      </c>
      <c r="F741" s="24" t="s">
        <v>66</v>
      </c>
      <c r="BU741" s="11"/>
    </row>
    <row r="742" spans="1:73" x14ac:dyDescent="0.25">
      <c r="A742" s="433">
        <v>42888</v>
      </c>
      <c r="B742" s="432" t="s">
        <v>12</v>
      </c>
      <c r="C742" s="428" t="s">
        <v>3131</v>
      </c>
      <c r="D742" s="16" t="s">
        <v>54</v>
      </c>
      <c r="E742" s="41" t="s">
        <v>2653</v>
      </c>
      <c r="F742" s="24" t="s">
        <v>66</v>
      </c>
      <c r="BU742" s="11"/>
    </row>
    <row r="743" spans="1:73" x14ac:dyDescent="0.25">
      <c r="C743" s="442" t="s">
        <v>3557</v>
      </c>
      <c r="D743" s="16" t="s">
        <v>54</v>
      </c>
      <c r="E743" s="16" t="s">
        <v>2653</v>
      </c>
      <c r="F743" s="24" t="s">
        <v>66</v>
      </c>
    </row>
    <row r="744" spans="1:73" x14ac:dyDescent="0.25">
      <c r="C744" s="442" t="s">
        <v>3558</v>
      </c>
      <c r="D744" s="16" t="s">
        <v>54</v>
      </c>
      <c r="E744" s="16" t="s">
        <v>2653</v>
      </c>
      <c r="F744" s="24" t="s">
        <v>66</v>
      </c>
    </row>
    <row r="745" spans="1:73" x14ac:dyDescent="0.25">
      <c r="C745" s="442" t="s">
        <v>3559</v>
      </c>
      <c r="D745" s="16" t="s">
        <v>54</v>
      </c>
      <c r="E745" s="16" t="s">
        <v>2653</v>
      </c>
      <c r="F745" s="24" t="s">
        <v>66</v>
      </c>
    </row>
    <row r="746" spans="1:73" x14ac:dyDescent="0.25">
      <c r="A746" s="430">
        <v>43234</v>
      </c>
      <c r="B746" s="432" t="s">
        <v>12</v>
      </c>
      <c r="C746" s="416" t="s">
        <v>3132</v>
      </c>
      <c r="D746" s="16" t="s">
        <v>54</v>
      </c>
      <c r="E746" s="41" t="s">
        <v>2653</v>
      </c>
      <c r="F746" s="24" t="s">
        <v>66</v>
      </c>
    </row>
    <row r="747" spans="1:73" x14ac:dyDescent="0.25">
      <c r="C747" s="442" t="s">
        <v>3560</v>
      </c>
      <c r="D747" s="16" t="s">
        <v>54</v>
      </c>
      <c r="E747" s="16" t="s">
        <v>2653</v>
      </c>
      <c r="F747" s="24" t="s">
        <v>66</v>
      </c>
    </row>
    <row r="748" spans="1:73" x14ac:dyDescent="0.25">
      <c r="C748" s="442" t="s">
        <v>3560</v>
      </c>
      <c r="D748" s="16" t="s">
        <v>54</v>
      </c>
      <c r="E748" s="16" t="s">
        <v>2653</v>
      </c>
      <c r="F748" s="24" t="s">
        <v>66</v>
      </c>
    </row>
    <row r="749" spans="1:73" x14ac:dyDescent="0.25">
      <c r="C749" s="442" t="s">
        <v>3561</v>
      </c>
      <c r="D749" s="16" t="s">
        <v>54</v>
      </c>
      <c r="E749" s="16" t="s">
        <v>2653</v>
      </c>
      <c r="F749" s="24" t="s">
        <v>66</v>
      </c>
    </row>
    <row r="750" spans="1:73" x14ac:dyDescent="0.25">
      <c r="C750" s="442" t="s">
        <v>3562</v>
      </c>
      <c r="D750" s="16" t="s">
        <v>54</v>
      </c>
      <c r="E750" s="16" t="s">
        <v>2653</v>
      </c>
      <c r="F750" s="24" t="s">
        <v>66</v>
      </c>
    </row>
    <row r="751" spans="1:73" x14ac:dyDescent="0.25">
      <c r="A751" s="433">
        <v>42888</v>
      </c>
      <c r="B751" s="432" t="s">
        <v>12</v>
      </c>
      <c r="C751" s="428" t="s">
        <v>3133</v>
      </c>
      <c r="D751" s="16" t="s">
        <v>54</v>
      </c>
      <c r="E751" s="41" t="s">
        <v>2653</v>
      </c>
      <c r="F751" s="24" t="s">
        <v>66</v>
      </c>
      <c r="BU751" s="11"/>
    </row>
    <row r="752" spans="1:73" x14ac:dyDescent="0.25">
      <c r="A752" s="430">
        <v>43234</v>
      </c>
      <c r="B752" s="432" t="s">
        <v>12</v>
      </c>
      <c r="C752" s="367" t="s">
        <v>3134</v>
      </c>
      <c r="D752" s="16" t="s">
        <v>54</v>
      </c>
      <c r="E752" s="41" t="s">
        <v>3135</v>
      </c>
      <c r="F752" s="24" t="s">
        <v>66</v>
      </c>
      <c r="BU752" s="11"/>
    </row>
    <row r="753" spans="1:73" x14ac:dyDescent="0.25">
      <c r="C753" s="442" t="s">
        <v>3563</v>
      </c>
      <c r="D753" s="16" t="s">
        <v>54</v>
      </c>
      <c r="E753" s="16" t="s">
        <v>2653</v>
      </c>
      <c r="F753" s="24" t="s">
        <v>66</v>
      </c>
    </row>
    <row r="754" spans="1:73" x14ac:dyDescent="0.25">
      <c r="C754" s="442" t="s">
        <v>3564</v>
      </c>
      <c r="D754" s="16" t="s">
        <v>54</v>
      </c>
      <c r="E754" s="16" t="s">
        <v>2653</v>
      </c>
      <c r="F754" s="24" t="s">
        <v>66</v>
      </c>
    </row>
    <row r="755" spans="1:73" x14ac:dyDescent="0.25">
      <c r="A755" s="431">
        <v>42725</v>
      </c>
      <c r="B755" s="432" t="s">
        <v>12</v>
      </c>
      <c r="C755" s="427" t="s">
        <v>3136</v>
      </c>
      <c r="D755" s="16" t="s">
        <v>54</v>
      </c>
      <c r="E755" s="41" t="s">
        <v>2653</v>
      </c>
      <c r="F755" s="24" t="s">
        <v>66</v>
      </c>
      <c r="BS755" s="11"/>
      <c r="BT755" s="11"/>
      <c r="BU755" s="11"/>
    </row>
    <row r="756" spans="1:73" x14ac:dyDescent="0.25">
      <c r="A756" s="433">
        <v>42888</v>
      </c>
      <c r="B756" s="432" t="s">
        <v>12</v>
      </c>
      <c r="C756" s="428" t="s">
        <v>3137</v>
      </c>
      <c r="D756" s="16" t="s">
        <v>54</v>
      </c>
      <c r="E756" s="41" t="s">
        <v>2653</v>
      </c>
      <c r="F756" s="24" t="s">
        <v>66</v>
      </c>
      <c r="BU756" s="11"/>
    </row>
    <row r="757" spans="1:73" x14ac:dyDescent="0.25">
      <c r="C757" s="442" t="s">
        <v>3565</v>
      </c>
      <c r="D757" s="16" t="s">
        <v>54</v>
      </c>
      <c r="E757" s="16" t="s">
        <v>2653</v>
      </c>
      <c r="F757" s="24" t="s">
        <v>66</v>
      </c>
    </row>
    <row r="758" spans="1:73" x14ac:dyDescent="0.25">
      <c r="A758" s="447">
        <v>43553</v>
      </c>
      <c r="B758" s="184" t="s">
        <v>12</v>
      </c>
      <c r="C758" s="444" t="s">
        <v>3239</v>
      </c>
      <c r="D758" s="16" t="s">
        <v>54</v>
      </c>
      <c r="E758" s="16" t="s">
        <v>2653</v>
      </c>
      <c r="F758" s="24" t="s">
        <v>66</v>
      </c>
    </row>
    <row r="759" spans="1:73" x14ac:dyDescent="0.25">
      <c r="C759" s="442" t="s">
        <v>3566</v>
      </c>
      <c r="D759" s="16" t="s">
        <v>54</v>
      </c>
      <c r="E759" s="16" t="s">
        <v>2653</v>
      </c>
      <c r="F759" s="24" t="s">
        <v>66</v>
      </c>
    </row>
    <row r="760" spans="1:73" x14ac:dyDescent="0.25">
      <c r="C760" s="442" t="s">
        <v>3567</v>
      </c>
      <c r="D760" s="16" t="s">
        <v>54</v>
      </c>
      <c r="E760" s="16" t="s">
        <v>2653</v>
      </c>
      <c r="F760" s="24" t="s">
        <v>66</v>
      </c>
    </row>
    <row r="761" spans="1:73" x14ac:dyDescent="0.25">
      <c r="A761" s="430">
        <v>43234</v>
      </c>
      <c r="B761" s="432" t="s">
        <v>12</v>
      </c>
      <c r="C761" s="367" t="s">
        <v>3138</v>
      </c>
      <c r="D761" s="16" t="s">
        <v>54</v>
      </c>
      <c r="E761" s="41" t="s">
        <v>2653</v>
      </c>
      <c r="F761" s="24" t="s">
        <v>66</v>
      </c>
      <c r="BU761" s="11"/>
    </row>
    <row r="762" spans="1:73" x14ac:dyDescent="0.25">
      <c r="C762" s="442" t="s">
        <v>3568</v>
      </c>
      <c r="D762" s="16" t="s">
        <v>54</v>
      </c>
      <c r="E762" s="16" t="s">
        <v>2653</v>
      </c>
      <c r="F762" s="24" t="s">
        <v>66</v>
      </c>
    </row>
    <row r="763" spans="1:73" x14ac:dyDescent="0.25">
      <c r="A763" s="14"/>
      <c r="B763" s="432" t="s">
        <v>12</v>
      </c>
      <c r="C763" s="420" t="s">
        <v>3139</v>
      </c>
      <c r="D763" s="16" t="s">
        <v>54</v>
      </c>
      <c r="E763" s="29" t="s">
        <v>2653</v>
      </c>
      <c r="F763" s="24" t="s">
        <v>66</v>
      </c>
    </row>
    <row r="764" spans="1:73" x14ac:dyDescent="0.25">
      <c r="A764" s="433">
        <v>42888</v>
      </c>
      <c r="B764" s="432" t="s">
        <v>12</v>
      </c>
      <c r="C764" s="428" t="s">
        <v>3140</v>
      </c>
      <c r="D764" s="16" t="s">
        <v>54</v>
      </c>
      <c r="E764" s="41" t="s">
        <v>2653</v>
      </c>
      <c r="F764" s="24" t="s">
        <v>66</v>
      </c>
      <c r="BU764" s="11"/>
    </row>
    <row r="765" spans="1:73" x14ac:dyDescent="0.25">
      <c r="A765" s="430">
        <v>43234</v>
      </c>
      <c r="B765" s="432" t="s">
        <v>12</v>
      </c>
      <c r="C765" s="416" t="s">
        <v>3141</v>
      </c>
      <c r="D765" s="16" t="s">
        <v>54</v>
      </c>
      <c r="E765" s="41" t="s">
        <v>2653</v>
      </c>
      <c r="F765" s="24" t="s">
        <v>66</v>
      </c>
    </row>
    <row r="766" spans="1:73" x14ac:dyDescent="0.25">
      <c r="C766" s="442" t="s">
        <v>3569</v>
      </c>
      <c r="D766" s="16" t="s">
        <v>54</v>
      </c>
      <c r="E766" s="16" t="s">
        <v>2653</v>
      </c>
      <c r="F766" s="24" t="s">
        <v>66</v>
      </c>
    </row>
    <row r="767" spans="1:73" x14ac:dyDescent="0.25">
      <c r="A767" s="430">
        <v>43234</v>
      </c>
      <c r="B767" s="432" t="s">
        <v>12</v>
      </c>
      <c r="C767" s="416" t="s">
        <v>3142</v>
      </c>
      <c r="D767" s="16" t="s">
        <v>54</v>
      </c>
      <c r="E767" s="41" t="s">
        <v>2653</v>
      </c>
      <c r="F767" s="24" t="s">
        <v>66</v>
      </c>
    </row>
    <row r="768" spans="1:73" x14ac:dyDescent="0.25">
      <c r="B768" s="4" t="s">
        <v>12</v>
      </c>
      <c r="C768" s="420" t="s">
        <v>3143</v>
      </c>
      <c r="D768" s="16" t="s">
        <v>54</v>
      </c>
      <c r="E768" s="421" t="s">
        <v>2653</v>
      </c>
      <c r="F768" s="24" t="s">
        <v>66</v>
      </c>
    </row>
    <row r="769" spans="1:73" x14ac:dyDescent="0.25">
      <c r="A769" s="447">
        <v>43553</v>
      </c>
      <c r="B769" s="184" t="s">
        <v>12</v>
      </c>
      <c r="C769" s="415" t="s">
        <v>3272</v>
      </c>
      <c r="D769" s="16" t="s">
        <v>54</v>
      </c>
      <c r="E769" s="16" t="s">
        <v>2653</v>
      </c>
      <c r="F769" s="24" t="s">
        <v>66</v>
      </c>
    </row>
    <row r="770" spans="1:73" x14ac:dyDescent="0.25">
      <c r="C770" s="442" t="s">
        <v>3272</v>
      </c>
      <c r="D770" s="16" t="s">
        <v>54</v>
      </c>
      <c r="E770" s="16" t="s">
        <v>2653</v>
      </c>
      <c r="F770" s="24" t="s">
        <v>66</v>
      </c>
    </row>
    <row r="771" spans="1:73" x14ac:dyDescent="0.25">
      <c r="A771" s="430">
        <v>43234</v>
      </c>
      <c r="B771" s="432" t="s">
        <v>12</v>
      </c>
      <c r="C771" s="416" t="s">
        <v>3144</v>
      </c>
      <c r="D771" s="16" t="s">
        <v>54</v>
      </c>
      <c r="E771" s="41" t="s">
        <v>2653</v>
      </c>
      <c r="F771" s="24" t="s">
        <v>66</v>
      </c>
    </row>
    <row r="772" spans="1:73" x14ac:dyDescent="0.25">
      <c r="A772" s="447">
        <v>43553</v>
      </c>
      <c r="B772" s="184" t="s">
        <v>12</v>
      </c>
      <c r="C772" s="415" t="s">
        <v>3273</v>
      </c>
      <c r="D772" s="16" t="s">
        <v>54</v>
      </c>
      <c r="E772" s="16" t="s">
        <v>2653</v>
      </c>
      <c r="F772" s="24" t="s">
        <v>66</v>
      </c>
    </row>
    <row r="773" spans="1:73" x14ac:dyDescent="0.25">
      <c r="A773" s="447">
        <v>43553</v>
      </c>
      <c r="B773" s="184" t="s">
        <v>12</v>
      </c>
      <c r="C773" s="415" t="s">
        <v>3274</v>
      </c>
      <c r="D773" s="16" t="s">
        <v>54</v>
      </c>
      <c r="E773" s="16" t="s">
        <v>2653</v>
      </c>
      <c r="F773" s="24" t="s">
        <v>66</v>
      </c>
    </row>
    <row r="774" spans="1:73" x14ac:dyDescent="0.25">
      <c r="A774" s="433">
        <v>42888</v>
      </c>
      <c r="B774" s="432" t="s">
        <v>12</v>
      </c>
      <c r="C774" s="428" t="s">
        <v>3145</v>
      </c>
      <c r="D774" s="16" t="s">
        <v>54</v>
      </c>
      <c r="E774" s="41" t="s">
        <v>2653</v>
      </c>
      <c r="F774" s="24" t="s">
        <v>66</v>
      </c>
      <c r="BU774" s="11"/>
    </row>
    <row r="775" spans="1:73" x14ac:dyDescent="0.25">
      <c r="A775" s="430">
        <v>43234</v>
      </c>
      <c r="B775" s="432" t="s">
        <v>12</v>
      </c>
      <c r="C775" s="416" t="s">
        <v>3146</v>
      </c>
      <c r="D775" s="16" t="s">
        <v>54</v>
      </c>
      <c r="E775" s="41" t="s">
        <v>2653</v>
      </c>
      <c r="F775" s="24" t="s">
        <v>66</v>
      </c>
    </row>
    <row r="776" spans="1:73" x14ac:dyDescent="0.25">
      <c r="A776" s="447">
        <v>43553</v>
      </c>
      <c r="B776" s="184" t="s">
        <v>12</v>
      </c>
      <c r="C776" s="415" t="s">
        <v>3275</v>
      </c>
      <c r="D776" s="16" t="s">
        <v>54</v>
      </c>
      <c r="E776" s="16" t="s">
        <v>2653</v>
      </c>
      <c r="F776" s="24" t="s">
        <v>66</v>
      </c>
    </row>
    <row r="777" spans="1:73" x14ac:dyDescent="0.25">
      <c r="A777" s="447">
        <v>43553</v>
      </c>
      <c r="B777" s="184" t="s">
        <v>12</v>
      </c>
      <c r="C777" s="415" t="s">
        <v>3276</v>
      </c>
      <c r="D777" s="16" t="s">
        <v>54</v>
      </c>
      <c r="E777" s="16" t="s">
        <v>2653</v>
      </c>
      <c r="F777" s="24" t="s">
        <v>66</v>
      </c>
    </row>
    <row r="778" spans="1:73" x14ac:dyDescent="0.25">
      <c r="A778" s="430">
        <v>43234</v>
      </c>
      <c r="B778" s="432" t="s">
        <v>12</v>
      </c>
      <c r="C778" s="416" t="s">
        <v>3147</v>
      </c>
      <c r="D778" s="16" t="s">
        <v>54</v>
      </c>
      <c r="E778" s="41" t="s">
        <v>2653</v>
      </c>
      <c r="F778" s="24" t="s">
        <v>66</v>
      </c>
    </row>
    <row r="779" spans="1:73" x14ac:dyDescent="0.25">
      <c r="A779" s="433">
        <v>43084</v>
      </c>
      <c r="B779" s="432" t="s">
        <v>12</v>
      </c>
      <c r="C779" s="419" t="s">
        <v>3148</v>
      </c>
      <c r="D779" s="16" t="s">
        <v>54</v>
      </c>
      <c r="E779" s="41" t="s">
        <v>2653</v>
      </c>
      <c r="F779" s="24" t="s">
        <v>66</v>
      </c>
      <c r="BU779" s="11"/>
    </row>
    <row r="780" spans="1:73" x14ac:dyDescent="0.25">
      <c r="A780" s="430">
        <v>43234</v>
      </c>
      <c r="B780" s="432" t="s">
        <v>12</v>
      </c>
      <c r="C780" s="416" t="s">
        <v>3149</v>
      </c>
      <c r="D780" s="16" t="s">
        <v>54</v>
      </c>
      <c r="E780" s="41" t="s">
        <v>2653</v>
      </c>
      <c r="F780" s="24" t="s">
        <v>66</v>
      </c>
    </row>
    <row r="781" spans="1:73" x14ac:dyDescent="0.25">
      <c r="A781" s="430">
        <v>43234</v>
      </c>
      <c r="B781" s="432" t="s">
        <v>12</v>
      </c>
      <c r="C781" s="416" t="s">
        <v>3150</v>
      </c>
      <c r="D781" s="16" t="s">
        <v>54</v>
      </c>
      <c r="E781" s="41" t="s">
        <v>2653</v>
      </c>
      <c r="F781" s="24" t="s">
        <v>66</v>
      </c>
    </row>
    <row r="782" spans="1:73" x14ac:dyDescent="0.25">
      <c r="A782" s="430">
        <v>43234</v>
      </c>
      <c r="B782" s="432" t="s">
        <v>12</v>
      </c>
      <c r="C782" s="416" t="s">
        <v>3151</v>
      </c>
      <c r="D782" s="16" t="s">
        <v>54</v>
      </c>
      <c r="E782" s="41" t="s">
        <v>3135</v>
      </c>
      <c r="F782" s="24" t="s">
        <v>66</v>
      </c>
    </row>
    <row r="783" spans="1:73" x14ac:dyDescent="0.25">
      <c r="A783" s="447">
        <v>43553</v>
      </c>
      <c r="B783" s="184" t="s">
        <v>12</v>
      </c>
      <c r="C783" s="415" t="s">
        <v>3277</v>
      </c>
      <c r="D783" s="16" t="s">
        <v>54</v>
      </c>
      <c r="E783" s="16" t="s">
        <v>2653</v>
      </c>
      <c r="F783" s="24" t="s">
        <v>66</v>
      </c>
    </row>
    <row r="784" spans="1:73" x14ac:dyDescent="0.25">
      <c r="A784" s="447">
        <v>43553</v>
      </c>
      <c r="B784" s="184" t="s">
        <v>12</v>
      </c>
      <c r="C784" s="415" t="s">
        <v>3278</v>
      </c>
      <c r="D784" s="16" t="s">
        <v>54</v>
      </c>
      <c r="E784" s="16" t="s">
        <v>2653</v>
      </c>
      <c r="F784" s="24" t="s">
        <v>66</v>
      </c>
    </row>
    <row r="785" spans="1:6" x14ac:dyDescent="0.25">
      <c r="A785" s="447">
        <v>43553</v>
      </c>
      <c r="B785" s="184" t="s">
        <v>12</v>
      </c>
      <c r="C785" s="415" t="s">
        <v>3279</v>
      </c>
      <c r="D785" s="16" t="s">
        <v>54</v>
      </c>
      <c r="E785" s="16" t="s">
        <v>2653</v>
      </c>
      <c r="F785" s="24" t="s">
        <v>66</v>
      </c>
    </row>
    <row r="786" spans="1:6" x14ac:dyDescent="0.25">
      <c r="A786" s="447">
        <v>43553</v>
      </c>
      <c r="B786" s="184" t="s">
        <v>12</v>
      </c>
      <c r="C786" s="415" t="s">
        <v>3280</v>
      </c>
      <c r="D786" s="16" t="s">
        <v>54</v>
      </c>
      <c r="E786" s="16" t="s">
        <v>2653</v>
      </c>
      <c r="F786" s="24" t="s">
        <v>66</v>
      </c>
    </row>
    <row r="787" spans="1:6" x14ac:dyDescent="0.25">
      <c r="A787" s="447">
        <v>43553</v>
      </c>
      <c r="B787" s="184" t="s">
        <v>12</v>
      </c>
      <c r="C787" s="415" t="s">
        <v>3281</v>
      </c>
      <c r="D787" s="16" t="s">
        <v>54</v>
      </c>
      <c r="E787" s="16" t="s">
        <v>2653</v>
      </c>
      <c r="F787" s="24" t="s">
        <v>66</v>
      </c>
    </row>
    <row r="788" spans="1:6" x14ac:dyDescent="0.25">
      <c r="A788" s="447">
        <v>43553</v>
      </c>
      <c r="B788" s="184" t="s">
        <v>12</v>
      </c>
      <c r="C788" s="415" t="s">
        <v>3282</v>
      </c>
      <c r="D788" s="16" t="s">
        <v>54</v>
      </c>
      <c r="E788" s="16" t="s">
        <v>2653</v>
      </c>
      <c r="F788" s="24" t="s">
        <v>66</v>
      </c>
    </row>
    <row r="789" spans="1:6" x14ac:dyDescent="0.25">
      <c r="A789" s="447">
        <v>43553</v>
      </c>
      <c r="B789" s="184" t="s">
        <v>12</v>
      </c>
      <c r="C789" s="415" t="s">
        <v>3283</v>
      </c>
      <c r="D789" s="16" t="s">
        <v>54</v>
      </c>
      <c r="E789" s="16" t="s">
        <v>2653</v>
      </c>
      <c r="F789" s="24" t="s">
        <v>66</v>
      </c>
    </row>
    <row r="790" spans="1:6" x14ac:dyDescent="0.25">
      <c r="A790" s="447">
        <v>43553</v>
      </c>
      <c r="B790" s="184" t="s">
        <v>12</v>
      </c>
      <c r="C790" s="415" t="s">
        <v>3284</v>
      </c>
      <c r="D790" s="16" t="s">
        <v>54</v>
      </c>
      <c r="E790" s="16" t="s">
        <v>2653</v>
      </c>
      <c r="F790" s="24" t="s">
        <v>66</v>
      </c>
    </row>
    <row r="791" spans="1:6" x14ac:dyDescent="0.25">
      <c r="C791" s="442" t="s">
        <v>3284</v>
      </c>
      <c r="D791" s="16" t="s">
        <v>54</v>
      </c>
      <c r="E791" s="16" t="s">
        <v>2653</v>
      </c>
      <c r="F791" s="24" t="s">
        <v>66</v>
      </c>
    </row>
    <row r="792" spans="1:6" x14ac:dyDescent="0.25">
      <c r="A792" s="447">
        <v>43553</v>
      </c>
      <c r="B792" s="184" t="s">
        <v>12</v>
      </c>
      <c r="C792" s="415" t="s">
        <v>3285</v>
      </c>
      <c r="D792" s="16" t="s">
        <v>54</v>
      </c>
      <c r="E792" s="16" t="s">
        <v>2653</v>
      </c>
      <c r="F792" s="24" t="s">
        <v>66</v>
      </c>
    </row>
    <row r="793" spans="1:6" x14ac:dyDescent="0.25">
      <c r="A793" s="447">
        <v>43553</v>
      </c>
      <c r="B793" s="184" t="s">
        <v>12</v>
      </c>
      <c r="C793" s="415" t="s">
        <v>3286</v>
      </c>
      <c r="D793" s="16" t="s">
        <v>54</v>
      </c>
      <c r="E793" s="16" t="s">
        <v>2653</v>
      </c>
      <c r="F793" s="24" t="s">
        <v>66</v>
      </c>
    </row>
    <row r="794" spans="1:6" x14ac:dyDescent="0.25">
      <c r="C794" s="442" t="s">
        <v>3286</v>
      </c>
      <c r="D794" s="16" t="s">
        <v>54</v>
      </c>
      <c r="E794" s="16" t="s">
        <v>2653</v>
      </c>
      <c r="F794" s="24" t="s">
        <v>66</v>
      </c>
    </row>
    <row r="795" spans="1:6" x14ac:dyDescent="0.25">
      <c r="A795" s="447">
        <v>43553</v>
      </c>
      <c r="B795" s="184" t="s">
        <v>12</v>
      </c>
      <c r="C795" s="415" t="s">
        <v>3287</v>
      </c>
      <c r="D795" s="16" t="s">
        <v>54</v>
      </c>
      <c r="E795" s="16" t="s">
        <v>2653</v>
      </c>
      <c r="F795" s="24" t="s">
        <v>66</v>
      </c>
    </row>
    <row r="796" spans="1:6" x14ac:dyDescent="0.25">
      <c r="A796" s="447">
        <v>43553</v>
      </c>
      <c r="B796" s="184" t="s">
        <v>12</v>
      </c>
      <c r="C796" s="415" t="s">
        <v>3288</v>
      </c>
      <c r="D796" s="16" t="s">
        <v>54</v>
      </c>
      <c r="E796" s="16" t="s">
        <v>2653</v>
      </c>
      <c r="F796" s="24" t="s">
        <v>66</v>
      </c>
    </row>
    <row r="797" spans="1:6" x14ac:dyDescent="0.25">
      <c r="A797" s="447">
        <v>43553</v>
      </c>
      <c r="B797" s="184" t="s">
        <v>12</v>
      </c>
      <c r="C797" s="415" t="s">
        <v>3289</v>
      </c>
      <c r="D797" s="16" t="s">
        <v>54</v>
      </c>
      <c r="E797" s="16" t="s">
        <v>2653</v>
      </c>
      <c r="F797" s="24" t="s">
        <v>66</v>
      </c>
    </row>
    <row r="798" spans="1:6" x14ac:dyDescent="0.25">
      <c r="A798" s="447">
        <v>43553</v>
      </c>
      <c r="B798" s="184" t="s">
        <v>12</v>
      </c>
      <c r="C798" s="415" t="s">
        <v>3290</v>
      </c>
      <c r="D798" s="16" t="s">
        <v>54</v>
      </c>
      <c r="E798" s="16" t="s">
        <v>2653</v>
      </c>
      <c r="F798" s="24" t="s">
        <v>66</v>
      </c>
    </row>
    <row r="799" spans="1:6" x14ac:dyDescent="0.25">
      <c r="A799" s="447">
        <v>43553</v>
      </c>
      <c r="B799" s="184" t="s">
        <v>12</v>
      </c>
      <c r="C799" s="415" t="s">
        <v>3291</v>
      </c>
      <c r="D799" s="16" t="s">
        <v>54</v>
      </c>
      <c r="E799" s="16" t="s">
        <v>2653</v>
      </c>
      <c r="F799" s="24" t="s">
        <v>66</v>
      </c>
    </row>
    <row r="800" spans="1:6" x14ac:dyDescent="0.25">
      <c r="C800" s="442" t="s">
        <v>3291</v>
      </c>
      <c r="D800" s="16" t="s">
        <v>54</v>
      </c>
      <c r="E800" s="16" t="s">
        <v>2653</v>
      </c>
      <c r="F800" s="24" t="s">
        <v>66</v>
      </c>
    </row>
    <row r="801" spans="1:73" x14ac:dyDescent="0.25">
      <c r="A801" s="447">
        <v>43553</v>
      </c>
      <c r="B801" s="184" t="s">
        <v>12</v>
      </c>
      <c r="C801" s="415" t="s">
        <v>3292</v>
      </c>
      <c r="D801" s="16" t="s">
        <v>54</v>
      </c>
      <c r="E801" s="16" t="s">
        <v>2653</v>
      </c>
      <c r="F801" s="24" t="s">
        <v>66</v>
      </c>
    </row>
    <row r="802" spans="1:73" x14ac:dyDescent="0.25">
      <c r="C802" s="442" t="s">
        <v>3292</v>
      </c>
      <c r="D802" s="16" t="s">
        <v>54</v>
      </c>
      <c r="E802" s="16" t="s">
        <v>2653</v>
      </c>
      <c r="F802" s="24" t="s">
        <v>66</v>
      </c>
    </row>
    <row r="803" spans="1:73" x14ac:dyDescent="0.25">
      <c r="A803" s="447">
        <v>43553</v>
      </c>
      <c r="B803" s="184" t="s">
        <v>12</v>
      </c>
      <c r="C803" s="415" t="s">
        <v>3293</v>
      </c>
      <c r="D803" s="16" t="s">
        <v>54</v>
      </c>
      <c r="E803" s="16" t="s">
        <v>2653</v>
      </c>
      <c r="F803" s="24" t="s">
        <v>66</v>
      </c>
    </row>
    <row r="804" spans="1:73" x14ac:dyDescent="0.25">
      <c r="C804" s="442" t="s">
        <v>3293</v>
      </c>
      <c r="D804" s="16" t="s">
        <v>54</v>
      </c>
      <c r="E804" s="16" t="s">
        <v>2653</v>
      </c>
      <c r="F804" s="24" t="s">
        <v>66</v>
      </c>
    </row>
    <row r="805" spans="1:73" x14ac:dyDescent="0.25">
      <c r="A805" s="447">
        <v>43553</v>
      </c>
      <c r="B805" s="184" t="s">
        <v>12</v>
      </c>
      <c r="C805" s="415" t="s">
        <v>3294</v>
      </c>
      <c r="D805" s="16" t="s">
        <v>54</v>
      </c>
      <c r="E805" s="16" t="s">
        <v>2653</v>
      </c>
      <c r="F805" s="24" t="s">
        <v>66</v>
      </c>
    </row>
    <row r="806" spans="1:73" x14ac:dyDescent="0.25">
      <c r="A806" s="447">
        <v>43553</v>
      </c>
      <c r="B806" s="184" t="s">
        <v>12</v>
      </c>
      <c r="C806" s="415" t="s">
        <v>3295</v>
      </c>
      <c r="D806" s="16" t="s">
        <v>54</v>
      </c>
      <c r="E806" s="16" t="s">
        <v>2653</v>
      </c>
      <c r="F806" s="24" t="s">
        <v>66</v>
      </c>
    </row>
    <row r="807" spans="1:73" x14ac:dyDescent="0.25">
      <c r="A807" s="430">
        <v>43234</v>
      </c>
      <c r="B807" s="432" t="s">
        <v>12</v>
      </c>
      <c r="C807" s="416" t="s">
        <v>3152</v>
      </c>
      <c r="D807" s="16" t="s">
        <v>54</v>
      </c>
      <c r="E807" s="41" t="s">
        <v>2653</v>
      </c>
      <c r="F807" s="24" t="s">
        <v>66</v>
      </c>
    </row>
    <row r="808" spans="1:73" x14ac:dyDescent="0.25">
      <c r="A808" s="447">
        <v>43553</v>
      </c>
      <c r="B808" s="184" t="s">
        <v>12</v>
      </c>
      <c r="C808" s="415" t="s">
        <v>3296</v>
      </c>
      <c r="D808" s="16" t="s">
        <v>54</v>
      </c>
      <c r="E808" s="16" t="s">
        <v>2653</v>
      </c>
      <c r="F808" s="24" t="s">
        <v>66</v>
      </c>
    </row>
    <row r="809" spans="1:73" x14ac:dyDescent="0.25">
      <c r="A809" s="430">
        <v>43234</v>
      </c>
      <c r="B809" s="432" t="s">
        <v>12</v>
      </c>
      <c r="C809" s="416" t="s">
        <v>3153</v>
      </c>
      <c r="D809" s="16" t="s">
        <v>54</v>
      </c>
      <c r="E809" s="41" t="s">
        <v>2653</v>
      </c>
      <c r="F809" s="24" t="s">
        <v>66</v>
      </c>
    </row>
    <row r="810" spans="1:73" x14ac:dyDescent="0.25">
      <c r="A810" s="430">
        <v>43234</v>
      </c>
      <c r="B810" s="432" t="s">
        <v>12</v>
      </c>
      <c r="C810" s="416" t="s">
        <v>3154</v>
      </c>
      <c r="D810" s="16" t="s">
        <v>54</v>
      </c>
      <c r="E810" s="41" t="s">
        <v>2653</v>
      </c>
      <c r="F810" s="24" t="s">
        <v>66</v>
      </c>
    </row>
    <row r="811" spans="1:73" x14ac:dyDescent="0.25">
      <c r="A811" s="447">
        <v>43553</v>
      </c>
      <c r="B811" s="184" t="s">
        <v>12</v>
      </c>
      <c r="C811" s="415" t="s">
        <v>3297</v>
      </c>
      <c r="D811" s="16" t="s">
        <v>54</v>
      </c>
      <c r="E811" s="16" t="s">
        <v>2653</v>
      </c>
      <c r="F811" s="24" t="s">
        <v>66</v>
      </c>
    </row>
    <row r="812" spans="1:73" x14ac:dyDescent="0.25">
      <c r="A812" s="447">
        <v>43553</v>
      </c>
      <c r="B812" s="184" t="s">
        <v>12</v>
      </c>
      <c r="C812" s="415" t="s">
        <v>3298</v>
      </c>
      <c r="D812" s="16" t="s">
        <v>54</v>
      </c>
      <c r="E812" s="16" t="s">
        <v>2653</v>
      </c>
      <c r="F812" s="24" t="s">
        <v>66</v>
      </c>
    </row>
    <row r="813" spans="1:73" x14ac:dyDescent="0.25">
      <c r="A813" s="430">
        <v>43234</v>
      </c>
      <c r="B813" s="432" t="s">
        <v>12</v>
      </c>
      <c r="C813" s="416" t="s">
        <v>3155</v>
      </c>
      <c r="D813" s="16" t="s">
        <v>54</v>
      </c>
      <c r="E813" s="41" t="s">
        <v>3156</v>
      </c>
      <c r="F813" s="24" t="s">
        <v>66</v>
      </c>
    </row>
    <row r="814" spans="1:73" x14ac:dyDescent="0.25">
      <c r="A814" s="430">
        <v>43234</v>
      </c>
      <c r="B814" s="432" t="s">
        <v>12</v>
      </c>
      <c r="C814" s="367" t="s">
        <v>3157</v>
      </c>
      <c r="D814" s="16" t="s">
        <v>54</v>
      </c>
      <c r="E814" s="41" t="s">
        <v>2652</v>
      </c>
      <c r="F814" s="24" t="s">
        <v>66</v>
      </c>
      <c r="BU814" s="11"/>
    </row>
    <row r="815" spans="1:73" x14ac:dyDescent="0.25">
      <c r="A815" s="430">
        <v>43234</v>
      </c>
      <c r="B815" s="432" t="s">
        <v>12</v>
      </c>
      <c r="C815" s="416" t="s">
        <v>3158</v>
      </c>
      <c r="D815" s="16" t="s">
        <v>54</v>
      </c>
      <c r="E815" s="41" t="s">
        <v>3156</v>
      </c>
      <c r="F815" s="24" t="s">
        <v>66</v>
      </c>
    </row>
    <row r="816" spans="1:73" x14ac:dyDescent="0.25">
      <c r="A816" s="430">
        <v>43234</v>
      </c>
      <c r="B816" s="432" t="s">
        <v>12</v>
      </c>
      <c r="C816" s="416" t="s">
        <v>3159</v>
      </c>
      <c r="D816" s="16" t="s">
        <v>54</v>
      </c>
      <c r="E816" s="41" t="s">
        <v>3156</v>
      </c>
      <c r="F816" s="24" t="s">
        <v>66</v>
      </c>
    </row>
    <row r="817" spans="1:73" x14ac:dyDescent="0.25">
      <c r="A817" s="430">
        <v>43234</v>
      </c>
      <c r="B817" s="432" t="s">
        <v>12</v>
      </c>
      <c r="C817" s="416" t="s">
        <v>3160</v>
      </c>
      <c r="D817" s="16" t="s">
        <v>54</v>
      </c>
      <c r="E817" s="41" t="s">
        <v>3156</v>
      </c>
      <c r="F817" s="24" t="s">
        <v>66</v>
      </c>
    </row>
    <row r="818" spans="1:73" x14ac:dyDescent="0.25">
      <c r="C818" s="442" t="s">
        <v>3570</v>
      </c>
      <c r="D818" s="16" t="s">
        <v>54</v>
      </c>
      <c r="E818" s="16" t="s">
        <v>3571</v>
      </c>
      <c r="F818" s="24" t="s">
        <v>66</v>
      </c>
    </row>
    <row r="819" spans="1:73" x14ac:dyDescent="0.25">
      <c r="A819" s="430">
        <v>43234</v>
      </c>
      <c r="B819" s="432" t="s">
        <v>12</v>
      </c>
      <c r="C819" s="416" t="s">
        <v>3161</v>
      </c>
      <c r="D819" s="16" t="s">
        <v>54</v>
      </c>
      <c r="E819" s="41" t="s">
        <v>3162</v>
      </c>
      <c r="F819" s="24" t="s">
        <v>66</v>
      </c>
    </row>
    <row r="820" spans="1:73" x14ac:dyDescent="0.25">
      <c r="C820" s="442" t="s">
        <v>3572</v>
      </c>
      <c r="D820" s="16" t="s">
        <v>54</v>
      </c>
      <c r="E820" s="16" t="s">
        <v>3573</v>
      </c>
      <c r="F820" s="24" t="s">
        <v>66</v>
      </c>
    </row>
    <row r="821" spans="1:73" x14ac:dyDescent="0.25">
      <c r="C821" s="420" t="s">
        <v>3359</v>
      </c>
      <c r="D821" s="16" t="s">
        <v>54</v>
      </c>
      <c r="E821" s="16" t="s">
        <v>3156</v>
      </c>
      <c r="F821" s="24" t="s">
        <v>66</v>
      </c>
    </row>
    <row r="822" spans="1:73" x14ac:dyDescent="0.25">
      <c r="A822" s="430">
        <v>43234</v>
      </c>
      <c r="B822" s="432" t="s">
        <v>12</v>
      </c>
      <c r="C822" s="416" t="s">
        <v>3163</v>
      </c>
      <c r="D822" s="16" t="s">
        <v>54</v>
      </c>
      <c r="E822" s="41" t="s">
        <v>3156</v>
      </c>
      <c r="F822" s="24" t="s">
        <v>66</v>
      </c>
    </row>
    <row r="823" spans="1:73" x14ac:dyDescent="0.25">
      <c r="A823" s="430">
        <v>43234</v>
      </c>
      <c r="B823" s="432" t="s">
        <v>12</v>
      </c>
      <c r="C823" s="416" t="s">
        <v>3164</v>
      </c>
      <c r="D823" s="16" t="s">
        <v>54</v>
      </c>
      <c r="E823" s="41" t="s">
        <v>3156</v>
      </c>
      <c r="F823" s="24" t="s">
        <v>66</v>
      </c>
    </row>
    <row r="824" spans="1:73" x14ac:dyDescent="0.25">
      <c r="A824" s="430">
        <v>43234</v>
      </c>
      <c r="B824" s="432" t="s">
        <v>12</v>
      </c>
      <c r="C824" s="416" t="s">
        <v>3165</v>
      </c>
      <c r="D824" s="16" t="s">
        <v>54</v>
      </c>
      <c r="E824" s="41" t="s">
        <v>3166</v>
      </c>
      <c r="F824" s="24" t="s">
        <v>66</v>
      </c>
    </row>
    <row r="825" spans="1:73" x14ac:dyDescent="0.25">
      <c r="B825" s="4" t="s">
        <v>12</v>
      </c>
      <c r="C825" s="420" t="s">
        <v>3167</v>
      </c>
      <c r="D825" s="16" t="s">
        <v>54</v>
      </c>
      <c r="E825" s="421" t="s">
        <v>3168</v>
      </c>
      <c r="F825" s="24" t="s">
        <v>66</v>
      </c>
    </row>
    <row r="826" spans="1:73" x14ac:dyDescent="0.25">
      <c r="C826" s="442" t="s">
        <v>3574</v>
      </c>
      <c r="D826" s="16" t="s">
        <v>54</v>
      </c>
      <c r="E826" s="16" t="s">
        <v>3575</v>
      </c>
      <c r="F826" s="24" t="s">
        <v>66</v>
      </c>
    </row>
    <row r="827" spans="1:73" x14ac:dyDescent="0.25">
      <c r="A827" s="431">
        <v>41960</v>
      </c>
      <c r="B827" s="432" t="s">
        <v>12</v>
      </c>
      <c r="C827" s="429" t="s">
        <v>79</v>
      </c>
      <c r="D827" s="16" t="s">
        <v>54</v>
      </c>
      <c r="E827" s="29" t="s">
        <v>3169</v>
      </c>
      <c r="F827" s="24" t="s">
        <v>66</v>
      </c>
    </row>
    <row r="828" spans="1:73" x14ac:dyDescent="0.25">
      <c r="A828" s="14"/>
      <c r="B828" s="432" t="s">
        <v>12</v>
      </c>
      <c r="C828" s="420" t="s">
        <v>3170</v>
      </c>
      <c r="D828" s="16" t="s">
        <v>54</v>
      </c>
      <c r="E828" s="29" t="s">
        <v>2641</v>
      </c>
      <c r="F828" s="24" t="s">
        <v>66</v>
      </c>
    </row>
    <row r="829" spans="1:73" x14ac:dyDescent="0.25">
      <c r="A829" s="447">
        <v>43553</v>
      </c>
      <c r="B829" s="184" t="s">
        <v>12</v>
      </c>
      <c r="C829" s="415" t="s">
        <v>3170</v>
      </c>
      <c r="D829" s="16" t="s">
        <v>54</v>
      </c>
      <c r="E829" s="16" t="s">
        <v>2641</v>
      </c>
      <c r="F829" s="24" t="s">
        <v>66</v>
      </c>
    </row>
    <row r="830" spans="1:73" x14ac:dyDescent="0.25">
      <c r="A830" s="431">
        <v>42395</v>
      </c>
      <c r="B830" s="432" t="s">
        <v>12</v>
      </c>
      <c r="C830" s="422" t="s">
        <v>3171</v>
      </c>
      <c r="D830" s="16" t="s">
        <v>54</v>
      </c>
      <c r="E830" s="16" t="s">
        <v>438</v>
      </c>
      <c r="F830" s="24" t="s">
        <v>66</v>
      </c>
      <c r="BR830" s="11"/>
      <c r="BS830" s="11"/>
      <c r="BT830" s="11"/>
      <c r="BU830" s="11"/>
    </row>
    <row r="831" spans="1:73" x14ac:dyDescent="0.25">
      <c r="C831" s="442" t="s">
        <v>3576</v>
      </c>
      <c r="D831" s="16" t="s">
        <v>54</v>
      </c>
      <c r="E831" s="16" t="s">
        <v>3577</v>
      </c>
      <c r="F831" s="24" t="s">
        <v>66</v>
      </c>
    </row>
    <row r="832" spans="1:73" x14ac:dyDescent="0.25">
      <c r="C832" s="442" t="s">
        <v>3578</v>
      </c>
      <c r="D832" s="16" t="s">
        <v>54</v>
      </c>
      <c r="E832" s="16" t="s">
        <v>2641</v>
      </c>
      <c r="F832" s="24" t="s">
        <v>66</v>
      </c>
    </row>
    <row r="833" spans="1:73" x14ac:dyDescent="0.25">
      <c r="A833" s="447">
        <v>43553</v>
      </c>
      <c r="B833" s="184" t="s">
        <v>12</v>
      </c>
      <c r="C833" s="415" t="s">
        <v>3299</v>
      </c>
      <c r="D833" s="16" t="s">
        <v>54</v>
      </c>
      <c r="E833" s="16" t="s">
        <v>2641</v>
      </c>
      <c r="F833" s="24" t="s">
        <v>66</v>
      </c>
    </row>
    <row r="834" spans="1:73" x14ac:dyDescent="0.25">
      <c r="C834" s="442" t="s">
        <v>3579</v>
      </c>
      <c r="D834" s="16" t="s">
        <v>54</v>
      </c>
      <c r="E834" s="16" t="s">
        <v>2641</v>
      </c>
      <c r="F834" s="24" t="s">
        <v>66</v>
      </c>
    </row>
    <row r="835" spans="1:73" x14ac:dyDescent="0.25">
      <c r="C835" s="442" t="s">
        <v>3580</v>
      </c>
      <c r="D835" s="16" t="s">
        <v>54</v>
      </c>
      <c r="E835" s="16" t="s">
        <v>2641</v>
      </c>
      <c r="F835" s="24" t="s">
        <v>66</v>
      </c>
    </row>
    <row r="836" spans="1:73" x14ac:dyDescent="0.25">
      <c r="C836" s="442" t="s">
        <v>3581</v>
      </c>
      <c r="D836" s="16" t="s">
        <v>54</v>
      </c>
      <c r="E836" s="16" t="s">
        <v>2640</v>
      </c>
      <c r="F836" s="24" t="s">
        <v>66</v>
      </c>
    </row>
    <row r="837" spans="1:73" x14ac:dyDescent="0.25">
      <c r="A837" s="431">
        <v>42534</v>
      </c>
      <c r="B837" s="432" t="s">
        <v>2840</v>
      </c>
      <c r="C837" s="407" t="s">
        <v>3172</v>
      </c>
      <c r="D837" s="16" t="s">
        <v>54</v>
      </c>
      <c r="E837" s="16" t="s">
        <v>84</v>
      </c>
      <c r="F837" s="24" t="s">
        <v>66</v>
      </c>
      <c r="BS837" s="11"/>
      <c r="BT837" s="11"/>
      <c r="BU837" s="11"/>
    </row>
    <row r="838" spans="1:73" x14ac:dyDescent="0.25">
      <c r="C838" s="442" t="s">
        <v>3582</v>
      </c>
      <c r="D838" s="16" t="s">
        <v>54</v>
      </c>
      <c r="E838" s="16" t="s">
        <v>2653</v>
      </c>
      <c r="F838" s="24" t="s">
        <v>66</v>
      </c>
    </row>
    <row r="839" spans="1:73" x14ac:dyDescent="0.25">
      <c r="C839" s="442" t="s">
        <v>3583</v>
      </c>
      <c r="D839" s="16" t="s">
        <v>54</v>
      </c>
      <c r="E839" s="16" t="s">
        <v>2653</v>
      </c>
      <c r="F839" s="24" t="s">
        <v>66</v>
      </c>
    </row>
    <row r="840" spans="1:73" x14ac:dyDescent="0.25">
      <c r="C840" s="442" t="s">
        <v>3584</v>
      </c>
      <c r="D840" s="16" t="s">
        <v>54</v>
      </c>
      <c r="E840" s="16" t="s">
        <v>2641</v>
      </c>
      <c r="F840" s="24" t="s">
        <v>66</v>
      </c>
    </row>
    <row r="841" spans="1:73" x14ac:dyDescent="0.25">
      <c r="C841" s="442" t="s">
        <v>3585</v>
      </c>
      <c r="D841" s="16" t="s">
        <v>54</v>
      </c>
      <c r="E841" s="16" t="s">
        <v>2641</v>
      </c>
      <c r="F841" s="24" t="s">
        <v>66</v>
      </c>
    </row>
    <row r="842" spans="1:73" x14ac:dyDescent="0.25">
      <c r="C842" s="442" t="s">
        <v>3586</v>
      </c>
      <c r="D842" s="16" t="s">
        <v>54</v>
      </c>
      <c r="E842" s="16" t="s">
        <v>2641</v>
      </c>
      <c r="F842" s="24" t="s">
        <v>66</v>
      </c>
    </row>
    <row r="843" spans="1:73" x14ac:dyDescent="0.25">
      <c r="C843" s="442" t="s">
        <v>3587</v>
      </c>
      <c r="D843" s="16" t="s">
        <v>54</v>
      </c>
      <c r="E843" s="16" t="s">
        <v>2641</v>
      </c>
      <c r="F843" s="24" t="s">
        <v>66</v>
      </c>
    </row>
    <row r="844" spans="1:73" x14ac:dyDescent="0.25">
      <c r="A844" s="430">
        <v>43234</v>
      </c>
      <c r="B844" s="432" t="s">
        <v>12</v>
      </c>
      <c r="C844" s="416" t="s">
        <v>3173</v>
      </c>
      <c r="D844" s="16" t="s">
        <v>54</v>
      </c>
      <c r="E844" s="41" t="s">
        <v>2641</v>
      </c>
      <c r="F844" s="24" t="s">
        <v>66</v>
      </c>
    </row>
    <row r="845" spans="1:73" x14ac:dyDescent="0.25">
      <c r="A845" s="430">
        <v>43234</v>
      </c>
      <c r="B845" s="432" t="s">
        <v>12</v>
      </c>
      <c r="C845" s="416" t="s">
        <v>3174</v>
      </c>
      <c r="D845" s="16" t="s">
        <v>54</v>
      </c>
      <c r="E845" s="41" t="s">
        <v>2653</v>
      </c>
      <c r="F845" s="24" t="s">
        <v>66</v>
      </c>
    </row>
    <row r="846" spans="1:73" x14ac:dyDescent="0.25">
      <c r="A846" s="430">
        <v>43234</v>
      </c>
      <c r="B846" s="432" t="s">
        <v>12</v>
      </c>
      <c r="C846" s="416" t="s">
        <v>3175</v>
      </c>
      <c r="D846" s="16" t="s">
        <v>54</v>
      </c>
      <c r="E846" s="41" t="s">
        <v>2641</v>
      </c>
      <c r="F846" s="24" t="s">
        <v>66</v>
      </c>
    </row>
    <row r="847" spans="1:73" x14ac:dyDescent="0.25">
      <c r="C847" s="442" t="s">
        <v>3588</v>
      </c>
      <c r="D847" s="16" t="s">
        <v>54</v>
      </c>
      <c r="E847" s="16" t="s">
        <v>3589</v>
      </c>
      <c r="F847" s="24" t="s">
        <v>66</v>
      </c>
    </row>
    <row r="848" spans="1:73" x14ac:dyDescent="0.25">
      <c r="C848" s="442" t="s">
        <v>3590</v>
      </c>
      <c r="D848" s="16" t="s">
        <v>54</v>
      </c>
      <c r="E848" s="16" t="s">
        <v>2653</v>
      </c>
      <c r="F848" s="24" t="s">
        <v>66</v>
      </c>
    </row>
    <row r="849" spans="1:73" x14ac:dyDescent="0.25">
      <c r="C849" s="442" t="s">
        <v>3591</v>
      </c>
      <c r="D849" s="16" t="s">
        <v>54</v>
      </c>
      <c r="E849" s="16" t="s">
        <v>2641</v>
      </c>
      <c r="F849" s="24" t="s">
        <v>66</v>
      </c>
    </row>
    <row r="850" spans="1:73" x14ac:dyDescent="0.25">
      <c r="A850" s="430">
        <v>43234</v>
      </c>
      <c r="B850" s="432" t="s">
        <v>12</v>
      </c>
      <c r="C850" s="416" t="s">
        <v>3176</v>
      </c>
      <c r="D850" s="16" t="s">
        <v>54</v>
      </c>
      <c r="E850" s="41" t="s">
        <v>2641</v>
      </c>
      <c r="F850" s="24" t="s">
        <v>66</v>
      </c>
    </row>
    <row r="851" spans="1:73" x14ac:dyDescent="0.25">
      <c r="C851" s="442" t="s">
        <v>3592</v>
      </c>
      <c r="D851" s="16" t="s">
        <v>54</v>
      </c>
      <c r="E851" s="16" t="s">
        <v>2653</v>
      </c>
      <c r="F851" s="24" t="s">
        <v>66</v>
      </c>
    </row>
    <row r="852" spans="1:73" x14ac:dyDescent="0.25">
      <c r="C852" s="442" t="s">
        <v>3593</v>
      </c>
      <c r="D852" s="16" t="s">
        <v>54</v>
      </c>
      <c r="E852" s="16" t="s">
        <v>2653</v>
      </c>
      <c r="F852" s="24" t="s">
        <v>66</v>
      </c>
    </row>
    <row r="853" spans="1:73" x14ac:dyDescent="0.25">
      <c r="C853" s="442" t="s">
        <v>3594</v>
      </c>
      <c r="D853" s="16" t="s">
        <v>54</v>
      </c>
      <c r="E853" s="16" t="s">
        <v>2653</v>
      </c>
      <c r="F853" s="24" t="s">
        <v>66</v>
      </c>
    </row>
    <row r="854" spans="1:73" x14ac:dyDescent="0.25">
      <c r="C854" s="442" t="s">
        <v>3595</v>
      </c>
      <c r="D854" s="16" t="s">
        <v>54</v>
      </c>
      <c r="E854" s="16" t="s">
        <v>2653</v>
      </c>
      <c r="F854" s="24" t="s">
        <v>66</v>
      </c>
    </row>
    <row r="855" spans="1:73" x14ac:dyDescent="0.25">
      <c r="A855" s="14"/>
      <c r="B855" s="432" t="s">
        <v>12</v>
      </c>
      <c r="C855" s="420" t="s">
        <v>3177</v>
      </c>
      <c r="D855" s="16" t="s">
        <v>54</v>
      </c>
      <c r="E855" s="29" t="s">
        <v>2641</v>
      </c>
      <c r="F855" s="24" t="s">
        <v>66</v>
      </c>
    </row>
    <row r="856" spans="1:73" x14ac:dyDescent="0.25">
      <c r="B856" s="4" t="s">
        <v>12</v>
      </c>
      <c r="C856" s="424" t="s">
        <v>3178</v>
      </c>
      <c r="D856" s="16" t="s">
        <v>54</v>
      </c>
      <c r="E856" s="421" t="s">
        <v>2641</v>
      </c>
      <c r="F856" s="24" t="s">
        <v>66</v>
      </c>
    </row>
    <row r="857" spans="1:73" x14ac:dyDescent="0.25">
      <c r="C857" s="420" t="s">
        <v>3360</v>
      </c>
      <c r="D857" s="16" t="s">
        <v>54</v>
      </c>
      <c r="E857" s="16" t="s">
        <v>2641</v>
      </c>
      <c r="F857" s="24" t="s">
        <v>66</v>
      </c>
    </row>
    <row r="858" spans="1:73" x14ac:dyDescent="0.25">
      <c r="C858" s="442" t="s">
        <v>3596</v>
      </c>
      <c r="D858" s="16" t="s">
        <v>54</v>
      </c>
      <c r="E858" s="16" t="s">
        <v>2641</v>
      </c>
      <c r="F858" s="24" t="s">
        <v>66</v>
      </c>
    </row>
    <row r="859" spans="1:73" x14ac:dyDescent="0.25">
      <c r="C859" s="442" t="s">
        <v>3597</v>
      </c>
      <c r="D859" s="16" t="s">
        <v>54</v>
      </c>
      <c r="E859" s="16" t="s">
        <v>2641</v>
      </c>
      <c r="F859" s="24" t="s">
        <v>66</v>
      </c>
    </row>
    <row r="860" spans="1:73" x14ac:dyDescent="0.25">
      <c r="A860" s="431">
        <v>42725</v>
      </c>
      <c r="B860" s="432" t="s">
        <v>12</v>
      </c>
      <c r="C860" s="407" t="s">
        <v>3179</v>
      </c>
      <c r="D860" s="16" t="s">
        <v>54</v>
      </c>
      <c r="E860" s="41" t="s">
        <v>2641</v>
      </c>
      <c r="F860" s="24" t="s">
        <v>66</v>
      </c>
      <c r="BS860" s="11"/>
      <c r="BT860" s="11"/>
      <c r="BU860" s="11"/>
    </row>
    <row r="861" spans="1:73" x14ac:dyDescent="0.25">
      <c r="A861" s="447">
        <v>43553</v>
      </c>
      <c r="B861" s="184" t="s">
        <v>12</v>
      </c>
      <c r="C861" s="444" t="s">
        <v>3232</v>
      </c>
      <c r="D861" s="16" t="s">
        <v>54</v>
      </c>
      <c r="E861" s="16" t="s">
        <v>2641</v>
      </c>
      <c r="F861" s="24" t="s">
        <v>66</v>
      </c>
    </row>
    <row r="862" spans="1:73" x14ac:dyDescent="0.25">
      <c r="C862" s="442" t="s">
        <v>3598</v>
      </c>
      <c r="D862" s="16" t="s">
        <v>54</v>
      </c>
      <c r="E862" s="16" t="s">
        <v>2641</v>
      </c>
      <c r="F862" s="24" t="s">
        <v>66</v>
      </c>
    </row>
    <row r="863" spans="1:73" x14ac:dyDescent="0.25">
      <c r="A863" s="431">
        <v>42725</v>
      </c>
      <c r="B863" s="432" t="s">
        <v>12</v>
      </c>
      <c r="C863" s="427" t="s">
        <v>3180</v>
      </c>
      <c r="D863" s="16" t="s">
        <v>54</v>
      </c>
      <c r="E863" s="41" t="s">
        <v>2641</v>
      </c>
      <c r="F863" s="24" t="s">
        <v>66</v>
      </c>
      <c r="BS863" s="11"/>
      <c r="BT863" s="11"/>
      <c r="BU863" s="11"/>
    </row>
    <row r="864" spans="1:73" x14ac:dyDescent="0.25">
      <c r="A864" s="430">
        <v>43234</v>
      </c>
      <c r="B864" s="432" t="s">
        <v>12</v>
      </c>
      <c r="C864" s="416" t="s">
        <v>3181</v>
      </c>
      <c r="D864" s="16" t="s">
        <v>54</v>
      </c>
      <c r="E864" s="41" t="s">
        <v>2641</v>
      </c>
      <c r="F864" s="24" t="s">
        <v>66</v>
      </c>
    </row>
    <row r="865" spans="1:6" x14ac:dyDescent="0.25">
      <c r="A865" s="14"/>
      <c r="B865" s="432" t="s">
        <v>12</v>
      </c>
      <c r="C865" s="420" t="s">
        <v>3182</v>
      </c>
      <c r="D865" s="16" t="s">
        <v>54</v>
      </c>
      <c r="E865" s="29" t="s">
        <v>2641</v>
      </c>
      <c r="F865" s="24" t="s">
        <v>66</v>
      </c>
    </row>
    <row r="866" spans="1:6" x14ac:dyDescent="0.25">
      <c r="A866" s="447">
        <v>43553</v>
      </c>
      <c r="B866" s="184" t="s">
        <v>12</v>
      </c>
      <c r="C866" s="415" t="s">
        <v>3240</v>
      </c>
      <c r="D866" s="16" t="s">
        <v>54</v>
      </c>
      <c r="E866" s="16" t="s">
        <v>2641</v>
      </c>
      <c r="F866" s="24" t="s">
        <v>66</v>
      </c>
    </row>
    <row r="867" spans="1:6" x14ac:dyDescent="0.25">
      <c r="C867" s="442" t="s">
        <v>3599</v>
      </c>
      <c r="D867" s="16" t="s">
        <v>54</v>
      </c>
      <c r="E867" s="16" t="s">
        <v>2641</v>
      </c>
      <c r="F867" s="24" t="s">
        <v>66</v>
      </c>
    </row>
    <row r="868" spans="1:6" x14ac:dyDescent="0.25">
      <c r="C868" s="442" t="s">
        <v>3600</v>
      </c>
      <c r="D868" s="16" t="s">
        <v>54</v>
      </c>
      <c r="E868" s="16" t="s">
        <v>2641</v>
      </c>
      <c r="F868" s="24" t="s">
        <v>66</v>
      </c>
    </row>
    <row r="869" spans="1:6" x14ac:dyDescent="0.25">
      <c r="C869" s="442" t="s">
        <v>3601</v>
      </c>
      <c r="D869" s="16" t="s">
        <v>54</v>
      </c>
      <c r="E869" s="16" t="s">
        <v>2641</v>
      </c>
      <c r="F869" s="24" t="s">
        <v>66</v>
      </c>
    </row>
    <row r="870" spans="1:6" x14ac:dyDescent="0.25">
      <c r="C870" s="442" t="s">
        <v>3602</v>
      </c>
      <c r="D870" s="16" t="s">
        <v>54</v>
      </c>
      <c r="E870" s="16" t="s">
        <v>2653</v>
      </c>
      <c r="F870" s="24" t="s">
        <v>66</v>
      </c>
    </row>
    <row r="871" spans="1:6" x14ac:dyDescent="0.25">
      <c r="C871" s="442" t="s">
        <v>3603</v>
      </c>
      <c r="D871" s="16" t="s">
        <v>54</v>
      </c>
      <c r="E871" s="16" t="s">
        <v>2653</v>
      </c>
      <c r="F871" s="24" t="s">
        <v>66</v>
      </c>
    </row>
    <row r="872" spans="1:6" x14ac:dyDescent="0.25">
      <c r="B872" s="4" t="s">
        <v>12</v>
      </c>
      <c r="C872" s="420" t="s">
        <v>3183</v>
      </c>
      <c r="D872" s="16" t="s">
        <v>54</v>
      </c>
      <c r="E872" s="421" t="s">
        <v>2641</v>
      </c>
      <c r="F872" s="24" t="s">
        <v>66</v>
      </c>
    </row>
    <row r="873" spans="1:6" x14ac:dyDescent="0.25">
      <c r="A873" s="447">
        <v>43553</v>
      </c>
      <c r="B873" s="184" t="s">
        <v>12</v>
      </c>
      <c r="C873" s="415" t="s">
        <v>3300</v>
      </c>
      <c r="D873" s="16" t="s">
        <v>54</v>
      </c>
      <c r="E873" s="16" t="s">
        <v>2641</v>
      </c>
      <c r="F873" s="24" t="s">
        <v>66</v>
      </c>
    </row>
    <row r="874" spans="1:6" x14ac:dyDescent="0.25">
      <c r="C874" s="442" t="s">
        <v>3300</v>
      </c>
      <c r="D874" s="16" t="s">
        <v>54</v>
      </c>
      <c r="E874" s="16" t="s">
        <v>2641</v>
      </c>
      <c r="F874" s="24" t="s">
        <v>66</v>
      </c>
    </row>
    <row r="875" spans="1:6" x14ac:dyDescent="0.25">
      <c r="A875" s="430">
        <v>43234</v>
      </c>
      <c r="B875" s="432" t="s">
        <v>12</v>
      </c>
      <c r="C875" s="416" t="s">
        <v>3184</v>
      </c>
      <c r="D875" s="16" t="s">
        <v>54</v>
      </c>
      <c r="E875" s="41" t="s">
        <v>2641</v>
      </c>
      <c r="F875" s="24" t="s">
        <v>66</v>
      </c>
    </row>
    <row r="876" spans="1:6" x14ac:dyDescent="0.25">
      <c r="A876" s="430">
        <v>43234</v>
      </c>
      <c r="B876" s="432" t="s">
        <v>12</v>
      </c>
      <c r="C876" s="416" t="s">
        <v>3185</v>
      </c>
      <c r="D876" s="16" t="s">
        <v>54</v>
      </c>
      <c r="E876" s="41" t="s">
        <v>2641</v>
      </c>
      <c r="F876" s="24" t="s">
        <v>66</v>
      </c>
    </row>
    <row r="877" spans="1:6" x14ac:dyDescent="0.25">
      <c r="C877" s="442" t="s">
        <v>3604</v>
      </c>
      <c r="D877" s="16" t="s">
        <v>54</v>
      </c>
      <c r="E877" s="16" t="s">
        <v>2653</v>
      </c>
      <c r="F877" s="24" t="s">
        <v>66</v>
      </c>
    </row>
    <row r="878" spans="1:6" x14ac:dyDescent="0.25">
      <c r="A878" s="430">
        <v>43234</v>
      </c>
      <c r="B878" s="432" t="s">
        <v>12</v>
      </c>
      <c r="C878" s="416" t="s">
        <v>3186</v>
      </c>
      <c r="D878" s="16" t="s">
        <v>54</v>
      </c>
      <c r="E878" s="41" t="s">
        <v>2641</v>
      </c>
      <c r="F878" s="24" t="s">
        <v>66</v>
      </c>
    </row>
    <row r="879" spans="1:6" x14ac:dyDescent="0.25">
      <c r="C879" s="442" t="s">
        <v>3605</v>
      </c>
      <c r="D879" s="16" t="s">
        <v>54</v>
      </c>
      <c r="E879" s="16" t="s">
        <v>2641</v>
      </c>
      <c r="F879" s="24" t="s">
        <v>66</v>
      </c>
    </row>
    <row r="880" spans="1:6" x14ac:dyDescent="0.25">
      <c r="A880" s="447">
        <v>43553</v>
      </c>
      <c r="B880" s="184" t="s">
        <v>12</v>
      </c>
      <c r="C880" s="444" t="s">
        <v>3301</v>
      </c>
      <c r="D880" s="16" t="s">
        <v>54</v>
      </c>
      <c r="E880" s="16" t="s">
        <v>2641</v>
      </c>
      <c r="F880" s="24" t="s">
        <v>66</v>
      </c>
    </row>
    <row r="881" spans="1:73" x14ac:dyDescent="0.25">
      <c r="C881" s="442" t="s">
        <v>3301</v>
      </c>
      <c r="D881" s="16" t="s">
        <v>54</v>
      </c>
      <c r="E881" s="16" t="s">
        <v>2641</v>
      </c>
      <c r="F881" s="24" t="s">
        <v>66</v>
      </c>
    </row>
    <row r="882" spans="1:73" x14ac:dyDescent="0.25">
      <c r="C882" s="442" t="s">
        <v>3606</v>
      </c>
      <c r="D882" s="16" t="s">
        <v>54</v>
      </c>
      <c r="E882" s="16" t="s">
        <v>2653</v>
      </c>
      <c r="F882" s="24" t="s">
        <v>66</v>
      </c>
    </row>
    <row r="883" spans="1:73" x14ac:dyDescent="0.25">
      <c r="A883" s="447">
        <v>43553</v>
      </c>
      <c r="B883" s="184" t="s">
        <v>12</v>
      </c>
      <c r="C883" s="415" t="s">
        <v>3302</v>
      </c>
      <c r="D883" s="16" t="s">
        <v>54</v>
      </c>
      <c r="E883" s="16" t="s">
        <v>2641</v>
      </c>
      <c r="F883" s="24" t="s">
        <v>66</v>
      </c>
    </row>
    <row r="884" spans="1:73" x14ac:dyDescent="0.25">
      <c r="A884" s="447">
        <v>43553</v>
      </c>
      <c r="B884" s="184" t="s">
        <v>12</v>
      </c>
      <c r="C884" s="415" t="s">
        <v>3303</v>
      </c>
      <c r="D884" s="16" t="s">
        <v>54</v>
      </c>
      <c r="E884" s="16" t="s">
        <v>2641</v>
      </c>
      <c r="F884" s="24" t="s">
        <v>66</v>
      </c>
    </row>
    <row r="885" spans="1:73" x14ac:dyDescent="0.25">
      <c r="C885" s="442" t="s">
        <v>3303</v>
      </c>
      <c r="D885" s="16" t="s">
        <v>54</v>
      </c>
      <c r="E885" s="16" t="s">
        <v>2641</v>
      </c>
      <c r="F885" s="24" t="s">
        <v>66</v>
      </c>
    </row>
    <row r="886" spans="1:73" x14ac:dyDescent="0.25">
      <c r="A886" s="431">
        <v>42725</v>
      </c>
      <c r="B886" s="432" t="s">
        <v>12</v>
      </c>
      <c r="C886" s="427" t="s">
        <v>3187</v>
      </c>
      <c r="D886" s="16" t="s">
        <v>54</v>
      </c>
      <c r="E886" s="41" t="s">
        <v>2641</v>
      </c>
      <c r="F886" s="24" t="s">
        <v>66</v>
      </c>
      <c r="BS886" s="11"/>
      <c r="BT886" s="11"/>
      <c r="BU886" s="11"/>
    </row>
    <row r="887" spans="1:73" x14ac:dyDescent="0.25">
      <c r="A887" s="433">
        <v>43035</v>
      </c>
      <c r="B887" s="432" t="s">
        <v>12</v>
      </c>
      <c r="C887" s="419" t="s">
        <v>3188</v>
      </c>
      <c r="D887" s="16" t="s">
        <v>54</v>
      </c>
      <c r="E887" s="41" t="s">
        <v>2641</v>
      </c>
      <c r="F887" s="24" t="s">
        <v>66</v>
      </c>
      <c r="BU887" s="11"/>
    </row>
    <row r="888" spans="1:73" x14ac:dyDescent="0.25">
      <c r="A888" s="430">
        <v>43234</v>
      </c>
      <c r="B888" s="432" t="s">
        <v>12</v>
      </c>
      <c r="C888" s="416" t="s">
        <v>3189</v>
      </c>
      <c r="D888" s="16" t="s">
        <v>54</v>
      </c>
      <c r="E888" s="41" t="s">
        <v>3190</v>
      </c>
      <c r="F888" s="24" t="s">
        <v>66</v>
      </c>
    </row>
    <row r="889" spans="1:73" x14ac:dyDescent="0.25">
      <c r="A889" s="14"/>
      <c r="B889" s="432" t="s">
        <v>12</v>
      </c>
      <c r="C889" s="420" t="s">
        <v>3191</v>
      </c>
      <c r="D889" s="16" t="s">
        <v>54</v>
      </c>
      <c r="E889" s="29" t="s">
        <v>2641</v>
      </c>
      <c r="F889" s="24" t="s">
        <v>66</v>
      </c>
    </row>
    <row r="890" spans="1:73" x14ac:dyDescent="0.25">
      <c r="A890" s="433">
        <v>42888</v>
      </c>
      <c r="B890" s="432" t="s">
        <v>12</v>
      </c>
      <c r="C890" s="428" t="s">
        <v>3192</v>
      </c>
      <c r="D890" s="16" t="s">
        <v>54</v>
      </c>
      <c r="E890" s="41" t="s">
        <v>2641</v>
      </c>
      <c r="F890" s="24" t="s">
        <v>66</v>
      </c>
      <c r="BU890" s="11"/>
    </row>
    <row r="891" spans="1:73" x14ac:dyDescent="0.25">
      <c r="A891" s="14"/>
      <c r="B891" s="432" t="s">
        <v>12</v>
      </c>
      <c r="C891" s="420" t="s">
        <v>3193</v>
      </c>
      <c r="D891" s="222" t="s">
        <v>54</v>
      </c>
      <c r="E891" s="29" t="s">
        <v>2641</v>
      </c>
      <c r="F891" s="24" t="s">
        <v>66</v>
      </c>
    </row>
    <row r="892" spans="1:73" x14ac:dyDescent="0.25">
      <c r="A892" s="431">
        <v>42629</v>
      </c>
      <c r="B892" s="432" t="s">
        <v>12</v>
      </c>
      <c r="C892" s="407" t="s">
        <v>3194</v>
      </c>
      <c r="D892" s="16" t="s">
        <v>105</v>
      </c>
      <c r="E892" s="16" t="s">
        <v>3195</v>
      </c>
      <c r="F892" s="24" t="s">
        <v>66</v>
      </c>
      <c r="BS892" s="11"/>
      <c r="BT892" s="11"/>
      <c r="BU892" s="11"/>
    </row>
    <row r="893" spans="1:73" x14ac:dyDescent="0.25">
      <c r="C893" s="442" t="s">
        <v>3607</v>
      </c>
      <c r="D893" s="16" t="s">
        <v>105</v>
      </c>
      <c r="E893" s="16" t="s">
        <v>3195</v>
      </c>
      <c r="F893" s="24" t="s">
        <v>66</v>
      </c>
    </row>
    <row r="894" spans="1:73" x14ac:dyDescent="0.25">
      <c r="A894" s="431">
        <v>42629</v>
      </c>
      <c r="B894" s="432" t="s">
        <v>12</v>
      </c>
      <c r="C894" s="407" t="s">
        <v>3196</v>
      </c>
      <c r="D894" s="16" t="s">
        <v>105</v>
      </c>
      <c r="E894" s="16" t="s">
        <v>3195</v>
      </c>
      <c r="F894" s="24" t="s">
        <v>66</v>
      </c>
      <c r="BS894" s="11"/>
      <c r="BT894" s="11"/>
      <c r="BU894" s="11"/>
    </row>
    <row r="895" spans="1:73" x14ac:dyDescent="0.25">
      <c r="C895" s="442" t="s">
        <v>3608</v>
      </c>
      <c r="D895" s="16" t="s">
        <v>105</v>
      </c>
      <c r="E895" s="16" t="s">
        <v>2640</v>
      </c>
      <c r="F895" s="24" t="s">
        <v>66</v>
      </c>
    </row>
    <row r="896" spans="1:73" x14ac:dyDescent="0.25">
      <c r="C896" s="442" t="s">
        <v>3608</v>
      </c>
      <c r="D896" s="16" t="s">
        <v>105</v>
      </c>
      <c r="E896" s="16" t="s">
        <v>2640</v>
      </c>
      <c r="F896" s="24" t="s">
        <v>66</v>
      </c>
    </row>
    <row r="897" spans="1:73" x14ac:dyDescent="0.25">
      <c r="A897" s="433">
        <v>43035</v>
      </c>
      <c r="B897" s="432" t="s">
        <v>12</v>
      </c>
      <c r="C897" s="419" t="s">
        <v>3197</v>
      </c>
      <c r="D897" s="16" t="s">
        <v>54</v>
      </c>
      <c r="E897" s="41" t="s">
        <v>2640</v>
      </c>
      <c r="F897" s="24" t="s">
        <v>66</v>
      </c>
      <c r="BU897" s="11"/>
    </row>
    <row r="898" spans="1:73" x14ac:dyDescent="0.25">
      <c r="C898" s="442" t="s">
        <v>685</v>
      </c>
      <c r="D898" s="16" t="s">
        <v>105</v>
      </c>
      <c r="E898" s="16" t="s">
        <v>2640</v>
      </c>
      <c r="F898" s="24" t="s">
        <v>66</v>
      </c>
    </row>
    <row r="899" spans="1:73" x14ac:dyDescent="0.25">
      <c r="A899" s="14"/>
      <c r="B899" s="432" t="s">
        <v>12</v>
      </c>
      <c r="C899" s="420" t="s">
        <v>3198</v>
      </c>
      <c r="D899" s="222" t="s">
        <v>3199</v>
      </c>
      <c r="E899" s="29" t="s">
        <v>3200</v>
      </c>
      <c r="F899" s="24" t="s">
        <v>66</v>
      </c>
    </row>
    <row r="900" spans="1:73" x14ac:dyDescent="0.25">
      <c r="C900" s="442" t="s">
        <v>3609</v>
      </c>
      <c r="D900" s="16" t="s">
        <v>105</v>
      </c>
      <c r="E900" s="16" t="s">
        <v>2640</v>
      </c>
      <c r="F900" s="24" t="s">
        <v>66</v>
      </c>
    </row>
    <row r="901" spans="1:73" x14ac:dyDescent="0.25">
      <c r="C901" s="442" t="s">
        <v>3610</v>
      </c>
      <c r="D901" s="16" t="s">
        <v>105</v>
      </c>
      <c r="E901" s="16" t="s">
        <v>2640</v>
      </c>
      <c r="F901" s="24" t="s">
        <v>66</v>
      </c>
    </row>
    <row r="902" spans="1:73" x14ac:dyDescent="0.25">
      <c r="C902" s="442" t="s">
        <v>3611</v>
      </c>
      <c r="D902" s="16" t="s">
        <v>105</v>
      </c>
      <c r="E902" s="16" t="s">
        <v>2640</v>
      </c>
      <c r="F902" s="24" t="s">
        <v>66</v>
      </c>
    </row>
    <row r="903" spans="1:73" x14ac:dyDescent="0.25">
      <c r="C903" s="442" t="s">
        <v>676</v>
      </c>
      <c r="D903" s="16" t="s">
        <v>105</v>
      </c>
      <c r="E903" s="16" t="s">
        <v>84</v>
      </c>
      <c r="F903" s="24" t="s">
        <v>66</v>
      </c>
    </row>
    <row r="904" spans="1:73" x14ac:dyDescent="0.25">
      <c r="C904" s="442" t="s">
        <v>3612</v>
      </c>
      <c r="D904" s="16" t="s">
        <v>105</v>
      </c>
      <c r="E904" s="16" t="s">
        <v>3202</v>
      </c>
      <c r="F904" s="24" t="s">
        <v>66</v>
      </c>
    </row>
    <row r="905" spans="1:73" x14ac:dyDescent="0.25">
      <c r="C905" s="442" t="s">
        <v>3613</v>
      </c>
      <c r="D905" s="16" t="s">
        <v>105</v>
      </c>
      <c r="E905" s="16" t="s">
        <v>3202</v>
      </c>
      <c r="F905" s="24" t="s">
        <v>66</v>
      </c>
    </row>
    <row r="906" spans="1:73" x14ac:dyDescent="0.25">
      <c r="A906" s="14"/>
      <c r="B906" s="432" t="s">
        <v>12</v>
      </c>
      <c r="C906" s="420" t="s">
        <v>3201</v>
      </c>
      <c r="D906" s="16" t="s">
        <v>105</v>
      </c>
      <c r="E906" s="29" t="s">
        <v>3202</v>
      </c>
      <c r="F906" s="24" t="s">
        <v>66</v>
      </c>
    </row>
    <row r="907" spans="1:73" x14ac:dyDescent="0.25">
      <c r="C907" s="442" t="s">
        <v>3614</v>
      </c>
      <c r="D907" s="16" t="s">
        <v>105</v>
      </c>
      <c r="E907" s="16" t="s">
        <v>3202</v>
      </c>
      <c r="F907" s="24" t="s">
        <v>66</v>
      </c>
    </row>
    <row r="908" spans="1:73" x14ac:dyDescent="0.25">
      <c r="C908" s="442" t="s">
        <v>3615</v>
      </c>
      <c r="D908" s="16" t="s">
        <v>105</v>
      </c>
      <c r="E908" s="16" t="s">
        <v>3202</v>
      </c>
      <c r="F908" s="24" t="s">
        <v>66</v>
      </c>
    </row>
    <row r="909" spans="1:73" x14ac:dyDescent="0.25">
      <c r="C909" s="442" t="s">
        <v>3616</v>
      </c>
      <c r="D909" s="16" t="s">
        <v>105</v>
      </c>
      <c r="E909" s="16" t="s">
        <v>3202</v>
      </c>
      <c r="F909" s="24" t="s">
        <v>66</v>
      </c>
    </row>
    <row r="910" spans="1:73" x14ac:dyDescent="0.25">
      <c r="C910" s="442" t="s">
        <v>3617</v>
      </c>
      <c r="D910" s="16" t="s">
        <v>105</v>
      </c>
      <c r="E910" s="16" t="s">
        <v>3202</v>
      </c>
      <c r="F910" s="24" t="s">
        <v>66</v>
      </c>
    </row>
    <row r="911" spans="1:73" x14ac:dyDescent="0.25">
      <c r="C911" s="442" t="s">
        <v>3618</v>
      </c>
      <c r="D911" s="16" t="s">
        <v>105</v>
      </c>
      <c r="E911" s="16" t="s">
        <v>3202</v>
      </c>
      <c r="F911" s="24" t="s">
        <v>66</v>
      </c>
    </row>
    <row r="912" spans="1:73" x14ac:dyDescent="0.25">
      <c r="C912" s="442" t="s">
        <v>3619</v>
      </c>
      <c r="D912" s="16" t="s">
        <v>105</v>
      </c>
      <c r="E912" s="16" t="s">
        <v>3202</v>
      </c>
      <c r="F912" s="24" t="s">
        <v>66</v>
      </c>
    </row>
    <row r="913" spans="1:6" x14ac:dyDescent="0.25">
      <c r="C913" s="442" t="s">
        <v>3620</v>
      </c>
      <c r="D913" s="16" t="s">
        <v>105</v>
      </c>
      <c r="E913" s="16" t="s">
        <v>3202</v>
      </c>
      <c r="F913" s="24" t="s">
        <v>66</v>
      </c>
    </row>
    <row r="914" spans="1:6" x14ac:dyDescent="0.25">
      <c r="C914" s="442" t="s">
        <v>3621</v>
      </c>
      <c r="D914" s="16" t="s">
        <v>105</v>
      </c>
      <c r="E914" s="16" t="s">
        <v>3202</v>
      </c>
      <c r="F914" s="24" t="s">
        <v>66</v>
      </c>
    </row>
    <row r="915" spans="1:6" x14ac:dyDescent="0.25">
      <c r="C915" s="442" t="s">
        <v>3622</v>
      </c>
      <c r="D915" s="16" t="s">
        <v>105</v>
      </c>
      <c r="E915" s="16" t="s">
        <v>3202</v>
      </c>
      <c r="F915" s="24" t="s">
        <v>66</v>
      </c>
    </row>
    <row r="916" spans="1:6" x14ac:dyDescent="0.25">
      <c r="C916" s="442" t="s">
        <v>3623</v>
      </c>
      <c r="D916" s="16" t="s">
        <v>105</v>
      </c>
      <c r="E916" s="16" t="s">
        <v>3202</v>
      </c>
      <c r="F916" s="24" t="s">
        <v>66</v>
      </c>
    </row>
    <row r="917" spans="1:6" x14ac:dyDescent="0.25">
      <c r="C917" s="442" t="s">
        <v>3624</v>
      </c>
      <c r="D917" s="16" t="s">
        <v>105</v>
      </c>
      <c r="E917" s="16" t="s">
        <v>3202</v>
      </c>
      <c r="F917" s="24" t="s">
        <v>66</v>
      </c>
    </row>
    <row r="918" spans="1:6" x14ac:dyDescent="0.25">
      <c r="C918" s="442" t="s">
        <v>3625</v>
      </c>
      <c r="D918" s="16" t="s">
        <v>105</v>
      </c>
      <c r="E918" s="16" t="s">
        <v>3202</v>
      </c>
      <c r="F918" s="24" t="s">
        <v>66</v>
      </c>
    </row>
    <row r="919" spans="1:6" x14ac:dyDescent="0.25">
      <c r="C919" s="442" t="s">
        <v>3626</v>
      </c>
      <c r="D919" s="16" t="s">
        <v>105</v>
      </c>
      <c r="E919" s="16" t="s">
        <v>3202</v>
      </c>
      <c r="F919" s="24" t="s">
        <v>66</v>
      </c>
    </row>
    <row r="920" spans="1:6" x14ac:dyDescent="0.25">
      <c r="C920" s="442" t="s">
        <v>3627</v>
      </c>
      <c r="D920" s="16" t="s">
        <v>105</v>
      </c>
      <c r="E920" s="16" t="s">
        <v>3202</v>
      </c>
      <c r="F920" s="24" t="s">
        <v>66</v>
      </c>
    </row>
    <row r="921" spans="1:6" x14ac:dyDescent="0.25">
      <c r="C921" s="442" t="s">
        <v>3628</v>
      </c>
      <c r="D921" s="16" t="s">
        <v>105</v>
      </c>
      <c r="E921" s="16" t="s">
        <v>3202</v>
      </c>
      <c r="F921" s="24" t="s">
        <v>66</v>
      </c>
    </row>
    <row r="922" spans="1:6" x14ac:dyDescent="0.25">
      <c r="A922" s="430">
        <v>43234</v>
      </c>
      <c r="B922" s="432" t="s">
        <v>12</v>
      </c>
      <c r="C922" s="416" t="s">
        <v>3203</v>
      </c>
      <c r="D922" s="16" t="s">
        <v>105</v>
      </c>
      <c r="E922" s="41" t="s">
        <v>3202</v>
      </c>
      <c r="F922" s="24" t="s">
        <v>66</v>
      </c>
    </row>
    <row r="923" spans="1:6" x14ac:dyDescent="0.25">
      <c r="A923" s="14"/>
      <c r="B923" s="432" t="s">
        <v>12</v>
      </c>
      <c r="C923" s="420" t="s">
        <v>3204</v>
      </c>
      <c r="D923" s="16" t="s">
        <v>105</v>
      </c>
      <c r="E923" s="29" t="s">
        <v>3202</v>
      </c>
      <c r="F923" s="24" t="s">
        <v>66</v>
      </c>
    </row>
    <row r="924" spans="1:6" x14ac:dyDescent="0.25">
      <c r="C924" s="442" t="s">
        <v>3629</v>
      </c>
      <c r="D924" s="16" t="s">
        <v>105</v>
      </c>
      <c r="E924" s="16" t="s">
        <v>3202</v>
      </c>
      <c r="F924" s="24" t="s">
        <v>66</v>
      </c>
    </row>
    <row r="925" spans="1:6" x14ac:dyDescent="0.25">
      <c r="C925" s="420" t="s">
        <v>3361</v>
      </c>
      <c r="D925" s="16" t="s">
        <v>54</v>
      </c>
      <c r="E925" s="16" t="s">
        <v>3362</v>
      </c>
      <c r="F925" s="24" t="s">
        <v>66</v>
      </c>
    </row>
    <row r="926" spans="1:6" x14ac:dyDescent="0.25">
      <c r="C926" s="442" t="s">
        <v>3644</v>
      </c>
      <c r="D926" s="131" t="s">
        <v>54</v>
      </c>
      <c r="E926" s="79" t="s">
        <v>71</v>
      </c>
      <c r="F926" s="24" t="s">
        <v>66</v>
      </c>
    </row>
    <row r="927" spans="1:6" x14ac:dyDescent="0.25">
      <c r="C927" s="442" t="s">
        <v>3645</v>
      </c>
      <c r="D927" s="131" t="s">
        <v>54</v>
      </c>
      <c r="E927" s="79" t="s">
        <v>71</v>
      </c>
      <c r="F927" s="24" t="s">
        <v>66</v>
      </c>
    </row>
    <row r="928" spans="1:6" x14ac:dyDescent="0.25">
      <c r="C928" s="442" t="s">
        <v>3646</v>
      </c>
      <c r="D928" s="131" t="s">
        <v>54</v>
      </c>
      <c r="E928" s="79" t="s">
        <v>2652</v>
      </c>
      <c r="F928" s="24" t="s">
        <v>66</v>
      </c>
    </row>
    <row r="929" spans="3:6" x14ac:dyDescent="0.25">
      <c r="C929" s="442" t="s">
        <v>3647</v>
      </c>
      <c r="D929" s="131" t="s">
        <v>54</v>
      </c>
      <c r="E929" s="79" t="s">
        <v>71</v>
      </c>
      <c r="F929" s="24" t="s">
        <v>66</v>
      </c>
    </row>
    <row r="930" spans="3:6" x14ac:dyDescent="0.25">
      <c r="C930" s="442" t="s">
        <v>3648</v>
      </c>
      <c r="D930" s="131" t="s">
        <v>54</v>
      </c>
      <c r="E930" s="79" t="s">
        <v>3649</v>
      </c>
      <c r="F930" s="24" t="s">
        <v>66</v>
      </c>
    </row>
    <row r="931" spans="3:6" x14ac:dyDescent="0.25">
      <c r="C931" s="442" t="s">
        <v>3650</v>
      </c>
      <c r="D931" s="131" t="s">
        <v>54</v>
      </c>
      <c r="E931" s="79" t="s">
        <v>84</v>
      </c>
      <c r="F931" s="24" t="s">
        <v>66</v>
      </c>
    </row>
    <row r="932" spans="3:6" x14ac:dyDescent="0.25">
      <c r="C932" s="442" t="s">
        <v>3651</v>
      </c>
      <c r="D932" s="131" t="s">
        <v>54</v>
      </c>
      <c r="E932" s="79" t="s">
        <v>59</v>
      </c>
      <c r="F932" s="24" t="s">
        <v>66</v>
      </c>
    </row>
    <row r="933" spans="3:6" x14ac:dyDescent="0.25">
      <c r="C933" s="442" t="s">
        <v>3652</v>
      </c>
      <c r="D933" s="131" t="s">
        <v>54</v>
      </c>
      <c r="E933" s="79" t="s">
        <v>59</v>
      </c>
      <c r="F933" s="24" t="s">
        <v>66</v>
      </c>
    </row>
    <row r="934" spans="3:6" x14ac:dyDescent="0.25">
      <c r="C934" s="442" t="s">
        <v>3653</v>
      </c>
      <c r="D934" s="131" t="s">
        <v>54</v>
      </c>
      <c r="E934" s="79" t="s">
        <v>71</v>
      </c>
      <c r="F934" s="24" t="s">
        <v>66</v>
      </c>
    </row>
    <row r="935" spans="3:6" x14ac:dyDescent="0.25">
      <c r="C935" s="442" t="s">
        <v>3654</v>
      </c>
      <c r="D935" s="131" t="s">
        <v>54</v>
      </c>
      <c r="E935" s="79" t="s">
        <v>71</v>
      </c>
      <c r="F935" s="24" t="s">
        <v>66</v>
      </c>
    </row>
    <row r="936" spans="3:6" x14ac:dyDescent="0.25">
      <c r="C936" s="442" t="s">
        <v>3341</v>
      </c>
      <c r="D936" s="131" t="s">
        <v>54</v>
      </c>
      <c r="E936" s="79" t="s">
        <v>71</v>
      </c>
      <c r="F936" s="24" t="s">
        <v>66</v>
      </c>
    </row>
    <row r="937" spans="3:6" x14ac:dyDescent="0.25">
      <c r="C937" s="442" t="s">
        <v>3655</v>
      </c>
      <c r="D937" s="131" t="s">
        <v>54</v>
      </c>
      <c r="E937" s="79" t="s">
        <v>71</v>
      </c>
      <c r="F937" s="24" t="s">
        <v>66</v>
      </c>
    </row>
    <row r="938" spans="3:6" x14ac:dyDescent="0.25">
      <c r="C938" s="442" t="s">
        <v>3656</v>
      </c>
      <c r="D938" s="131" t="s">
        <v>54</v>
      </c>
      <c r="E938" s="79" t="s">
        <v>71</v>
      </c>
      <c r="F938" s="24" t="s">
        <v>66</v>
      </c>
    </row>
    <row r="939" spans="3:6" x14ac:dyDescent="0.25">
      <c r="C939" s="442" t="s">
        <v>3657</v>
      </c>
      <c r="D939" s="131" t="s">
        <v>54</v>
      </c>
      <c r="E939" s="79" t="s">
        <v>71</v>
      </c>
      <c r="F939" s="24" t="s">
        <v>66</v>
      </c>
    </row>
    <row r="940" spans="3:6" x14ac:dyDescent="0.25">
      <c r="C940" s="442" t="s">
        <v>3658</v>
      </c>
      <c r="D940" s="131" t="s">
        <v>54</v>
      </c>
      <c r="E940" s="79" t="s">
        <v>71</v>
      </c>
      <c r="F940" s="24" t="s">
        <v>66</v>
      </c>
    </row>
    <row r="941" spans="3:6" x14ac:dyDescent="0.25">
      <c r="C941" s="442" t="s">
        <v>3659</v>
      </c>
      <c r="D941" s="131" t="s">
        <v>54</v>
      </c>
      <c r="E941" s="79" t="s">
        <v>84</v>
      </c>
      <c r="F941" s="24" t="s">
        <v>66</v>
      </c>
    </row>
    <row r="942" spans="3:6" x14ac:dyDescent="0.25">
      <c r="C942" s="442" t="s">
        <v>3660</v>
      </c>
      <c r="D942" s="131" t="s">
        <v>54</v>
      </c>
      <c r="E942" s="79" t="s">
        <v>59</v>
      </c>
      <c r="F942" s="24" t="s">
        <v>66</v>
      </c>
    </row>
    <row r="943" spans="3:6" x14ac:dyDescent="0.25">
      <c r="C943" s="442" t="s">
        <v>3661</v>
      </c>
      <c r="D943" s="131" t="s">
        <v>54</v>
      </c>
      <c r="E943" s="79" t="s">
        <v>71</v>
      </c>
      <c r="F943" s="24" t="s">
        <v>66</v>
      </c>
    </row>
    <row r="944" spans="3:6" x14ac:dyDescent="0.25">
      <c r="C944" s="442" t="s">
        <v>3662</v>
      </c>
      <c r="D944" s="131" t="s">
        <v>54</v>
      </c>
      <c r="E944" s="79" t="s">
        <v>71</v>
      </c>
      <c r="F944" s="24" t="s">
        <v>66</v>
      </c>
    </row>
    <row r="945" spans="3:6" x14ac:dyDescent="0.25">
      <c r="C945" s="442" t="s">
        <v>3663</v>
      </c>
      <c r="D945" s="131" t="s">
        <v>54</v>
      </c>
      <c r="E945" s="79" t="s">
        <v>71</v>
      </c>
      <c r="F945" s="24" t="s">
        <v>66</v>
      </c>
    </row>
    <row r="946" spans="3:6" x14ac:dyDescent="0.25">
      <c r="C946" s="442" t="s">
        <v>3664</v>
      </c>
      <c r="D946" s="131" t="s">
        <v>54</v>
      </c>
      <c r="E946" s="79" t="s">
        <v>84</v>
      </c>
      <c r="F946" s="24" t="s">
        <v>66</v>
      </c>
    </row>
    <row r="947" spans="3:6" x14ac:dyDescent="0.25">
      <c r="C947" s="442" t="s">
        <v>3665</v>
      </c>
      <c r="D947" s="131" t="s">
        <v>54</v>
      </c>
      <c r="E947" s="79" t="s">
        <v>71</v>
      </c>
      <c r="F947" s="24" t="s">
        <v>66</v>
      </c>
    </row>
    <row r="948" spans="3:6" x14ac:dyDescent="0.25">
      <c r="C948" s="442" t="s">
        <v>3666</v>
      </c>
      <c r="D948" s="470" t="s">
        <v>54</v>
      </c>
      <c r="E948" s="79" t="s">
        <v>71</v>
      </c>
      <c r="F948" s="24" t="s">
        <v>66</v>
      </c>
    </row>
    <row r="949" spans="3:6" x14ac:dyDescent="0.25">
      <c r="C949" s="442" t="s">
        <v>3345</v>
      </c>
      <c r="D949" s="470" t="s">
        <v>54</v>
      </c>
      <c r="E949" s="79" t="s">
        <v>71</v>
      </c>
      <c r="F949" s="24" t="s">
        <v>66</v>
      </c>
    </row>
    <row r="950" spans="3:6" x14ac:dyDescent="0.25">
      <c r="C950" s="442" t="s">
        <v>3667</v>
      </c>
      <c r="D950" s="470" t="s">
        <v>54</v>
      </c>
      <c r="E950" s="79" t="s">
        <v>71</v>
      </c>
      <c r="F950" s="24" t="s">
        <v>66</v>
      </c>
    </row>
    <row r="951" spans="3:6" x14ac:dyDescent="0.25">
      <c r="C951" s="442" t="s">
        <v>3668</v>
      </c>
      <c r="D951" s="470" t="s">
        <v>54</v>
      </c>
      <c r="E951" s="79" t="s">
        <v>59</v>
      </c>
      <c r="F951" s="24" t="s">
        <v>66</v>
      </c>
    </row>
    <row r="952" spans="3:6" x14ac:dyDescent="0.25">
      <c r="C952" s="442" t="s">
        <v>3669</v>
      </c>
      <c r="D952" s="470" t="s">
        <v>54</v>
      </c>
      <c r="E952" s="79" t="s">
        <v>59</v>
      </c>
      <c r="F952" s="24" t="s">
        <v>66</v>
      </c>
    </row>
    <row r="953" spans="3:6" x14ac:dyDescent="0.25">
      <c r="C953" s="442" t="s">
        <v>3670</v>
      </c>
      <c r="D953" s="470" t="s">
        <v>54</v>
      </c>
      <c r="E953" s="79" t="s">
        <v>59</v>
      </c>
      <c r="F953" s="24" t="s">
        <v>66</v>
      </c>
    </row>
    <row r="954" spans="3:6" x14ac:dyDescent="0.25">
      <c r="C954" s="442" t="s">
        <v>3671</v>
      </c>
      <c r="D954" s="470" t="s">
        <v>54</v>
      </c>
      <c r="E954" s="79" t="s">
        <v>71</v>
      </c>
      <c r="F954" s="24" t="s">
        <v>66</v>
      </c>
    </row>
    <row r="955" spans="3:6" x14ac:dyDescent="0.25">
      <c r="C955" s="419" t="s">
        <v>3703</v>
      </c>
      <c r="D955" s="470" t="s">
        <v>54</v>
      </c>
      <c r="E955" s="226" t="s">
        <v>951</v>
      </c>
      <c r="F955" s="24" t="s">
        <v>66</v>
      </c>
    </row>
    <row r="956" spans="3:6" x14ac:dyDescent="0.25">
      <c r="C956" s="419" t="s">
        <v>3704</v>
      </c>
      <c r="D956" s="222" t="s">
        <v>105</v>
      </c>
      <c r="E956" s="226" t="s">
        <v>951</v>
      </c>
      <c r="F956" s="24" t="s">
        <v>66</v>
      </c>
    </row>
    <row r="957" spans="3:6" x14ac:dyDescent="0.25">
      <c r="C957" s="420" t="s">
        <v>3705</v>
      </c>
      <c r="D957" s="470" t="s">
        <v>54</v>
      </c>
      <c r="E957" s="226" t="s">
        <v>3706</v>
      </c>
      <c r="F957" s="24" t="s">
        <v>66</v>
      </c>
    </row>
    <row r="958" spans="3:6" x14ac:dyDescent="0.25">
      <c r="C958" s="419" t="s">
        <v>3707</v>
      </c>
      <c r="D958" s="470" t="s">
        <v>54</v>
      </c>
      <c r="E958" s="226" t="s">
        <v>3708</v>
      </c>
      <c r="F958" s="24" t="s">
        <v>66</v>
      </c>
    </row>
    <row r="959" spans="3:6" x14ac:dyDescent="0.25">
      <c r="C959" s="419" t="s">
        <v>3709</v>
      </c>
      <c r="D959" s="470" t="s">
        <v>54</v>
      </c>
      <c r="E959" s="421" t="s">
        <v>3710</v>
      </c>
      <c r="F959" s="24" t="s">
        <v>66</v>
      </c>
    </row>
    <row r="960" spans="3:6" x14ac:dyDescent="0.25">
      <c r="C960" s="419" t="s">
        <v>3711</v>
      </c>
      <c r="D960" s="470" t="s">
        <v>54</v>
      </c>
      <c r="E960" s="226" t="s">
        <v>3246</v>
      </c>
      <c r="F960" s="24" t="s">
        <v>66</v>
      </c>
    </row>
    <row r="961" spans="3:6" x14ac:dyDescent="0.25">
      <c r="C961" s="419" t="s">
        <v>3712</v>
      </c>
      <c r="D961" s="470" t="s">
        <v>54</v>
      </c>
      <c r="E961" s="421" t="s">
        <v>2493</v>
      </c>
      <c r="F961" s="24" t="s">
        <v>66</v>
      </c>
    </row>
    <row r="962" spans="3:6" x14ac:dyDescent="0.25">
      <c r="C962" s="419" t="s">
        <v>2836</v>
      </c>
      <c r="D962" s="470" t="s">
        <v>54</v>
      </c>
      <c r="E962" s="226" t="s">
        <v>2493</v>
      </c>
      <c r="F962" s="24" t="s">
        <v>66</v>
      </c>
    </row>
    <row r="963" spans="3:6" x14ac:dyDescent="0.25">
      <c r="C963" s="419" t="s">
        <v>3713</v>
      </c>
      <c r="D963" s="470" t="s">
        <v>54</v>
      </c>
      <c r="E963" s="226" t="s">
        <v>2839</v>
      </c>
      <c r="F963" s="24" t="s">
        <v>66</v>
      </c>
    </row>
    <row r="964" spans="3:6" x14ac:dyDescent="0.25">
      <c r="C964" s="419" t="s">
        <v>3714</v>
      </c>
      <c r="D964" s="470" t="s">
        <v>54</v>
      </c>
      <c r="E964" s="226" t="s">
        <v>2493</v>
      </c>
      <c r="F964" s="24" t="s">
        <v>66</v>
      </c>
    </row>
    <row r="965" spans="3:6" x14ac:dyDescent="0.25">
      <c r="C965" s="419" t="s">
        <v>3715</v>
      </c>
      <c r="D965" s="470" t="s">
        <v>54</v>
      </c>
      <c r="E965" s="226" t="s">
        <v>2493</v>
      </c>
      <c r="F965" s="24" t="s">
        <v>66</v>
      </c>
    </row>
    <row r="966" spans="3:6" x14ac:dyDescent="0.25">
      <c r="C966" s="476" t="s">
        <v>3716</v>
      </c>
      <c r="D966" s="470" t="s">
        <v>54</v>
      </c>
      <c r="E966" s="226" t="s">
        <v>3064</v>
      </c>
      <c r="F966" s="24" t="s">
        <v>66</v>
      </c>
    </row>
    <row r="967" spans="3:6" x14ac:dyDescent="0.25">
      <c r="C967" s="419" t="s">
        <v>3717</v>
      </c>
      <c r="D967" s="470" t="s">
        <v>54</v>
      </c>
      <c r="E967" s="226" t="s">
        <v>2646</v>
      </c>
      <c r="F967" s="24" t="s">
        <v>66</v>
      </c>
    </row>
    <row r="968" spans="3:6" x14ac:dyDescent="0.25">
      <c r="C968" s="419" t="s">
        <v>3718</v>
      </c>
      <c r="D968" s="470" t="s">
        <v>54</v>
      </c>
      <c r="E968" s="226" t="s">
        <v>2645</v>
      </c>
      <c r="F968" s="24" t="s">
        <v>66</v>
      </c>
    </row>
    <row r="969" spans="3:6" x14ac:dyDescent="0.25">
      <c r="C969" s="419" t="s">
        <v>3719</v>
      </c>
      <c r="D969" s="470" t="s">
        <v>54</v>
      </c>
      <c r="E969" s="226" t="s">
        <v>3720</v>
      </c>
      <c r="F969" s="24" t="s">
        <v>66</v>
      </c>
    </row>
    <row r="970" spans="3:6" x14ac:dyDescent="0.25">
      <c r="C970" s="477" t="s">
        <v>2898</v>
      </c>
      <c r="D970" s="470" t="s">
        <v>54</v>
      </c>
      <c r="E970" s="421" t="s">
        <v>2645</v>
      </c>
      <c r="F970" s="24" t="s">
        <v>66</v>
      </c>
    </row>
    <row r="971" spans="3:6" x14ac:dyDescent="0.25">
      <c r="C971" s="477" t="s">
        <v>2901</v>
      </c>
      <c r="D971" s="470" t="s">
        <v>54</v>
      </c>
      <c r="E971" s="226" t="s">
        <v>2883</v>
      </c>
      <c r="F971" s="24" t="s">
        <v>66</v>
      </c>
    </row>
    <row r="972" spans="3:6" x14ac:dyDescent="0.25">
      <c r="C972" s="477" t="s">
        <v>3721</v>
      </c>
      <c r="D972" s="470" t="s">
        <v>54</v>
      </c>
      <c r="E972" s="226" t="s">
        <v>2645</v>
      </c>
      <c r="F972" s="24" t="s">
        <v>66</v>
      </c>
    </row>
    <row r="973" spans="3:6" x14ac:dyDescent="0.25">
      <c r="C973" s="477" t="s">
        <v>3722</v>
      </c>
      <c r="D973" s="470" t="s">
        <v>54</v>
      </c>
      <c r="E973" s="226" t="s">
        <v>2883</v>
      </c>
      <c r="F973" s="24" t="s">
        <v>66</v>
      </c>
    </row>
    <row r="974" spans="3:6" x14ac:dyDescent="0.25">
      <c r="C974" s="477" t="s">
        <v>2905</v>
      </c>
      <c r="D974" s="470" t="s">
        <v>54</v>
      </c>
      <c r="E974" s="226" t="s">
        <v>2650</v>
      </c>
      <c r="F974" s="24" t="s">
        <v>66</v>
      </c>
    </row>
    <row r="975" spans="3:6" x14ac:dyDescent="0.25">
      <c r="C975" s="477" t="s">
        <v>3227</v>
      </c>
      <c r="D975" s="470" t="s">
        <v>54</v>
      </c>
      <c r="E975" s="226" t="s">
        <v>2645</v>
      </c>
      <c r="F975" s="24" t="s">
        <v>66</v>
      </c>
    </row>
    <row r="976" spans="3:6" x14ac:dyDescent="0.25">
      <c r="C976" s="477" t="s">
        <v>3723</v>
      </c>
      <c r="D976" s="470" t="s">
        <v>54</v>
      </c>
      <c r="E976" s="226" t="s">
        <v>2645</v>
      </c>
      <c r="F976" s="24" t="s">
        <v>66</v>
      </c>
    </row>
    <row r="977" spans="3:6" x14ac:dyDescent="0.25">
      <c r="C977" s="477" t="s">
        <v>3724</v>
      </c>
      <c r="D977" s="470" t="s">
        <v>54</v>
      </c>
      <c r="E977" s="226" t="s">
        <v>2645</v>
      </c>
      <c r="F977" s="24" t="s">
        <v>66</v>
      </c>
    </row>
    <row r="978" spans="3:6" x14ac:dyDescent="0.25">
      <c r="C978" s="477" t="s">
        <v>3725</v>
      </c>
      <c r="D978" s="470" t="s">
        <v>54</v>
      </c>
      <c r="E978" s="226" t="s">
        <v>3726</v>
      </c>
      <c r="F978" s="24" t="s">
        <v>66</v>
      </c>
    </row>
    <row r="979" spans="3:6" x14ac:dyDescent="0.25">
      <c r="C979" s="477" t="s">
        <v>3727</v>
      </c>
      <c r="D979" s="470" t="s">
        <v>54</v>
      </c>
      <c r="E979" s="226" t="s">
        <v>2645</v>
      </c>
      <c r="F979" s="24" t="s">
        <v>66</v>
      </c>
    </row>
    <row r="980" spans="3:6" x14ac:dyDescent="0.25">
      <c r="C980" s="477" t="s">
        <v>2907</v>
      </c>
      <c r="D980" s="470" t="s">
        <v>54</v>
      </c>
      <c r="E980" s="226" t="s">
        <v>2645</v>
      </c>
      <c r="F980" s="24" t="s">
        <v>66</v>
      </c>
    </row>
    <row r="981" spans="3:6" x14ac:dyDescent="0.25">
      <c r="C981" s="477" t="s">
        <v>3226</v>
      </c>
      <c r="D981" s="470" t="s">
        <v>54</v>
      </c>
      <c r="E981" s="226" t="s">
        <v>2645</v>
      </c>
      <c r="F981" s="24" t="s">
        <v>66</v>
      </c>
    </row>
    <row r="982" spans="3:6" x14ac:dyDescent="0.25">
      <c r="C982" s="477" t="s">
        <v>3728</v>
      </c>
      <c r="D982" s="470" t="s">
        <v>54</v>
      </c>
      <c r="E982" s="226" t="s">
        <v>2646</v>
      </c>
      <c r="F982" s="24" t="s">
        <v>66</v>
      </c>
    </row>
    <row r="983" spans="3:6" x14ac:dyDescent="0.25">
      <c r="C983" s="477" t="s">
        <v>2917</v>
      </c>
      <c r="D983" s="470" t="s">
        <v>54</v>
      </c>
      <c r="E983" s="226" t="s">
        <v>2650</v>
      </c>
      <c r="F983" s="24" t="s">
        <v>66</v>
      </c>
    </row>
    <row r="984" spans="3:6" x14ac:dyDescent="0.25">
      <c r="C984" s="477" t="s">
        <v>3729</v>
      </c>
      <c r="D984" s="470" t="s">
        <v>54</v>
      </c>
      <c r="E984" s="226" t="s">
        <v>2646</v>
      </c>
      <c r="F984" s="24" t="s">
        <v>66</v>
      </c>
    </row>
    <row r="985" spans="3:6" x14ac:dyDescent="0.25">
      <c r="C985" s="419" t="s">
        <v>3729</v>
      </c>
      <c r="D985" s="470" t="s">
        <v>54</v>
      </c>
      <c r="E985" s="226" t="s">
        <v>2646</v>
      </c>
      <c r="F985" s="24" t="s">
        <v>66</v>
      </c>
    </row>
    <row r="986" spans="3:6" x14ac:dyDescent="0.25">
      <c r="C986" s="477" t="s">
        <v>2928</v>
      </c>
      <c r="D986" s="470" t="s">
        <v>54</v>
      </c>
      <c r="E986" s="226" t="s">
        <v>2645</v>
      </c>
      <c r="F986" s="24" t="s">
        <v>66</v>
      </c>
    </row>
    <row r="987" spans="3:6" x14ac:dyDescent="0.25">
      <c r="C987" s="477" t="s">
        <v>3730</v>
      </c>
      <c r="D987" s="470" t="s">
        <v>54</v>
      </c>
      <c r="E987" s="226" t="s">
        <v>2650</v>
      </c>
      <c r="F987" s="24" t="s">
        <v>66</v>
      </c>
    </row>
    <row r="988" spans="3:6" x14ac:dyDescent="0.25">
      <c r="C988" s="477" t="s">
        <v>2452</v>
      </c>
      <c r="D988" s="470" t="s">
        <v>54</v>
      </c>
      <c r="E988" s="421" t="s">
        <v>2960</v>
      </c>
      <c r="F988" s="24" t="s">
        <v>66</v>
      </c>
    </row>
    <row r="989" spans="3:6" x14ac:dyDescent="0.25">
      <c r="C989" s="477" t="s">
        <v>3731</v>
      </c>
      <c r="D989" s="470" t="s">
        <v>54</v>
      </c>
      <c r="E989" s="226" t="s">
        <v>2645</v>
      </c>
      <c r="F989" s="24" t="s">
        <v>66</v>
      </c>
    </row>
    <row r="990" spans="3:6" x14ac:dyDescent="0.25">
      <c r="C990" s="477" t="s">
        <v>3732</v>
      </c>
      <c r="D990" s="470" t="s">
        <v>54</v>
      </c>
      <c r="E990" s="226" t="s">
        <v>951</v>
      </c>
      <c r="F990" s="24" t="s">
        <v>66</v>
      </c>
    </row>
    <row r="991" spans="3:6" x14ac:dyDescent="0.25">
      <c r="C991" s="477" t="s">
        <v>3733</v>
      </c>
      <c r="D991" s="470" t="s">
        <v>54</v>
      </c>
      <c r="E991" s="226" t="s">
        <v>2646</v>
      </c>
      <c r="F991" s="24" t="s">
        <v>66</v>
      </c>
    </row>
    <row r="992" spans="3:6" x14ac:dyDescent="0.25">
      <c r="C992" s="477" t="s">
        <v>3734</v>
      </c>
      <c r="D992" s="470" t="s">
        <v>54</v>
      </c>
      <c r="E992" s="226" t="s">
        <v>3230</v>
      </c>
      <c r="F992" s="24" t="s">
        <v>66</v>
      </c>
    </row>
    <row r="993" spans="3:6" x14ac:dyDescent="0.25">
      <c r="C993" s="477" t="s">
        <v>3735</v>
      </c>
      <c r="D993" s="470" t="s">
        <v>54</v>
      </c>
      <c r="E993" s="226" t="s">
        <v>3230</v>
      </c>
      <c r="F993" s="24" t="s">
        <v>66</v>
      </c>
    </row>
    <row r="994" spans="3:6" x14ac:dyDescent="0.25">
      <c r="C994" s="477" t="s">
        <v>3736</v>
      </c>
      <c r="D994" s="470" t="s">
        <v>54</v>
      </c>
      <c r="E994" s="226" t="s">
        <v>2646</v>
      </c>
      <c r="F994" s="24" t="s">
        <v>66</v>
      </c>
    </row>
    <row r="995" spans="3:6" x14ac:dyDescent="0.25">
      <c r="C995" s="477" t="s">
        <v>3737</v>
      </c>
      <c r="D995" s="470" t="s">
        <v>54</v>
      </c>
      <c r="E995" s="226" t="s">
        <v>3738</v>
      </c>
      <c r="F995" s="24" t="s">
        <v>66</v>
      </c>
    </row>
    <row r="996" spans="3:6" x14ac:dyDescent="0.25">
      <c r="C996" s="477" t="s">
        <v>2956</v>
      </c>
      <c r="D996" s="470" t="s">
        <v>54</v>
      </c>
      <c r="E996" s="421" t="s">
        <v>2645</v>
      </c>
      <c r="F996" s="24" t="s">
        <v>66</v>
      </c>
    </row>
    <row r="997" spans="3:6" x14ac:dyDescent="0.25">
      <c r="C997" s="477" t="s">
        <v>2971</v>
      </c>
      <c r="D997" s="470" t="s">
        <v>54</v>
      </c>
      <c r="E997" s="421" t="s">
        <v>2645</v>
      </c>
      <c r="F997" s="24" t="s">
        <v>66</v>
      </c>
    </row>
    <row r="998" spans="3:6" x14ac:dyDescent="0.25">
      <c r="C998" s="477" t="s">
        <v>3739</v>
      </c>
      <c r="D998" s="470" t="s">
        <v>54</v>
      </c>
      <c r="E998" s="226" t="s">
        <v>2646</v>
      </c>
      <c r="F998" s="24" t="s">
        <v>66</v>
      </c>
    </row>
    <row r="999" spans="3:6" x14ac:dyDescent="0.25">
      <c r="C999" s="477" t="s">
        <v>3740</v>
      </c>
      <c r="D999" s="470" t="s">
        <v>54</v>
      </c>
      <c r="E999" s="226" t="s">
        <v>3230</v>
      </c>
      <c r="F999" s="24" t="s">
        <v>66</v>
      </c>
    </row>
    <row r="1000" spans="3:6" x14ac:dyDescent="0.25">
      <c r="C1000" s="477" t="s">
        <v>3741</v>
      </c>
      <c r="D1000" s="470" t="s">
        <v>54</v>
      </c>
      <c r="E1000" s="226" t="s">
        <v>2645</v>
      </c>
      <c r="F1000" s="24" t="s">
        <v>66</v>
      </c>
    </row>
    <row r="1001" spans="3:6" x14ac:dyDescent="0.25">
      <c r="C1001" s="419" t="s">
        <v>3742</v>
      </c>
      <c r="D1001" s="470" t="s">
        <v>54</v>
      </c>
      <c r="E1001" s="226" t="s">
        <v>2645</v>
      </c>
      <c r="F1001" s="24" t="s">
        <v>66</v>
      </c>
    </row>
    <row r="1002" spans="3:6" x14ac:dyDescent="0.25">
      <c r="C1002" s="419" t="s">
        <v>3743</v>
      </c>
      <c r="D1002" s="470" t="s">
        <v>54</v>
      </c>
      <c r="E1002" s="226" t="s">
        <v>2931</v>
      </c>
      <c r="F1002" s="24" t="s">
        <v>66</v>
      </c>
    </row>
    <row r="1003" spans="3:6" x14ac:dyDescent="0.25">
      <c r="C1003" s="477" t="s">
        <v>3744</v>
      </c>
      <c r="D1003" s="470" t="s">
        <v>54</v>
      </c>
      <c r="E1003" s="226" t="s">
        <v>2646</v>
      </c>
      <c r="F1003" s="24" t="s">
        <v>66</v>
      </c>
    </row>
    <row r="1004" spans="3:6" x14ac:dyDescent="0.25">
      <c r="C1004" s="477" t="s">
        <v>3745</v>
      </c>
      <c r="D1004" s="470" t="s">
        <v>54</v>
      </c>
      <c r="E1004" s="226" t="s">
        <v>2645</v>
      </c>
      <c r="F1004" s="24" t="s">
        <v>66</v>
      </c>
    </row>
    <row r="1005" spans="3:6" x14ac:dyDescent="0.25">
      <c r="C1005" s="477" t="s">
        <v>3746</v>
      </c>
      <c r="D1005" s="470" t="s">
        <v>54</v>
      </c>
      <c r="E1005" s="226" t="s">
        <v>2645</v>
      </c>
      <c r="F1005" s="24" t="s">
        <v>66</v>
      </c>
    </row>
    <row r="1006" spans="3:6" x14ac:dyDescent="0.25">
      <c r="C1006" s="477" t="s">
        <v>3747</v>
      </c>
      <c r="D1006" s="470" t="s">
        <v>54</v>
      </c>
      <c r="E1006" s="226" t="s">
        <v>3230</v>
      </c>
      <c r="F1006" s="24" t="s">
        <v>66</v>
      </c>
    </row>
    <row r="1007" spans="3:6" x14ac:dyDescent="0.25">
      <c r="C1007" s="477" t="s">
        <v>3748</v>
      </c>
      <c r="D1007" s="470" t="s">
        <v>54</v>
      </c>
      <c r="E1007" s="226" t="s">
        <v>2651</v>
      </c>
      <c r="F1007" s="24" t="s">
        <v>66</v>
      </c>
    </row>
    <row r="1008" spans="3:6" x14ac:dyDescent="0.25">
      <c r="C1008" s="477" t="s">
        <v>3749</v>
      </c>
      <c r="D1008" s="470" t="s">
        <v>54</v>
      </c>
      <c r="E1008" s="226" t="s">
        <v>2645</v>
      </c>
      <c r="F1008" s="24" t="s">
        <v>66</v>
      </c>
    </row>
    <row r="1009" spans="3:6" x14ac:dyDescent="0.25">
      <c r="C1009" s="477" t="s">
        <v>3750</v>
      </c>
      <c r="D1009" s="470" t="s">
        <v>54</v>
      </c>
      <c r="E1009" s="226" t="s">
        <v>2645</v>
      </c>
      <c r="F1009" s="24" t="s">
        <v>66</v>
      </c>
    </row>
    <row r="1010" spans="3:6" x14ac:dyDescent="0.25">
      <c r="C1010" s="477" t="s">
        <v>3750</v>
      </c>
      <c r="D1010" s="470" t="s">
        <v>54</v>
      </c>
      <c r="E1010" s="226" t="s">
        <v>2645</v>
      </c>
      <c r="F1010" s="24" t="s">
        <v>66</v>
      </c>
    </row>
    <row r="1011" spans="3:6" x14ac:dyDescent="0.25">
      <c r="C1011" s="419" t="s">
        <v>3751</v>
      </c>
      <c r="D1011" s="470" t="s">
        <v>54</v>
      </c>
      <c r="E1011" s="226" t="s">
        <v>3090</v>
      </c>
      <c r="F1011" s="24" t="s">
        <v>66</v>
      </c>
    </row>
    <row r="1012" spans="3:6" x14ac:dyDescent="0.25">
      <c r="C1012" s="419" t="s">
        <v>3752</v>
      </c>
      <c r="D1012" s="470" t="s">
        <v>54</v>
      </c>
      <c r="E1012" s="226" t="s">
        <v>2642</v>
      </c>
      <c r="F1012" s="24" t="s">
        <v>66</v>
      </c>
    </row>
    <row r="1013" spans="3:6" x14ac:dyDescent="0.25">
      <c r="C1013" s="419" t="s">
        <v>3753</v>
      </c>
      <c r="D1013" s="470" t="s">
        <v>54</v>
      </c>
      <c r="E1013" s="226" t="s">
        <v>2642</v>
      </c>
      <c r="F1013" s="24" t="s">
        <v>66</v>
      </c>
    </row>
    <row r="1014" spans="3:6" x14ac:dyDescent="0.25">
      <c r="C1014" s="419" t="s">
        <v>3754</v>
      </c>
      <c r="D1014" s="470" t="s">
        <v>54</v>
      </c>
      <c r="E1014" s="226" t="s">
        <v>3090</v>
      </c>
      <c r="F1014" s="24" t="s">
        <v>66</v>
      </c>
    </row>
    <row r="1015" spans="3:6" x14ac:dyDescent="0.25">
      <c r="C1015" s="419" t="s">
        <v>3519</v>
      </c>
      <c r="D1015" s="470" t="s">
        <v>54</v>
      </c>
      <c r="E1015" s="421" t="s">
        <v>3097</v>
      </c>
      <c r="F1015" s="24" t="s">
        <v>66</v>
      </c>
    </row>
    <row r="1016" spans="3:6" x14ac:dyDescent="0.25">
      <c r="C1016" s="419" t="s">
        <v>3100</v>
      </c>
      <c r="D1016" s="470" t="s">
        <v>54</v>
      </c>
      <c r="E1016" s="226" t="s">
        <v>3755</v>
      </c>
      <c r="F1016" s="24" t="s">
        <v>66</v>
      </c>
    </row>
    <row r="1017" spans="3:6" x14ac:dyDescent="0.25">
      <c r="C1017" s="419" t="s">
        <v>3533</v>
      </c>
      <c r="D1017" s="470" t="s">
        <v>54</v>
      </c>
      <c r="E1017" s="421" t="s">
        <v>3097</v>
      </c>
      <c r="F1017" s="24" t="s">
        <v>66</v>
      </c>
    </row>
    <row r="1018" spans="3:6" x14ac:dyDescent="0.25">
      <c r="C1018" s="419" t="s">
        <v>3756</v>
      </c>
      <c r="D1018" s="470" t="s">
        <v>54</v>
      </c>
      <c r="E1018" s="226" t="s">
        <v>3755</v>
      </c>
      <c r="F1018" s="24" t="s">
        <v>66</v>
      </c>
    </row>
    <row r="1019" spans="3:6" x14ac:dyDescent="0.25">
      <c r="C1019" s="419" t="s">
        <v>3104</v>
      </c>
      <c r="D1019" s="470" t="s">
        <v>54</v>
      </c>
      <c r="E1019" s="421" t="s">
        <v>3097</v>
      </c>
      <c r="F1019" s="24" t="s">
        <v>66</v>
      </c>
    </row>
    <row r="1020" spans="3:6" x14ac:dyDescent="0.25">
      <c r="C1020" s="419" t="s">
        <v>3757</v>
      </c>
      <c r="D1020" s="470" t="s">
        <v>54</v>
      </c>
      <c r="E1020" s="226" t="s">
        <v>3755</v>
      </c>
      <c r="F1020" s="24" t="s">
        <v>66</v>
      </c>
    </row>
    <row r="1021" spans="3:6" x14ac:dyDescent="0.25">
      <c r="C1021" s="419" t="s">
        <v>3536</v>
      </c>
      <c r="D1021" s="470" t="s">
        <v>54</v>
      </c>
      <c r="E1021" s="226" t="s">
        <v>2640</v>
      </c>
      <c r="F1021" s="24" t="s">
        <v>66</v>
      </c>
    </row>
    <row r="1022" spans="3:6" x14ac:dyDescent="0.25">
      <c r="C1022" s="419" t="s">
        <v>3758</v>
      </c>
      <c r="D1022" s="470" t="s">
        <v>54</v>
      </c>
      <c r="E1022" s="226" t="s">
        <v>2640</v>
      </c>
      <c r="F1022" s="24" t="s">
        <v>66</v>
      </c>
    </row>
    <row r="1023" spans="3:6" x14ac:dyDescent="0.25">
      <c r="C1023" s="419" t="s">
        <v>3759</v>
      </c>
      <c r="D1023" s="470" t="s">
        <v>54</v>
      </c>
      <c r="E1023" s="480" t="s">
        <v>2640</v>
      </c>
      <c r="F1023" s="24" t="s">
        <v>66</v>
      </c>
    </row>
    <row r="1024" spans="3:6" x14ac:dyDescent="0.25">
      <c r="C1024" s="419" t="s">
        <v>3760</v>
      </c>
      <c r="D1024" s="470" t="s">
        <v>54</v>
      </c>
      <c r="E1024" s="226" t="s">
        <v>2640</v>
      </c>
      <c r="F1024" s="24" t="s">
        <v>66</v>
      </c>
    </row>
    <row r="1025" spans="3:6" x14ac:dyDescent="0.25">
      <c r="C1025" s="419" t="s">
        <v>3761</v>
      </c>
      <c r="D1025" s="470" t="s">
        <v>54</v>
      </c>
      <c r="E1025" s="226" t="s">
        <v>2640</v>
      </c>
      <c r="F1025" s="24" t="s">
        <v>66</v>
      </c>
    </row>
    <row r="1026" spans="3:6" x14ac:dyDescent="0.25">
      <c r="C1026" s="419" t="s">
        <v>3762</v>
      </c>
      <c r="D1026" s="470" t="s">
        <v>54</v>
      </c>
      <c r="E1026" s="226" t="s">
        <v>2640</v>
      </c>
      <c r="F1026" s="24" t="s">
        <v>66</v>
      </c>
    </row>
    <row r="1027" spans="3:6" x14ac:dyDescent="0.25">
      <c r="C1027" s="419" t="s">
        <v>3763</v>
      </c>
      <c r="D1027" s="470" t="s">
        <v>54</v>
      </c>
      <c r="E1027" s="226" t="s">
        <v>2640</v>
      </c>
      <c r="F1027" s="24" t="s">
        <v>66</v>
      </c>
    </row>
    <row r="1028" spans="3:6" x14ac:dyDescent="0.25">
      <c r="C1028" s="419" t="s">
        <v>3541</v>
      </c>
      <c r="D1028" s="470" t="s">
        <v>54</v>
      </c>
      <c r="E1028" s="226" t="s">
        <v>2640</v>
      </c>
      <c r="F1028" s="24" t="s">
        <v>66</v>
      </c>
    </row>
    <row r="1029" spans="3:6" x14ac:dyDescent="0.25">
      <c r="C1029" s="419" t="s">
        <v>3764</v>
      </c>
      <c r="D1029" s="470" t="s">
        <v>54</v>
      </c>
      <c r="E1029" s="226" t="s">
        <v>2640</v>
      </c>
      <c r="F1029" s="24" t="s">
        <v>66</v>
      </c>
    </row>
    <row r="1030" spans="3:6" x14ac:dyDescent="0.25">
      <c r="C1030" s="419" t="s">
        <v>3114</v>
      </c>
      <c r="D1030" s="470" t="s">
        <v>54</v>
      </c>
      <c r="E1030" s="226" t="s">
        <v>2640</v>
      </c>
      <c r="F1030" s="24" t="s">
        <v>66</v>
      </c>
    </row>
    <row r="1031" spans="3:6" x14ac:dyDescent="0.25">
      <c r="C1031" s="419" t="s">
        <v>3765</v>
      </c>
      <c r="D1031" s="470" t="s">
        <v>54</v>
      </c>
      <c r="E1031" s="226" t="s">
        <v>2640</v>
      </c>
      <c r="F1031" s="24" t="s">
        <v>66</v>
      </c>
    </row>
    <row r="1032" spans="3:6" x14ac:dyDescent="0.25">
      <c r="C1032" s="419" t="s">
        <v>3548</v>
      </c>
      <c r="D1032" s="470" t="s">
        <v>54</v>
      </c>
      <c r="E1032" s="421" t="s">
        <v>3766</v>
      </c>
      <c r="F1032" s="24" t="s">
        <v>66</v>
      </c>
    </row>
    <row r="1033" spans="3:6" x14ac:dyDescent="0.25">
      <c r="C1033" s="419" t="s">
        <v>3549</v>
      </c>
      <c r="D1033" s="470" t="s">
        <v>54</v>
      </c>
      <c r="E1033" s="421" t="s">
        <v>3766</v>
      </c>
      <c r="F1033" s="24" t="s">
        <v>66</v>
      </c>
    </row>
    <row r="1034" spans="3:6" x14ac:dyDescent="0.25">
      <c r="C1034" s="419" t="s">
        <v>3124</v>
      </c>
      <c r="D1034" s="470" t="s">
        <v>54</v>
      </c>
      <c r="E1034" s="226" t="s">
        <v>2653</v>
      </c>
      <c r="F1034" s="24" t="s">
        <v>66</v>
      </c>
    </row>
    <row r="1035" spans="3:6" x14ac:dyDescent="0.25">
      <c r="C1035" s="419" t="s">
        <v>3127</v>
      </c>
      <c r="D1035" s="470" t="s">
        <v>54</v>
      </c>
      <c r="E1035" s="226" t="s">
        <v>2653</v>
      </c>
      <c r="F1035" s="24" t="s">
        <v>66</v>
      </c>
    </row>
    <row r="1036" spans="3:6" x14ac:dyDescent="0.25">
      <c r="C1036" s="419" t="s">
        <v>3554</v>
      </c>
      <c r="D1036" s="470" t="s">
        <v>54</v>
      </c>
      <c r="E1036" s="421" t="s">
        <v>3766</v>
      </c>
      <c r="F1036" s="24" t="s">
        <v>66</v>
      </c>
    </row>
    <row r="1037" spans="3:6" x14ac:dyDescent="0.25">
      <c r="C1037" s="419" t="s">
        <v>3777</v>
      </c>
      <c r="D1037" s="472" t="s">
        <v>54</v>
      </c>
      <c r="E1037" s="421" t="s">
        <v>3766</v>
      </c>
      <c r="F1037" s="24" t="s">
        <v>66</v>
      </c>
    </row>
    <row r="1038" spans="3:6" x14ac:dyDescent="0.25">
      <c r="C1038" s="419" t="s">
        <v>3563</v>
      </c>
      <c r="D1038" s="470" t="s">
        <v>54</v>
      </c>
      <c r="E1038" s="226" t="s">
        <v>2653</v>
      </c>
      <c r="F1038" s="24" t="s">
        <v>66</v>
      </c>
    </row>
    <row r="1039" spans="3:6" x14ac:dyDescent="0.25">
      <c r="C1039" s="419" t="s">
        <v>3767</v>
      </c>
      <c r="D1039" s="470" t="s">
        <v>54</v>
      </c>
      <c r="E1039" s="226" t="s">
        <v>3768</v>
      </c>
      <c r="F1039" s="24" t="s">
        <v>66</v>
      </c>
    </row>
    <row r="1040" spans="3:6" x14ac:dyDescent="0.25">
      <c r="C1040" s="419" t="s">
        <v>3769</v>
      </c>
      <c r="D1040" s="470" t="s">
        <v>54</v>
      </c>
      <c r="E1040" s="226" t="s">
        <v>2653</v>
      </c>
      <c r="F1040" s="24" t="s">
        <v>66</v>
      </c>
    </row>
    <row r="1041" spans="3:6" x14ac:dyDescent="0.25">
      <c r="C1041" s="419" t="s">
        <v>3770</v>
      </c>
      <c r="D1041" s="470" t="s">
        <v>54</v>
      </c>
      <c r="E1041" s="421" t="s">
        <v>3766</v>
      </c>
      <c r="F1041" s="24" t="s">
        <v>66</v>
      </c>
    </row>
    <row r="1042" spans="3:6" x14ac:dyDescent="0.25">
      <c r="C1042" s="419" t="s">
        <v>3167</v>
      </c>
      <c r="D1042" s="470" t="s">
        <v>54</v>
      </c>
      <c r="E1042" s="480" t="s">
        <v>3168</v>
      </c>
      <c r="F1042" s="24" t="s">
        <v>66</v>
      </c>
    </row>
    <row r="1043" spans="3:6" x14ac:dyDescent="0.25">
      <c r="C1043" s="419" t="s">
        <v>3659</v>
      </c>
      <c r="D1043" s="470" t="s">
        <v>54</v>
      </c>
      <c r="E1043" s="226" t="s">
        <v>2641</v>
      </c>
      <c r="F1043" s="24" t="s">
        <v>66</v>
      </c>
    </row>
    <row r="1044" spans="3:6" x14ac:dyDescent="0.25">
      <c r="C1044" s="419" t="s">
        <v>3591</v>
      </c>
      <c r="D1044" s="470" t="s">
        <v>54</v>
      </c>
      <c r="E1044" s="226" t="s">
        <v>2641</v>
      </c>
      <c r="F1044" s="24" t="s">
        <v>66</v>
      </c>
    </row>
    <row r="1045" spans="3:6" x14ac:dyDescent="0.25">
      <c r="C1045" s="419" t="s">
        <v>3771</v>
      </c>
      <c r="D1045" s="470" t="s">
        <v>54</v>
      </c>
      <c r="E1045" s="226" t="s">
        <v>2641</v>
      </c>
      <c r="F1045" s="24" t="s">
        <v>66</v>
      </c>
    </row>
    <row r="1046" spans="3:6" x14ac:dyDescent="0.25">
      <c r="C1046" s="419" t="s">
        <v>3772</v>
      </c>
      <c r="D1046" s="470" t="s">
        <v>54</v>
      </c>
      <c r="E1046" s="226" t="s">
        <v>2641</v>
      </c>
      <c r="F1046" s="24" t="s">
        <v>66</v>
      </c>
    </row>
    <row r="1047" spans="3:6" x14ac:dyDescent="0.25">
      <c r="C1047" s="481" t="s">
        <v>3773</v>
      </c>
      <c r="D1047" s="443" t="s">
        <v>105</v>
      </c>
      <c r="E1047" s="226" t="s">
        <v>2642</v>
      </c>
      <c r="F1047" s="482" t="s">
        <v>3774</v>
      </c>
    </row>
    <row r="1048" spans="3:6" x14ac:dyDescent="0.25">
      <c r="C1048" s="419" t="s">
        <v>3775</v>
      </c>
      <c r="D1048" s="470" t="s">
        <v>54</v>
      </c>
      <c r="E1048" s="421" t="s">
        <v>3776</v>
      </c>
      <c r="F1048" s="24" t="s">
        <v>66</v>
      </c>
    </row>
    <row r="1049" spans="3:6" x14ac:dyDescent="0.25">
      <c r="C1049" s="419" t="s">
        <v>3796</v>
      </c>
      <c r="D1049" s="483" t="s">
        <v>54</v>
      </c>
      <c r="E1049" s="391" t="s">
        <v>2653</v>
      </c>
      <c r="F1049" s="24" t="s">
        <v>66</v>
      </c>
    </row>
    <row r="1050" spans="3:6" x14ac:dyDescent="0.25">
      <c r="C1050" s="419" t="s">
        <v>3797</v>
      </c>
      <c r="D1050" s="222" t="s">
        <v>54</v>
      </c>
      <c r="E1050" s="391" t="s">
        <v>3798</v>
      </c>
      <c r="F1050" s="24" t="s">
        <v>66</v>
      </c>
    </row>
    <row r="1051" spans="3:6" x14ac:dyDescent="0.25">
      <c r="C1051" s="419" t="s">
        <v>3829</v>
      </c>
      <c r="D1051" s="75" t="s">
        <v>54</v>
      </c>
      <c r="E1051" s="162" t="s">
        <v>2642</v>
      </c>
      <c r="F1051" s="75" t="s">
        <v>3855</v>
      </c>
    </row>
    <row r="1052" spans="3:6" x14ac:dyDescent="0.25">
      <c r="C1052" s="419" t="s">
        <v>3830</v>
      </c>
      <c r="D1052" s="72" t="s">
        <v>54</v>
      </c>
      <c r="E1052" s="162" t="s">
        <v>3831</v>
      </c>
      <c r="F1052" s="75" t="s">
        <v>66</v>
      </c>
    </row>
    <row r="1053" spans="3:6" x14ac:dyDescent="0.25">
      <c r="C1053" s="419" t="s">
        <v>3833</v>
      </c>
      <c r="D1053" s="75" t="s">
        <v>54</v>
      </c>
      <c r="E1053" s="75" t="s">
        <v>3834</v>
      </c>
      <c r="F1053" s="75" t="s">
        <v>66</v>
      </c>
    </row>
    <row r="1054" spans="3:6" x14ac:dyDescent="0.25">
      <c r="C1054" s="419" t="s">
        <v>3835</v>
      </c>
      <c r="D1054" s="75" t="s">
        <v>54</v>
      </c>
      <c r="E1054" s="75" t="s">
        <v>2641</v>
      </c>
      <c r="F1054" s="75" t="s">
        <v>66</v>
      </c>
    </row>
    <row r="1055" spans="3:6" x14ac:dyDescent="0.25">
      <c r="C1055" s="419" t="s">
        <v>3836</v>
      </c>
      <c r="D1055" s="75" t="s">
        <v>54</v>
      </c>
      <c r="E1055" s="421" t="s">
        <v>3837</v>
      </c>
      <c r="F1055" s="75" t="s">
        <v>66</v>
      </c>
    </row>
    <row r="1056" spans="3:6" x14ac:dyDescent="0.25">
      <c r="C1056" s="419" t="s">
        <v>3747</v>
      </c>
      <c r="D1056" s="72" t="s">
        <v>54</v>
      </c>
      <c r="E1056" s="72" t="s">
        <v>3838</v>
      </c>
      <c r="F1056" s="75" t="s">
        <v>66</v>
      </c>
    </row>
    <row r="1057" spans="3:6" x14ac:dyDescent="0.25">
      <c r="C1057" s="419" t="s">
        <v>3871</v>
      </c>
      <c r="D1057" s="75" t="s">
        <v>54</v>
      </c>
      <c r="E1057" s="341" t="s">
        <v>2641</v>
      </c>
      <c r="F1057" s="75" t="s">
        <v>3832</v>
      </c>
    </row>
    <row r="1058" spans="3:6" x14ac:dyDescent="0.25">
      <c r="C1058" s="419" t="s">
        <v>1708</v>
      </c>
      <c r="D1058" s="75" t="s">
        <v>54</v>
      </c>
      <c r="E1058" s="341" t="s">
        <v>3872</v>
      </c>
      <c r="F1058" s="75" t="s">
        <v>3832</v>
      </c>
    </row>
    <row r="1059" spans="3:6" x14ac:dyDescent="0.25">
      <c r="C1059" s="419" t="s">
        <v>3873</v>
      </c>
      <c r="D1059" s="75" t="s">
        <v>54</v>
      </c>
      <c r="E1059" s="75" t="s">
        <v>3874</v>
      </c>
      <c r="F1059" s="75" t="s">
        <v>3832</v>
      </c>
    </row>
    <row r="1060" spans="3:6" x14ac:dyDescent="0.25">
      <c r="C1060" s="419" t="s">
        <v>3875</v>
      </c>
      <c r="D1060" s="75" t="s">
        <v>54</v>
      </c>
      <c r="E1060" s="341" t="s">
        <v>3872</v>
      </c>
      <c r="F1060" s="75" t="s">
        <v>3832</v>
      </c>
    </row>
    <row r="1061" spans="3:6" x14ac:dyDescent="0.25">
      <c r="C1061" s="419" t="s">
        <v>3876</v>
      </c>
      <c r="D1061" s="75" t="s">
        <v>54</v>
      </c>
      <c r="E1061" s="341" t="s">
        <v>3872</v>
      </c>
      <c r="F1061" s="75" t="s">
        <v>3832</v>
      </c>
    </row>
    <row r="1062" spans="3:6" x14ac:dyDescent="0.25">
      <c r="C1062" s="419" t="s">
        <v>1086</v>
      </c>
      <c r="D1062" s="75" t="s">
        <v>54</v>
      </c>
      <c r="E1062" s="341" t="s">
        <v>2493</v>
      </c>
      <c r="F1062" s="75" t="s">
        <v>3832</v>
      </c>
    </row>
    <row r="1063" spans="3:6" x14ac:dyDescent="0.25">
      <c r="C1063" s="499" t="s">
        <v>3877</v>
      </c>
      <c r="D1063" s="75" t="s">
        <v>54</v>
      </c>
      <c r="E1063" s="341" t="s">
        <v>3872</v>
      </c>
      <c r="F1063" s="75" t="s">
        <v>3832</v>
      </c>
    </row>
    <row r="1064" spans="3:6" x14ac:dyDescent="0.25">
      <c r="C1064" s="499" t="s">
        <v>3878</v>
      </c>
      <c r="D1064" s="75" t="s">
        <v>54</v>
      </c>
      <c r="E1064" s="341" t="s">
        <v>3879</v>
      </c>
      <c r="F1064" s="75" t="s">
        <v>3832</v>
      </c>
    </row>
    <row r="1065" spans="3:6" x14ac:dyDescent="0.25">
      <c r="C1065" s="499" t="s">
        <v>3880</v>
      </c>
      <c r="D1065" s="75" t="s">
        <v>54</v>
      </c>
      <c r="E1065" s="341" t="s">
        <v>3879</v>
      </c>
      <c r="F1065" s="75" t="s">
        <v>3832</v>
      </c>
    </row>
    <row r="1066" spans="3:6" x14ac:dyDescent="0.25">
      <c r="C1066" s="419" t="s">
        <v>3239</v>
      </c>
      <c r="D1066" s="75" t="s">
        <v>54</v>
      </c>
      <c r="E1066" s="341" t="s">
        <v>3766</v>
      </c>
      <c r="F1066" s="75" t="s">
        <v>3832</v>
      </c>
    </row>
    <row r="1067" spans="3:6" x14ac:dyDescent="0.25">
      <c r="C1067" s="419" t="s">
        <v>3932</v>
      </c>
      <c r="D1067" s="75" t="s">
        <v>54</v>
      </c>
      <c r="E1067" s="341" t="s">
        <v>71</v>
      </c>
      <c r="F1067" s="75" t="s">
        <v>3832</v>
      </c>
    </row>
    <row r="1068" spans="3:6" x14ac:dyDescent="0.25">
      <c r="C1068" s="419" t="s">
        <v>3933</v>
      </c>
      <c r="D1068" s="75" t="s">
        <v>54</v>
      </c>
      <c r="E1068" s="341" t="s">
        <v>3934</v>
      </c>
      <c r="F1068" s="75" t="s">
        <v>3832</v>
      </c>
    </row>
    <row r="1069" spans="3:6" x14ac:dyDescent="0.25">
      <c r="C1069" s="419" t="s">
        <v>3935</v>
      </c>
      <c r="D1069" s="75" t="s">
        <v>54</v>
      </c>
      <c r="E1069" s="75" t="s">
        <v>2493</v>
      </c>
      <c r="F1069" s="75" t="s">
        <v>3832</v>
      </c>
    </row>
    <row r="1070" spans="3:6" x14ac:dyDescent="0.25">
      <c r="C1070" s="419" t="s">
        <v>3936</v>
      </c>
      <c r="D1070" s="75" t="s">
        <v>54</v>
      </c>
      <c r="E1070" s="341" t="s">
        <v>3937</v>
      </c>
      <c r="F1070" s="75" t="s">
        <v>66</v>
      </c>
    </row>
    <row r="1071" spans="3:6" x14ac:dyDescent="0.25">
      <c r="C1071" s="419" t="s">
        <v>3756</v>
      </c>
      <c r="D1071" s="75" t="s">
        <v>54</v>
      </c>
      <c r="E1071" s="341" t="s">
        <v>3990</v>
      </c>
      <c r="F1071" s="75" t="s">
        <v>3832</v>
      </c>
    </row>
    <row r="1072" spans="3:6" x14ac:dyDescent="0.25">
      <c r="C1072" s="75" t="s">
        <v>4040</v>
      </c>
      <c r="D1072" s="75" t="s">
        <v>54</v>
      </c>
      <c r="E1072" s="341" t="s">
        <v>71</v>
      </c>
      <c r="F1072" s="75" t="s">
        <v>3832</v>
      </c>
    </row>
    <row r="1073" spans="3:6" x14ac:dyDescent="0.25">
      <c r="C1073" s="75">
        <v>3299</v>
      </c>
      <c r="D1073" s="75" t="s">
        <v>54</v>
      </c>
      <c r="E1073" s="341" t="s">
        <v>4041</v>
      </c>
      <c r="F1073" s="75" t="s">
        <v>66</v>
      </c>
    </row>
    <row r="1074" spans="3:6" x14ac:dyDescent="0.25">
      <c r="C1074" s="75">
        <v>2765</v>
      </c>
      <c r="D1074" s="75" t="s">
        <v>54</v>
      </c>
      <c r="E1074" s="341" t="s">
        <v>4041</v>
      </c>
      <c r="F1074" s="75" t="s">
        <v>66</v>
      </c>
    </row>
    <row r="1075" spans="3:6" x14ac:dyDescent="0.25">
      <c r="C1075" s="75">
        <v>21221</v>
      </c>
      <c r="D1075" s="75" t="s">
        <v>54</v>
      </c>
      <c r="E1075" s="341" t="s">
        <v>4041</v>
      </c>
      <c r="F1075" s="75" t="s">
        <v>66</v>
      </c>
    </row>
    <row r="1076" spans="3:6" x14ac:dyDescent="0.25">
      <c r="C1076" s="75">
        <v>3131</v>
      </c>
      <c r="D1076" s="75" t="s">
        <v>54</v>
      </c>
      <c r="E1076" s="341" t="s">
        <v>4041</v>
      </c>
      <c r="F1076" s="75" t="s">
        <v>66</v>
      </c>
    </row>
    <row r="1077" spans="3:6" x14ac:dyDescent="0.25">
      <c r="C1077" s="75">
        <v>2763</v>
      </c>
      <c r="D1077" s="75" t="s">
        <v>54</v>
      </c>
      <c r="E1077" s="341" t="s">
        <v>4041</v>
      </c>
      <c r="F1077" s="75" t="s">
        <v>66</v>
      </c>
    </row>
    <row r="1078" spans="3:6" x14ac:dyDescent="0.25">
      <c r="C1078" s="75">
        <v>2707</v>
      </c>
      <c r="D1078" s="75" t="s">
        <v>54</v>
      </c>
      <c r="E1078" s="341" t="s">
        <v>4041</v>
      </c>
      <c r="F1078" s="75" t="s">
        <v>66</v>
      </c>
    </row>
    <row r="1079" spans="3:6" x14ac:dyDescent="0.25">
      <c r="C1079" s="75">
        <v>2690</v>
      </c>
      <c r="D1079" s="75" t="s">
        <v>54</v>
      </c>
      <c r="E1079" s="341" t="s">
        <v>4041</v>
      </c>
      <c r="F1079" s="75" t="s">
        <v>66</v>
      </c>
    </row>
    <row r="1080" spans="3:6" x14ac:dyDescent="0.25">
      <c r="C1080" s="75" t="s">
        <v>4042</v>
      </c>
      <c r="D1080" s="75" t="s">
        <v>54</v>
      </c>
      <c r="E1080" s="341" t="s">
        <v>4041</v>
      </c>
      <c r="F1080" s="75" t="s">
        <v>66</v>
      </c>
    </row>
    <row r="1081" spans="3:6" x14ac:dyDescent="0.25">
      <c r="C1081" s="75">
        <v>4643</v>
      </c>
      <c r="D1081" s="75" t="s">
        <v>54</v>
      </c>
      <c r="E1081" s="341" t="s">
        <v>4041</v>
      </c>
      <c r="F1081" s="75" t="s">
        <v>66</v>
      </c>
    </row>
    <row r="1082" spans="3:6" x14ac:dyDescent="0.25">
      <c r="C1082" s="75">
        <v>3132</v>
      </c>
      <c r="D1082" s="75" t="s">
        <v>54</v>
      </c>
      <c r="E1082" s="341" t="s">
        <v>4041</v>
      </c>
      <c r="F1082" s="75" t="s">
        <v>66</v>
      </c>
    </row>
    <row r="1083" spans="3:6" x14ac:dyDescent="0.25">
      <c r="C1083" s="75" t="s">
        <v>4043</v>
      </c>
      <c r="D1083" s="75" t="s">
        <v>54</v>
      </c>
      <c r="E1083" s="72" t="s">
        <v>71</v>
      </c>
      <c r="F1083" s="75" t="s">
        <v>3832</v>
      </c>
    </row>
    <row r="1084" spans="3:6" x14ac:dyDescent="0.25">
      <c r="C1084" s="75" t="s">
        <v>4044</v>
      </c>
      <c r="D1084" s="75" t="s">
        <v>54</v>
      </c>
      <c r="E1084" s="72" t="s">
        <v>4045</v>
      </c>
      <c r="F1084" s="75" t="s">
        <v>3832</v>
      </c>
    </row>
    <row r="1085" spans="3:6" x14ac:dyDescent="0.25">
      <c r="C1085" s="75" t="s">
        <v>4046</v>
      </c>
      <c r="D1085" s="75" t="s">
        <v>54</v>
      </c>
      <c r="E1085" s="72" t="s">
        <v>4045</v>
      </c>
      <c r="F1085" s="75" t="s">
        <v>3832</v>
      </c>
    </row>
    <row r="1086" spans="3:6" x14ac:dyDescent="0.25">
      <c r="C1086" s="4"/>
      <c r="D1086" s="11"/>
      <c r="F1086" s="4"/>
    </row>
  </sheetData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A4888070262D41A4F5F45058C73ACA" ma:contentTypeVersion="12" ma:contentTypeDescription="Create a new document." ma:contentTypeScope="" ma:versionID="1b9f7378d2c409c667e0f2e2e59e032f">
  <xsd:schema xmlns:xsd="http://www.w3.org/2001/XMLSchema" xmlns:xs="http://www.w3.org/2001/XMLSchema" xmlns:p="http://schemas.microsoft.com/office/2006/metadata/properties" xmlns:ns2="33adbd5c-63b7-4ed1-9f9d-6a5513817c55" xmlns:ns3="6ef5bbf4-eaa1-4949-967d-ec2ece66cd45" targetNamespace="http://schemas.microsoft.com/office/2006/metadata/properties" ma:root="true" ma:fieldsID="3921fc4c1c771b936837754107b77ebc" ns2:_="" ns3:_="">
    <xsd:import namespace="33adbd5c-63b7-4ed1-9f9d-6a5513817c55"/>
    <xsd:import namespace="6ef5bbf4-eaa1-4949-967d-ec2ece66cd4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adbd5c-63b7-4ed1-9f9d-6a5513817c5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f5bbf4-eaa1-4949-967d-ec2ece66cd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42F48D-641E-4D23-9FAB-84B68095C9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06B33B-1B5D-441B-8DB3-A93F4B38F9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adbd5c-63b7-4ed1-9f9d-6a5513817c55"/>
    <ds:schemaRef ds:uri="6ef5bbf4-eaa1-4949-967d-ec2ece66cd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C448A3-61D1-42EE-A34C-0005B985F78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ef5bbf4-eaa1-4949-967d-ec2ece66cd45"/>
    <ds:schemaRef ds:uri="33adbd5c-63b7-4ed1-9f9d-6a5513817c5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July 16, 2021</vt:lpstr>
      <vt:lpstr>Historical Recap</vt:lpstr>
      <vt:lpstr>Obsolete</vt:lpstr>
      <vt:lpstr>'Historical Recap'!Print_Area</vt:lpstr>
      <vt:lpstr>'July 16, 2021'!Print_Area</vt:lpstr>
      <vt:lpstr>Obsolete!Print_Area</vt:lpstr>
      <vt:lpstr>'Historical Recap'!Print_Titles</vt:lpstr>
      <vt:lpstr>'July 16, 2021'!Print_Titles</vt:lpstr>
      <vt:lpstr>Obsolete!Print_Titles</vt:lpstr>
    </vt:vector>
  </TitlesOfParts>
  <Company>Honeywell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Gobrogge, Layne</dc:creator>
  <cp:lastModifiedBy>Layne Gobrogge</cp:lastModifiedBy>
  <cp:lastPrinted>2015-03-09T12:08:46Z</cp:lastPrinted>
  <dcterms:created xsi:type="dcterms:W3CDTF">2011-05-02T14:58:46Z</dcterms:created>
  <dcterms:modified xsi:type="dcterms:W3CDTF">2021-07-19T16:51:24Z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FRAM New Product Summary - May 2011.xlsx</vt:lpwstr>
  </property>
  <property fmtid="{D5CDD505-2E9C-101B-9397-08002B2CF9AE}" pid="3" name="ContentTypeId">
    <vt:lpwstr>0x0101005CA4888070262D41A4F5F45058C73ACA</vt:lpwstr>
  </property>
</Properties>
</file>