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7\October\"/>
    </mc:Choice>
  </mc:AlternateContent>
  <bookViews>
    <workbookView xWindow="0" yWindow="0" windowWidth="23970" windowHeight="8520" tabRatio="714"/>
  </bookViews>
  <sheets>
    <sheet name="Oct 27, 2017" sheetId="57" r:id="rId1"/>
    <sheet name="Historical Recap" sheetId="58" r:id="rId2"/>
    <sheet name="Obsoleted" sheetId="51" r:id="rId3"/>
    <sheet name="Superceded" sheetId="52" r:id="rId4"/>
  </sheets>
  <externalReferences>
    <externalReference r:id="rId5"/>
    <externalReference r:id="rId6"/>
  </externalReferences>
  <definedNames>
    <definedName name="_xlnm._FilterDatabase" localSheetId="1" hidden="1">'Historical Recap'!$A$6:$BX$400</definedName>
    <definedName name="_xlnm._FilterDatabase" localSheetId="2" hidden="1">Obsoleted!$A$1:$C$1</definedName>
    <definedName name="_xlnm._FilterDatabase" localSheetId="0" hidden="1">'Oct 27, 2017'!$A$24:$BY$55</definedName>
    <definedName name="_xlnm.Print_Area" localSheetId="1">'Historical Recap'!$C$295:$N$310</definedName>
    <definedName name="_xlnm.Print_Area" localSheetId="0">'Oct 27, 2017'!$B$3:$F$5</definedName>
    <definedName name="_xlnm.Print_Titles" localSheetId="1">'Historical Recap'!$1:$294</definedName>
    <definedName name="_xlnm.Print_Titles" localSheetId="0">'Oct 27, 2017'!$1:$5</definedName>
  </definedNames>
  <calcPr calcId="171027"/>
</workbook>
</file>

<file path=xl/calcChain.xml><?xml version="1.0" encoding="utf-8"?>
<calcChain xmlns="http://schemas.openxmlformats.org/spreadsheetml/2006/main">
  <c r="E51" i="57" l="1"/>
  <c r="E50" i="57"/>
  <c r="E49" i="57"/>
  <c r="E45" i="57"/>
  <c r="E44" i="57"/>
  <c r="E38" i="57"/>
  <c r="E33" i="57"/>
  <c r="E32" i="57"/>
  <c r="E31" i="57"/>
  <c r="E26" i="57"/>
  <c r="E28" i="57" l="1"/>
  <c r="E29" i="57"/>
  <c r="E30" i="57"/>
  <c r="E34" i="57"/>
  <c r="E36" i="57"/>
  <c r="E37" i="57"/>
  <c r="E39" i="57"/>
  <c r="E40" i="57"/>
  <c r="E41" i="57"/>
  <c r="E42" i="57"/>
  <c r="E46" i="57"/>
  <c r="E47" i="57"/>
  <c r="E48" i="57"/>
  <c r="E52" i="57"/>
  <c r="E53" i="57"/>
  <c r="E55" i="57"/>
  <c r="E25" i="57"/>
  <c r="AS7" i="57" l="1"/>
  <c r="BM8" i="58" l="1"/>
  <c r="BM7" i="58"/>
  <c r="BM7" i="57"/>
  <c r="BM6" i="57"/>
  <c r="AS8" i="58" l="1"/>
  <c r="AS7" i="58"/>
  <c r="AS6" i="57"/>
  <c r="BS10" i="58" l="1"/>
  <c r="BR10" i="58"/>
  <c r="BM10" i="58"/>
  <c r="BR14" i="58" l="1"/>
  <c r="BM14" i="58"/>
  <c r="BS14" i="58" s="1"/>
  <c r="AS14" i="58"/>
  <c r="BR13" i="58"/>
  <c r="BM13" i="58"/>
  <c r="BS13" i="58" s="1"/>
  <c r="AS13" i="58"/>
  <c r="BR12" i="58"/>
  <c r="BM12" i="58"/>
  <c r="BS12" i="58" s="1"/>
  <c r="AS12" i="58"/>
  <c r="BR11" i="58"/>
  <c r="BM11" i="58"/>
  <c r="AS11" i="58"/>
  <c r="AS10" i="58"/>
  <c r="BR9" i="58"/>
  <c r="BM9" i="58"/>
  <c r="BS9" i="58" s="1"/>
  <c r="AS9" i="58"/>
  <c r="BS11" i="58" l="1"/>
  <c r="BR15" i="58"/>
  <c r="BM15" i="58"/>
  <c r="BS15" i="58" s="1"/>
  <c r="BE15" i="58"/>
  <c r="AS15" i="58" l="1"/>
  <c r="BR18" i="58" l="1"/>
  <c r="BM18" i="58"/>
  <c r="BS18" i="58" s="1"/>
  <c r="BJ18" i="58"/>
  <c r="AS18" i="58"/>
  <c r="BR17" i="58"/>
  <c r="BM17" i="58"/>
  <c r="BS17" i="58" s="1"/>
  <c r="BJ17" i="58"/>
  <c r="AS17" i="58"/>
  <c r="BR16" i="58"/>
  <c r="BM16" i="58"/>
  <c r="BS16" i="58" s="1"/>
  <c r="BJ16" i="58"/>
  <c r="AS16" i="58"/>
  <c r="BR23" i="58" l="1"/>
  <c r="BM23" i="58"/>
  <c r="BS23" i="58" s="1"/>
  <c r="BJ23" i="58"/>
  <c r="BR22" i="58"/>
  <c r="BM22" i="58"/>
  <c r="BS22" i="58" s="1"/>
  <c r="BJ22" i="58"/>
  <c r="BR21" i="58"/>
  <c r="BM21" i="58"/>
  <c r="BS21" i="58" s="1"/>
  <c r="BJ21" i="58"/>
  <c r="BR20" i="58"/>
  <c r="BM20" i="58"/>
  <c r="BS20" i="58" s="1"/>
  <c r="BJ20" i="58"/>
  <c r="BR19" i="58"/>
  <c r="BM19" i="58"/>
  <c r="BS19" i="58" s="1"/>
  <c r="BI19" i="58"/>
  <c r="BH19" i="58"/>
  <c r="BG19" i="58"/>
  <c r="BJ19" i="58" l="1"/>
  <c r="AS23" i="58"/>
  <c r="AS22" i="58"/>
  <c r="AS21" i="58"/>
  <c r="AS20" i="58"/>
  <c r="AS19" i="58"/>
  <c r="BS26" i="58" l="1"/>
  <c r="BR26" i="58"/>
  <c r="BM26" i="58"/>
  <c r="BL26" i="58"/>
  <c r="BJ26" i="58"/>
  <c r="AS26" i="58"/>
  <c r="BS25" i="58"/>
  <c r="BR25" i="58"/>
  <c r="BM25" i="58"/>
  <c r="BL25" i="58"/>
  <c r="BJ25" i="58"/>
  <c r="AS25" i="58"/>
  <c r="BR24" i="58"/>
  <c r="BL24" i="58"/>
  <c r="BK24" i="58"/>
  <c r="BS24" i="58" s="1"/>
  <c r="BJ24" i="58"/>
  <c r="AS24" i="58"/>
  <c r="BM24" i="58" l="1"/>
  <c r="AS94" i="58" l="1"/>
  <c r="AS93" i="58"/>
  <c r="AS92" i="58"/>
  <c r="AS91" i="58"/>
  <c r="AS90" i="58"/>
  <c r="AS89" i="58"/>
  <c r="AS88" i="58"/>
  <c r="AS87" i="58"/>
  <c r="AS86" i="58"/>
  <c r="AS85" i="58"/>
  <c r="AS84" i="58"/>
  <c r="AS83" i="58"/>
  <c r="AS82" i="58"/>
  <c r="AS81" i="58"/>
  <c r="AS80" i="58"/>
  <c r="AS79" i="58"/>
  <c r="AS78" i="58"/>
  <c r="AS77" i="58"/>
  <c r="AS76" i="58"/>
  <c r="AS75" i="58"/>
  <c r="AS74" i="58"/>
  <c r="AS73" i="58"/>
  <c r="AS72" i="58"/>
  <c r="AS71" i="58"/>
  <c r="AS70" i="58"/>
  <c r="AS69" i="58"/>
  <c r="AS68" i="58"/>
  <c r="AS67" i="58"/>
  <c r="AS66" i="58"/>
  <c r="AS65" i="58"/>
  <c r="AS64" i="58"/>
  <c r="AS63" i="58"/>
  <c r="AS62" i="58"/>
  <c r="AS61" i="58"/>
  <c r="AS60" i="58"/>
  <c r="AS59" i="58"/>
  <c r="AS58" i="58"/>
  <c r="AS57" i="58"/>
  <c r="AS56" i="58"/>
  <c r="AS55" i="58"/>
  <c r="AS54" i="58"/>
  <c r="AS53" i="58"/>
  <c r="AS52" i="58"/>
  <c r="AS51" i="58"/>
  <c r="AS50" i="58"/>
  <c r="AS49" i="58"/>
  <c r="AS48" i="58"/>
  <c r="AS47" i="58"/>
  <c r="AS46" i="58"/>
  <c r="AS45" i="58"/>
  <c r="BS44" i="58"/>
  <c r="BR44" i="58"/>
  <c r="BM44" i="58"/>
  <c r="BL44" i="58"/>
  <c r="BI44" i="58"/>
  <c r="BH44" i="58"/>
  <c r="BG44" i="58"/>
  <c r="BD44" i="58"/>
  <c r="BC44" i="58"/>
  <c r="BB44" i="58"/>
  <c r="AS44" i="58"/>
  <c r="AS43" i="58"/>
  <c r="BS42" i="58"/>
  <c r="BR42" i="58"/>
  <c r="BM42" i="58"/>
  <c r="BL42" i="58"/>
  <c r="BJ42" i="58"/>
  <c r="BD42" i="58"/>
  <c r="BC42" i="58"/>
  <c r="BB42" i="58"/>
  <c r="AS42" i="58"/>
  <c r="AS41" i="58"/>
  <c r="AS40" i="58"/>
  <c r="AS39" i="58"/>
  <c r="AS38" i="58"/>
  <c r="AS37" i="58"/>
  <c r="AS36" i="58"/>
  <c r="AS35" i="58"/>
  <c r="AS34" i="58"/>
  <c r="AS33" i="58"/>
  <c r="AS32" i="58"/>
  <c r="AS31" i="58"/>
  <c r="AS30" i="58"/>
  <c r="AS29" i="58"/>
  <c r="AS28" i="58"/>
  <c r="AS27" i="58"/>
  <c r="BE42" i="58" l="1"/>
  <c r="BJ44" i="58"/>
  <c r="BE44" i="58"/>
  <c r="AS105" i="58" l="1"/>
  <c r="BS123" i="58" l="1"/>
  <c r="BR123" i="58"/>
  <c r="BJ123" i="58"/>
  <c r="BC123" i="58"/>
  <c r="BB123" i="58"/>
  <c r="BS122" i="58"/>
  <c r="BR122" i="58"/>
  <c r="BJ122" i="58"/>
  <c r="BC122" i="58"/>
  <c r="BB122" i="58"/>
  <c r="BE122" i="58" s="1"/>
  <c r="AS122" i="58"/>
  <c r="BS121" i="58"/>
  <c r="BR121" i="58"/>
  <c r="BH121" i="58"/>
  <c r="BG121" i="58"/>
  <c r="BD121" i="58"/>
  <c r="BC121" i="58"/>
  <c r="BB121" i="58"/>
  <c r="BS120" i="58"/>
  <c r="BR120" i="58"/>
  <c r="BH120" i="58"/>
  <c r="BG120" i="58"/>
  <c r="BD120" i="58"/>
  <c r="BC120" i="58"/>
  <c r="BB120" i="58"/>
  <c r="AS120" i="58"/>
  <c r="BS119" i="58"/>
  <c r="BR119" i="58"/>
  <c r="BI119" i="58"/>
  <c r="BH119" i="58"/>
  <c r="BD119" i="58"/>
  <c r="BC119" i="58"/>
  <c r="BB119" i="58"/>
  <c r="BS118" i="58"/>
  <c r="BR118" i="58"/>
  <c r="BI118" i="58"/>
  <c r="BH118" i="58"/>
  <c r="BG118" i="58"/>
  <c r="BD118" i="58"/>
  <c r="BC118" i="58"/>
  <c r="BB118" i="58"/>
  <c r="AS118" i="58"/>
  <c r="BS117" i="58"/>
  <c r="BR117" i="58"/>
  <c r="BI117" i="58"/>
  <c r="BH117" i="58"/>
  <c r="BG117" i="58"/>
  <c r="BD117" i="58"/>
  <c r="BC117" i="58"/>
  <c r="BB117" i="58"/>
  <c r="BS116" i="58"/>
  <c r="BR116" i="58"/>
  <c r="BI116" i="58"/>
  <c r="BH116" i="58"/>
  <c r="BG116" i="58"/>
  <c r="BD116" i="58"/>
  <c r="BC116" i="58"/>
  <c r="BB116" i="58"/>
  <c r="AS116" i="58"/>
  <c r="BS115" i="58"/>
  <c r="BR115" i="58"/>
  <c r="BJ115" i="58"/>
  <c r="BD115" i="58"/>
  <c r="BC115" i="58"/>
  <c r="BB115" i="58"/>
  <c r="AS115" i="58"/>
  <c r="BS114" i="58"/>
  <c r="BR114" i="58"/>
  <c r="BI114" i="58"/>
  <c r="BJ114" i="58" s="1"/>
  <c r="BD114" i="58"/>
  <c r="BC114" i="58"/>
  <c r="BB114" i="58"/>
  <c r="BS113" i="58"/>
  <c r="BR113" i="58"/>
  <c r="BI113" i="58"/>
  <c r="BJ113" i="58" s="1"/>
  <c r="BD113" i="58"/>
  <c r="BC113" i="58"/>
  <c r="BB113" i="58"/>
  <c r="AS113" i="58"/>
  <c r="BS112" i="58"/>
  <c r="BR112" i="58"/>
  <c r="BI112" i="58"/>
  <c r="BJ112" i="58" s="1"/>
  <c r="BD112" i="58"/>
  <c r="BC112" i="58"/>
  <c r="BB112" i="58"/>
  <c r="BS111" i="58"/>
  <c r="BR111" i="58"/>
  <c r="BI111" i="58"/>
  <c r="BJ111" i="58" s="1"/>
  <c r="BD111" i="58"/>
  <c r="BC111" i="58"/>
  <c r="BB111" i="58"/>
  <c r="AS111" i="58"/>
  <c r="BS110" i="58"/>
  <c r="BR110" i="58"/>
  <c r="BH110" i="58"/>
  <c r="BJ110" i="58" s="1"/>
  <c r="BD110" i="58"/>
  <c r="BC110" i="58"/>
  <c r="BB110" i="58"/>
  <c r="BS109" i="58"/>
  <c r="BR109" i="58"/>
  <c r="BH109" i="58"/>
  <c r="BJ109" i="58" s="1"/>
  <c r="BD109" i="58"/>
  <c r="BC109" i="58"/>
  <c r="BB109" i="58"/>
  <c r="AS109" i="58"/>
  <c r="BS108" i="58"/>
  <c r="BR108" i="58"/>
  <c r="BH108" i="58"/>
  <c r="BJ108" i="58" s="1"/>
  <c r="BD108" i="58"/>
  <c r="BC108" i="58"/>
  <c r="BB108" i="58"/>
  <c r="BS107" i="58"/>
  <c r="BR107" i="58"/>
  <c r="BH107" i="58"/>
  <c r="BJ107" i="58" s="1"/>
  <c r="BD107" i="58"/>
  <c r="BC107" i="58"/>
  <c r="BB107" i="58"/>
  <c r="AS107" i="58"/>
  <c r="BS106" i="58"/>
  <c r="BR106" i="58"/>
  <c r="BH106" i="58"/>
  <c r="BG106" i="58"/>
  <c r="BD106" i="58"/>
  <c r="BC106" i="58"/>
  <c r="BB106" i="58"/>
  <c r="BS105" i="58"/>
  <c r="BR105" i="58"/>
  <c r="BH105" i="58"/>
  <c r="BG105" i="58"/>
  <c r="BD105" i="58"/>
  <c r="BC105" i="58"/>
  <c r="BB105" i="58"/>
  <c r="BS104" i="58"/>
  <c r="BR104" i="58"/>
  <c r="BG104" i="58"/>
  <c r="BJ104" i="58" s="1"/>
  <c r="BD104" i="58"/>
  <c r="BC104" i="58"/>
  <c r="BB104" i="58"/>
  <c r="BS103" i="58"/>
  <c r="BR103" i="58"/>
  <c r="BG103" i="58"/>
  <c r="BJ103" i="58" s="1"/>
  <c r="BD103" i="58"/>
  <c r="BC103" i="58"/>
  <c r="BB103" i="58"/>
  <c r="AS103" i="58"/>
  <c r="BS102" i="58"/>
  <c r="BR102" i="58"/>
  <c r="BG102" i="58"/>
  <c r="BJ102" i="58" s="1"/>
  <c r="BD102" i="58"/>
  <c r="BC102" i="58"/>
  <c r="BB102" i="58"/>
  <c r="AS102" i="58"/>
  <c r="BS101" i="58"/>
  <c r="BR101" i="58"/>
  <c r="BJ101" i="58"/>
  <c r="BD101" i="58"/>
  <c r="BC101" i="58"/>
  <c r="BB101" i="58"/>
  <c r="AS101" i="58"/>
  <c r="BS100" i="58"/>
  <c r="BR100" i="58"/>
  <c r="BI100" i="58"/>
  <c r="BH100" i="58"/>
  <c r="BG100" i="58"/>
  <c r="BD100" i="58"/>
  <c r="BC100" i="58"/>
  <c r="BB100" i="58"/>
  <c r="AS100" i="58"/>
  <c r="BS99" i="58"/>
  <c r="BR99" i="58"/>
  <c r="BG99" i="58"/>
  <c r="BJ99" i="58" s="1"/>
  <c r="BD99" i="58"/>
  <c r="BC99" i="58"/>
  <c r="BB99" i="58"/>
  <c r="AS99" i="58"/>
  <c r="BS98" i="58"/>
  <c r="BR98" i="58"/>
  <c r="BI98" i="58"/>
  <c r="BH98" i="58"/>
  <c r="BG98" i="58"/>
  <c r="BD98" i="58"/>
  <c r="BC98" i="58"/>
  <c r="BB98" i="58"/>
  <c r="BS97" i="58"/>
  <c r="BR97" i="58"/>
  <c r="BI97" i="58"/>
  <c r="BH97" i="58"/>
  <c r="BG97" i="58"/>
  <c r="BD97" i="58"/>
  <c r="BC97" i="58"/>
  <c r="BB97" i="58"/>
  <c r="AS97" i="58"/>
  <c r="BS96" i="58"/>
  <c r="BR96" i="58"/>
  <c r="BI96" i="58"/>
  <c r="BJ96" i="58" s="1"/>
  <c r="BD96" i="58"/>
  <c r="BC96" i="58"/>
  <c r="BB96" i="58"/>
  <c r="AS96" i="58"/>
  <c r="AS95" i="58"/>
  <c r="AS124" i="58"/>
  <c r="BJ124" i="58"/>
  <c r="BR124" i="58"/>
  <c r="BS124" i="58" s="1"/>
  <c r="BE113" i="58" l="1"/>
  <c r="BE108" i="58"/>
  <c r="BE112" i="58"/>
  <c r="BE115" i="58"/>
  <c r="BE119" i="58"/>
  <c r="BJ121" i="58"/>
  <c r="BJ105" i="58"/>
  <c r="BE110" i="58"/>
  <c r="BJ97" i="58"/>
  <c r="BE97" i="58"/>
  <c r="BE96" i="58"/>
  <c r="BE98" i="58"/>
  <c r="BE100" i="58"/>
  <c r="BJ106" i="58"/>
  <c r="BE114" i="58"/>
  <c r="BJ119" i="58"/>
  <c r="BJ120" i="58"/>
  <c r="BE104" i="58"/>
  <c r="BE121" i="58"/>
  <c r="BE102" i="58"/>
  <c r="BE105" i="58"/>
  <c r="BE106" i="58"/>
  <c r="BE107" i="58"/>
  <c r="BE109" i="58"/>
  <c r="BE111" i="58"/>
  <c r="BJ116" i="58"/>
  <c r="BJ117" i="58"/>
  <c r="BJ118" i="58"/>
  <c r="BE99" i="58"/>
  <c r="BE101" i="58"/>
  <c r="BE116" i="58"/>
  <c r="BE117" i="58"/>
  <c r="BE118" i="58"/>
  <c r="BJ98" i="58"/>
  <c r="BJ100" i="58"/>
  <c r="BE103" i="58"/>
  <c r="BE120" i="58"/>
  <c r="BE123" i="58"/>
  <c r="BS137" i="58" l="1"/>
  <c r="BR137" i="58"/>
  <c r="BI137" i="58"/>
  <c r="BG137" i="58"/>
  <c r="BD137" i="58"/>
  <c r="BC137" i="58"/>
  <c r="BB137" i="58"/>
  <c r="AS137" i="58"/>
  <c r="BS136" i="58"/>
  <c r="BR136" i="58"/>
  <c r="BH136" i="58"/>
  <c r="BG136" i="58"/>
  <c r="BD136" i="58"/>
  <c r="BC136" i="58"/>
  <c r="BB136" i="58"/>
  <c r="AS136" i="58"/>
  <c r="BS135" i="58"/>
  <c r="BR135" i="58"/>
  <c r="BJ135" i="58"/>
  <c r="BD135" i="58"/>
  <c r="BC135" i="58"/>
  <c r="BB135" i="58"/>
  <c r="AS135" i="58"/>
  <c r="BS134" i="58"/>
  <c r="BR134" i="58"/>
  <c r="BI134" i="58"/>
  <c r="BH134" i="58"/>
  <c r="BD134" i="58"/>
  <c r="BC134" i="58"/>
  <c r="BB134" i="58"/>
  <c r="AS134" i="58"/>
  <c r="BS133" i="58"/>
  <c r="BR133" i="58"/>
  <c r="BJ133" i="58"/>
  <c r="BD133" i="58"/>
  <c r="BC133" i="58"/>
  <c r="BB133" i="58"/>
  <c r="AS133" i="58"/>
  <c r="BS132" i="58"/>
  <c r="BR132" i="58"/>
  <c r="BG132" i="58"/>
  <c r="BJ132" i="58" s="1"/>
  <c r="BD132" i="58"/>
  <c r="BC132" i="58"/>
  <c r="BB132" i="58"/>
  <c r="AS132" i="58"/>
  <c r="BJ131" i="58"/>
  <c r="BE131" i="58"/>
  <c r="AS131" i="58"/>
  <c r="BJ130" i="58"/>
  <c r="BE130" i="58"/>
  <c r="AS130" i="58"/>
  <c r="BJ129" i="58"/>
  <c r="AS129" i="58"/>
  <c r="BS128" i="58"/>
  <c r="BR128" i="58"/>
  <c r="BJ128" i="58"/>
  <c r="BD128" i="58"/>
  <c r="BC128" i="58"/>
  <c r="BB128" i="58"/>
  <c r="AS128" i="58"/>
  <c r="BS127" i="58"/>
  <c r="BR127" i="58"/>
  <c r="BJ127" i="58"/>
  <c r="BD127" i="58"/>
  <c r="BE127" i="58" s="1"/>
  <c r="AS127" i="58"/>
  <c r="BS126" i="58"/>
  <c r="BR126" i="58"/>
  <c r="BG126" i="58"/>
  <c r="BJ126" i="58" s="1"/>
  <c r="BD126" i="58"/>
  <c r="BC126" i="58"/>
  <c r="BB126" i="58"/>
  <c r="AS126" i="58"/>
  <c r="BS125" i="58"/>
  <c r="BR125" i="58"/>
  <c r="BJ125" i="58"/>
  <c r="BD125" i="58"/>
  <c r="BE125" i="58" s="1"/>
  <c r="AS125" i="58"/>
  <c r="BE137" i="58" l="1"/>
  <c r="BE134" i="58"/>
  <c r="BE133" i="58"/>
  <c r="BE132" i="58"/>
  <c r="BE135" i="58"/>
  <c r="BE126" i="58"/>
  <c r="BE128" i="58"/>
  <c r="BJ136" i="58"/>
  <c r="BJ134" i="58"/>
  <c r="BJ137" i="58"/>
  <c r="BE136" i="58"/>
  <c r="AS138" i="58"/>
  <c r="BB138" i="58"/>
  <c r="BC138" i="58"/>
  <c r="BD138" i="58"/>
  <c r="BJ138" i="58"/>
  <c r="BR138" i="58"/>
  <c r="BS138" i="58"/>
  <c r="AS139" i="58"/>
  <c r="BB139" i="58"/>
  <c r="BC139" i="58"/>
  <c r="BD139" i="58"/>
  <c r="BJ139" i="58"/>
  <c r="BR139" i="58"/>
  <c r="BS139" i="58"/>
  <c r="BE138" i="58" l="1"/>
  <c r="BE139" i="58"/>
  <c r="AS380" i="58" l="1"/>
  <c r="AS379" i="58"/>
  <c r="AS378" i="58"/>
  <c r="AS377" i="58"/>
  <c r="AS376" i="58"/>
  <c r="AS375" i="58"/>
  <c r="BR374" i="58"/>
  <c r="BS374" i="58" s="1"/>
  <c r="BJ374" i="58"/>
  <c r="BE374" i="58"/>
  <c r="AS374" i="58"/>
  <c r="BR373" i="58"/>
  <c r="BS373" i="58" s="1"/>
  <c r="BJ373" i="58"/>
  <c r="BE373" i="58"/>
  <c r="AS373" i="58"/>
  <c r="BR372" i="58"/>
  <c r="BS372" i="58" s="1"/>
  <c r="BJ372" i="58"/>
  <c r="BE372" i="58"/>
  <c r="AS372" i="58"/>
  <c r="BR371" i="58"/>
  <c r="BS371" i="58" s="1"/>
  <c r="BJ371" i="58"/>
  <c r="BE371" i="58"/>
  <c r="AS371" i="58"/>
  <c r="BR370" i="58"/>
  <c r="BS370" i="58" s="1"/>
  <c r="BJ370" i="58"/>
  <c r="BE370" i="58"/>
  <c r="AS370" i="58"/>
  <c r="BR369" i="58"/>
  <c r="BS369" i="58" s="1"/>
  <c r="BJ369" i="58"/>
  <c r="BE369" i="58"/>
  <c r="AS369" i="58"/>
  <c r="BR368" i="58"/>
  <c r="BS368" i="58" s="1"/>
  <c r="BJ368" i="58"/>
  <c r="BE368" i="58"/>
  <c r="AS368" i="58"/>
  <c r="BR367" i="58"/>
  <c r="BS367" i="58" s="1"/>
  <c r="BJ367" i="58"/>
  <c r="BE367" i="58"/>
  <c r="AS367" i="58"/>
  <c r="BR366" i="58"/>
  <c r="BS366" i="58" s="1"/>
  <c r="BJ366" i="58"/>
  <c r="BE366" i="58"/>
  <c r="AS366" i="58"/>
  <c r="BR365" i="58"/>
  <c r="BS365" i="58" s="1"/>
  <c r="BJ365" i="58"/>
  <c r="BE365" i="58"/>
  <c r="AS365" i="58"/>
  <c r="BR364" i="58"/>
  <c r="BS364" i="58" s="1"/>
  <c r="BJ364" i="58"/>
  <c r="BE364" i="58"/>
  <c r="AS364" i="58"/>
  <c r="BR363" i="58"/>
  <c r="BS363" i="58" s="1"/>
  <c r="BJ363" i="58"/>
  <c r="BE363" i="58"/>
  <c r="AS363" i="58"/>
  <c r="BR362" i="58"/>
  <c r="BS362" i="58" s="1"/>
  <c r="BJ362" i="58"/>
  <c r="BE362" i="58"/>
  <c r="AS362" i="58"/>
  <c r="BR361" i="58"/>
  <c r="BS361" i="58" s="1"/>
  <c r="BJ361" i="58"/>
  <c r="BE361" i="58"/>
  <c r="AS361" i="58"/>
  <c r="BR360" i="58"/>
  <c r="BS360" i="58" s="1"/>
  <c r="BJ360" i="58"/>
  <c r="BE360" i="58"/>
  <c r="AS360" i="58"/>
  <c r="AS359" i="58"/>
  <c r="AS358" i="58"/>
  <c r="BR357" i="58"/>
  <c r="BS357" i="58" s="1"/>
  <c r="BJ357" i="58"/>
  <c r="BE357" i="58"/>
  <c r="AS357" i="58"/>
  <c r="BR356" i="58"/>
  <c r="BS356" i="58" s="1"/>
  <c r="BJ356" i="58"/>
  <c r="BE356" i="58"/>
  <c r="AS356" i="58"/>
  <c r="BR355" i="58"/>
  <c r="BK355" i="58"/>
  <c r="BJ355" i="58"/>
  <c r="AS355" i="58"/>
  <c r="BR354" i="58"/>
  <c r="BK354" i="58"/>
  <c r="BJ354" i="58"/>
  <c r="AS354" i="58"/>
  <c r="BR353" i="58"/>
  <c r="BK353" i="58"/>
  <c r="BS353" i="58" s="1"/>
  <c r="BJ353" i="58"/>
  <c r="AS353" i="58"/>
  <c r="BS352" i="58"/>
  <c r="BR352" i="58"/>
  <c r="BJ352" i="58"/>
  <c r="AS352" i="58"/>
  <c r="BR351" i="58"/>
  <c r="BK351" i="58"/>
  <c r="BS351" i="58" s="1"/>
  <c r="BJ351" i="58"/>
  <c r="AS351" i="58"/>
  <c r="BR350" i="58"/>
  <c r="BK350" i="58"/>
  <c r="BS350" i="58" s="1"/>
  <c r="BJ350" i="58"/>
  <c r="AS350" i="58"/>
  <c r="BS349" i="58"/>
  <c r="BR349" i="58"/>
  <c r="BJ349" i="58"/>
  <c r="AS349" i="58"/>
  <c r="BR348" i="58"/>
  <c r="BK348" i="58"/>
  <c r="BS348" i="58" s="1"/>
  <c r="BJ348" i="58"/>
  <c r="BE348" i="58"/>
  <c r="AS348" i="58"/>
  <c r="BR347" i="58"/>
  <c r="BK347" i="58"/>
  <c r="BS347" i="58" s="1"/>
  <c r="BJ347" i="58"/>
  <c r="BE347" i="58"/>
  <c r="AS347" i="58"/>
  <c r="BR346" i="58"/>
  <c r="BJ346" i="58"/>
  <c r="BF346" i="58"/>
  <c r="BK346" i="58" s="1"/>
  <c r="BS346" i="58" s="1"/>
  <c r="BE346" i="58"/>
  <c r="AS346" i="58"/>
  <c r="BR345" i="58"/>
  <c r="BJ345" i="58"/>
  <c r="BF345" i="58"/>
  <c r="BK345" i="58" s="1"/>
  <c r="BS345" i="58" s="1"/>
  <c r="BE345" i="58"/>
  <c r="AS345" i="58"/>
  <c r="BR344" i="58"/>
  <c r="BJ344" i="58"/>
  <c r="BF344" i="58"/>
  <c r="BK344" i="58" s="1"/>
  <c r="BS344" i="58" s="1"/>
  <c r="BE344" i="58"/>
  <c r="AS344" i="58"/>
  <c r="BR343" i="58"/>
  <c r="BK343" i="58"/>
  <c r="BS343" i="58" s="1"/>
  <c r="BJ343" i="58"/>
  <c r="AS343" i="58"/>
  <c r="BS342" i="58"/>
  <c r="BR342" i="58"/>
  <c r="BJ342" i="58"/>
  <c r="AS342" i="58"/>
  <c r="BR341" i="58"/>
  <c r="BK341" i="58"/>
  <c r="BS341" i="58" s="1"/>
  <c r="BJ341" i="58"/>
  <c r="AS341" i="58"/>
  <c r="BR340" i="58"/>
  <c r="BK340" i="58"/>
  <c r="BS340" i="58" s="1"/>
  <c r="BJ340" i="58"/>
  <c r="AS340" i="58"/>
  <c r="BS339" i="58"/>
  <c r="BR339" i="58"/>
  <c r="BJ339" i="58"/>
  <c r="AS339" i="58"/>
  <c r="BR338" i="58"/>
  <c r="BK338" i="58"/>
  <c r="BS338" i="58" s="1"/>
  <c r="BJ338" i="58"/>
  <c r="BE338" i="58"/>
  <c r="AS338" i="58"/>
  <c r="BR337" i="58"/>
  <c r="BK337" i="58"/>
  <c r="BS337" i="58" s="1"/>
  <c r="BJ337" i="58"/>
  <c r="BE337" i="58"/>
  <c r="AS337" i="58"/>
  <c r="BR336" i="58"/>
  <c r="BK336" i="58"/>
  <c r="BS336" i="58" s="1"/>
  <c r="BJ336" i="58"/>
  <c r="BE336" i="58"/>
  <c r="AS336" i="58"/>
  <c r="BR335" i="58"/>
  <c r="BK335" i="58"/>
  <c r="BS335" i="58" s="1"/>
  <c r="BJ335" i="58"/>
  <c r="BE335" i="58"/>
  <c r="AS335" i="58"/>
  <c r="BR334" i="58"/>
  <c r="BK334" i="58"/>
  <c r="BS334" i="58" s="1"/>
  <c r="BJ334" i="58"/>
  <c r="BE334" i="58"/>
  <c r="AS334" i="58"/>
  <c r="BR333" i="58"/>
  <c r="BK333" i="58"/>
  <c r="BS333" i="58" s="1"/>
  <c r="BJ333" i="58"/>
  <c r="BE333" i="58"/>
  <c r="AS333" i="58"/>
  <c r="BR332" i="58"/>
  <c r="BK332" i="58"/>
  <c r="BS332" i="58" s="1"/>
  <c r="BJ332" i="58"/>
  <c r="BE332" i="58"/>
  <c r="AS332" i="58"/>
  <c r="BR331" i="58"/>
  <c r="BK331" i="58"/>
  <c r="BS331" i="58" s="1"/>
  <c r="BJ331" i="58"/>
  <c r="BE331" i="58"/>
  <c r="BS330" i="58"/>
  <c r="BR330" i="58"/>
  <c r="BJ330" i="58"/>
  <c r="AS330" i="58"/>
  <c r="BR329" i="58"/>
  <c r="BK329" i="58"/>
  <c r="BS329" i="58" s="1"/>
  <c r="BJ329" i="58"/>
  <c r="BE329" i="58"/>
  <c r="AS329" i="58"/>
  <c r="BR328" i="58"/>
  <c r="BK328" i="58"/>
  <c r="BS328" i="58" s="1"/>
  <c r="BJ328" i="58"/>
  <c r="BE328" i="58"/>
  <c r="AS328" i="58"/>
  <c r="BR327" i="58"/>
  <c r="BK327" i="58"/>
  <c r="BS327" i="58" s="1"/>
  <c r="BJ327" i="58"/>
  <c r="BE327" i="58"/>
  <c r="AS327" i="58"/>
  <c r="BR326" i="58"/>
  <c r="BK326" i="58"/>
  <c r="BS326" i="58" s="1"/>
  <c r="BJ326" i="58"/>
  <c r="AS326" i="58"/>
  <c r="BR325" i="58"/>
  <c r="BK325" i="58"/>
  <c r="BS325" i="58" s="1"/>
  <c r="BJ325" i="58"/>
  <c r="BE325" i="58"/>
  <c r="AS325" i="58"/>
  <c r="BS324" i="58"/>
  <c r="BR324" i="58"/>
  <c r="BJ324" i="58"/>
  <c r="BE324" i="58"/>
  <c r="AS324" i="58"/>
  <c r="BR323" i="58"/>
  <c r="BK323" i="58"/>
  <c r="BS323" i="58" s="1"/>
  <c r="BJ323" i="58"/>
  <c r="AS323" i="58"/>
  <c r="BS322" i="58"/>
  <c r="BR322" i="58"/>
  <c r="BJ322" i="58"/>
  <c r="AS322" i="58"/>
  <c r="BR321" i="58"/>
  <c r="BK321" i="58"/>
  <c r="BS321" i="58" s="1"/>
  <c r="BJ321" i="58"/>
  <c r="BE321" i="58"/>
  <c r="AS321" i="58"/>
  <c r="BR320" i="58"/>
  <c r="BK320" i="58"/>
  <c r="BS320" i="58" s="1"/>
  <c r="BJ320" i="58"/>
  <c r="BE320" i="58"/>
  <c r="AS320" i="58"/>
  <c r="BR319" i="58"/>
  <c r="BK319" i="58"/>
  <c r="BS319" i="58" s="1"/>
  <c r="BJ319" i="58"/>
  <c r="BE319" i="58"/>
  <c r="AS319" i="58"/>
  <c r="BR318" i="58"/>
  <c r="BK318" i="58"/>
  <c r="BS318" i="58" s="1"/>
  <c r="BJ318" i="58"/>
  <c r="BE318" i="58"/>
  <c r="AS318" i="58"/>
  <c r="BS317" i="58"/>
  <c r="BR317" i="58"/>
  <c r="BJ317" i="58"/>
  <c r="AS317" i="58"/>
  <c r="BS316" i="58"/>
  <c r="BR316" i="58"/>
  <c r="BJ316" i="58"/>
  <c r="AS316" i="58"/>
  <c r="BS315" i="58"/>
  <c r="BR315" i="58"/>
  <c r="BJ315" i="58"/>
  <c r="AS315" i="58"/>
  <c r="BS314" i="58"/>
  <c r="BR314" i="58"/>
  <c r="BJ314" i="58"/>
  <c r="AS314" i="58"/>
  <c r="BS313" i="58"/>
  <c r="BR313" i="58"/>
  <c r="BJ313" i="58"/>
  <c r="AS313" i="58"/>
  <c r="BR312" i="58"/>
  <c r="BK312" i="58"/>
  <c r="BS312" i="58" s="1"/>
  <c r="BJ312" i="58"/>
  <c r="BE312" i="58"/>
  <c r="AS312" i="58"/>
  <c r="BR311" i="58"/>
  <c r="BJ311" i="58"/>
  <c r="BF311" i="58"/>
  <c r="BK311" i="58" s="1"/>
  <c r="BS311" i="58" s="1"/>
  <c r="BE311" i="58"/>
  <c r="AS311" i="58"/>
  <c r="BR310" i="58"/>
  <c r="BK310" i="58"/>
  <c r="BS310" i="58" s="1"/>
  <c r="BJ310" i="58"/>
  <c r="AS310" i="58"/>
  <c r="BR309" i="58"/>
  <c r="BK309" i="58"/>
  <c r="BS309" i="58" s="1"/>
  <c r="BJ309" i="58"/>
  <c r="AS309" i="58"/>
  <c r="BR308" i="58"/>
  <c r="BK308" i="58"/>
  <c r="BS308" i="58" s="1"/>
  <c r="BJ308" i="58"/>
  <c r="AS308" i="58"/>
  <c r="BR307" i="58"/>
  <c r="BK307" i="58"/>
  <c r="BS307" i="58" s="1"/>
  <c r="BJ307" i="58"/>
  <c r="BE307" i="58"/>
  <c r="AS307" i="58"/>
  <c r="BR306" i="58"/>
  <c r="BK306" i="58"/>
  <c r="BS306" i="58" s="1"/>
  <c r="BJ306" i="58"/>
  <c r="BE306" i="58"/>
  <c r="AS306" i="58"/>
  <c r="BS305" i="58"/>
  <c r="BR305" i="58"/>
  <c r="BJ305" i="58"/>
  <c r="AS305" i="58"/>
  <c r="BR304" i="58"/>
  <c r="BK304" i="58"/>
  <c r="BS304" i="58" s="1"/>
  <c r="BJ304" i="58"/>
  <c r="BE304" i="58"/>
  <c r="AS304" i="58"/>
  <c r="BR303" i="58"/>
  <c r="BK303" i="58"/>
  <c r="BS303" i="58" s="1"/>
  <c r="BJ303" i="58"/>
  <c r="BE303" i="58"/>
  <c r="AS303" i="58"/>
  <c r="BR302" i="58"/>
  <c r="BK302" i="58"/>
  <c r="BS302" i="58" s="1"/>
  <c r="BJ302" i="58"/>
  <c r="BE302" i="58"/>
  <c r="AS302" i="58"/>
  <c r="BR301" i="58"/>
  <c r="BK301" i="58"/>
  <c r="BS301" i="58" s="1"/>
  <c r="BJ301" i="58"/>
  <c r="AS301" i="58"/>
  <c r="BR300" i="58"/>
  <c r="BK300" i="58"/>
  <c r="BS300" i="58" s="1"/>
  <c r="BJ300" i="58"/>
  <c r="BE300" i="58"/>
  <c r="AS300" i="58"/>
  <c r="BR299" i="58"/>
  <c r="BK299" i="58"/>
  <c r="BS299" i="58" s="1"/>
  <c r="BJ299" i="58"/>
  <c r="AS299" i="58"/>
  <c r="BR298" i="58"/>
  <c r="BK298" i="58"/>
  <c r="BS298" i="58" s="1"/>
  <c r="BJ298" i="58"/>
  <c r="BE298" i="58"/>
  <c r="AS298" i="58"/>
  <c r="BS297" i="58"/>
  <c r="BR297" i="58"/>
  <c r="BJ297" i="58"/>
  <c r="AS297" i="58"/>
  <c r="BS296" i="58"/>
  <c r="BR296" i="58"/>
  <c r="BJ296" i="58"/>
  <c r="AS296" i="58"/>
  <c r="BS295" i="58"/>
  <c r="BR295" i="58"/>
  <c r="BJ295" i="58"/>
  <c r="AS295" i="58"/>
  <c r="BR294" i="58"/>
  <c r="BK294" i="58"/>
  <c r="BS294" i="58" s="1"/>
  <c r="BJ294" i="58"/>
  <c r="BE294" i="58"/>
  <c r="AS294" i="58"/>
  <c r="BS293" i="58"/>
  <c r="BR293" i="58"/>
  <c r="BJ293" i="58"/>
  <c r="AS293" i="58"/>
  <c r="BS292" i="58"/>
  <c r="BR292" i="58"/>
  <c r="BJ292" i="58"/>
  <c r="AS292" i="58"/>
  <c r="BR291" i="58"/>
  <c r="BK291" i="58"/>
  <c r="BS291" i="58" s="1"/>
  <c r="BJ291" i="58"/>
  <c r="AS291" i="58"/>
  <c r="BR290" i="58"/>
  <c r="BK290" i="58"/>
  <c r="BS290" i="58" s="1"/>
  <c r="BJ290" i="58"/>
  <c r="AS290" i="58"/>
  <c r="BR289" i="58"/>
  <c r="BK289" i="58"/>
  <c r="BS289" i="58" s="1"/>
  <c r="BJ289" i="58"/>
  <c r="AS289" i="58"/>
  <c r="BR288" i="58"/>
  <c r="BK288" i="58"/>
  <c r="BS288" i="58" s="1"/>
  <c r="BJ288" i="58"/>
  <c r="AS288" i="58"/>
  <c r="BR287" i="58"/>
  <c r="BK287" i="58"/>
  <c r="BS287" i="58" s="1"/>
  <c r="BJ287" i="58"/>
  <c r="BE287" i="58"/>
  <c r="AS287" i="58"/>
  <c r="BR286" i="58"/>
  <c r="BK286" i="58"/>
  <c r="BS286" i="58" s="1"/>
  <c r="BJ286" i="58"/>
  <c r="AS286" i="58"/>
  <c r="BR285" i="58"/>
  <c r="BK285" i="58"/>
  <c r="BS285" i="58" s="1"/>
  <c r="BJ285" i="58"/>
  <c r="AS285" i="58"/>
  <c r="BR284" i="58"/>
  <c r="BK284" i="58"/>
  <c r="BS284" i="58" s="1"/>
  <c r="BJ284" i="58"/>
  <c r="AS284" i="58"/>
  <c r="BR283" i="58"/>
  <c r="BK283" i="58"/>
  <c r="BS283" i="58" s="1"/>
  <c r="BJ283" i="58"/>
  <c r="AS283" i="58"/>
  <c r="BS282" i="58"/>
  <c r="BR282" i="58"/>
  <c r="BJ282" i="58"/>
  <c r="BR281" i="58"/>
  <c r="BK281" i="58"/>
  <c r="BS281" i="58" s="1"/>
  <c r="BJ281" i="58"/>
  <c r="AS281" i="58"/>
  <c r="BR280" i="58"/>
  <c r="BK280" i="58"/>
  <c r="BS280" i="58" s="1"/>
  <c r="BJ280" i="58"/>
  <c r="AS280" i="58"/>
  <c r="BR279" i="58"/>
  <c r="BK279" i="58"/>
  <c r="BS279" i="58" s="1"/>
  <c r="BJ279" i="58"/>
  <c r="AS279" i="58"/>
  <c r="BR278" i="58"/>
  <c r="BK278" i="58"/>
  <c r="BS278" i="58" s="1"/>
  <c r="BJ278" i="58"/>
  <c r="AS278" i="58"/>
  <c r="BR277" i="58"/>
  <c r="BK277" i="58"/>
  <c r="BS277" i="58" s="1"/>
  <c r="BJ277" i="58"/>
  <c r="AS277" i="58"/>
  <c r="BR276" i="58"/>
  <c r="BK276" i="58"/>
  <c r="BS276" i="58" s="1"/>
  <c r="BJ276" i="58"/>
  <c r="BE276" i="58"/>
  <c r="AS276" i="58"/>
  <c r="BR275" i="58"/>
  <c r="BJ275" i="58"/>
  <c r="BS275" i="58" s="1"/>
  <c r="AS275" i="58"/>
  <c r="BR274" i="58"/>
  <c r="BK274" i="58"/>
  <c r="BS274" i="58" s="1"/>
  <c r="BJ274" i="58"/>
  <c r="BE274" i="58"/>
  <c r="AS274" i="58"/>
  <c r="BR273" i="58"/>
  <c r="BK273" i="58"/>
  <c r="BS273" i="58" s="1"/>
  <c r="BJ273" i="58"/>
  <c r="BE273" i="58"/>
  <c r="AS273" i="58"/>
  <c r="BR272" i="58"/>
  <c r="BJ272" i="58"/>
  <c r="BF272" i="58"/>
  <c r="BK272" i="58" s="1"/>
  <c r="BS272" i="58" s="1"/>
  <c r="BE272" i="58"/>
  <c r="AS272" i="58"/>
  <c r="BR271" i="58"/>
  <c r="BK271" i="58"/>
  <c r="BS271" i="58" s="1"/>
  <c r="BJ271" i="58"/>
  <c r="BE271" i="58"/>
  <c r="AS271" i="58"/>
  <c r="BR270" i="58"/>
  <c r="BK270" i="58"/>
  <c r="BS270" i="58" s="1"/>
  <c r="BJ270" i="58"/>
  <c r="BE270" i="58"/>
  <c r="AS270" i="58"/>
  <c r="BR269" i="58"/>
  <c r="BK269" i="58"/>
  <c r="BS269" i="58" s="1"/>
  <c r="BJ269" i="58"/>
  <c r="BE269" i="58"/>
  <c r="AS269" i="58"/>
  <c r="BR268" i="58"/>
  <c r="BK268" i="58"/>
  <c r="BS268" i="58" s="1"/>
  <c r="BJ268" i="58"/>
  <c r="AS268" i="58"/>
  <c r="BR267" i="58"/>
  <c r="BK267" i="58"/>
  <c r="BS267" i="58" s="1"/>
  <c r="BJ267" i="58"/>
  <c r="AS267" i="58"/>
  <c r="BS266" i="58"/>
  <c r="BR266" i="58"/>
  <c r="BJ266" i="58"/>
  <c r="AS266" i="58"/>
  <c r="BR265" i="58"/>
  <c r="BK265" i="58"/>
  <c r="BS265" i="58" s="1"/>
  <c r="BJ265" i="58"/>
  <c r="AS265" i="58"/>
  <c r="AS264" i="58"/>
  <c r="AS263" i="58"/>
  <c r="BS262" i="58"/>
  <c r="BR262" i="58"/>
  <c r="BJ262" i="58"/>
  <c r="AS262" i="58"/>
  <c r="BR261" i="58"/>
  <c r="BK261" i="58"/>
  <c r="BS261" i="58" s="1"/>
  <c r="BJ261" i="58"/>
  <c r="AS261" i="58"/>
  <c r="BS260" i="58"/>
  <c r="BR260" i="58"/>
  <c r="BJ260" i="58"/>
  <c r="AS260" i="58"/>
  <c r="BS259" i="58"/>
  <c r="BR259" i="58"/>
  <c r="BJ259" i="58"/>
  <c r="AS259" i="58"/>
  <c r="BR258" i="58"/>
  <c r="BK258" i="58"/>
  <c r="BS258" i="58" s="1"/>
  <c r="BJ258" i="58"/>
  <c r="AS258" i="58"/>
  <c r="BR257" i="58"/>
  <c r="BK257" i="58"/>
  <c r="BS257" i="58" s="1"/>
  <c r="BJ257" i="58"/>
  <c r="AS257" i="58"/>
  <c r="BR256" i="58"/>
  <c r="BI256" i="58"/>
  <c r="BH256" i="58"/>
  <c r="BG256" i="58"/>
  <c r="BF256" i="58"/>
  <c r="BK256" i="58" s="1"/>
  <c r="BS256" i="58" s="1"/>
  <c r="BD256" i="58"/>
  <c r="BC256" i="58"/>
  <c r="BB256" i="58"/>
  <c r="AS256" i="58"/>
  <c r="BR255" i="58"/>
  <c r="BI255" i="58"/>
  <c r="BH255" i="58"/>
  <c r="BG255" i="58"/>
  <c r="BF255" i="58"/>
  <c r="BK255" i="58" s="1"/>
  <c r="BS255" i="58" s="1"/>
  <c r="BD255" i="58"/>
  <c r="BC255" i="58"/>
  <c r="BB255" i="58"/>
  <c r="AS255" i="58"/>
  <c r="BR254" i="58"/>
  <c r="BI254" i="58"/>
  <c r="BH254" i="58"/>
  <c r="BG254" i="58"/>
  <c r="BF254" i="58"/>
  <c r="BK254" i="58" s="1"/>
  <c r="BS254" i="58" s="1"/>
  <c r="BD254" i="58"/>
  <c r="BC254" i="58"/>
  <c r="BB254" i="58"/>
  <c r="AS254" i="58"/>
  <c r="BR253" i="58"/>
  <c r="BI253" i="58"/>
  <c r="BH253" i="58"/>
  <c r="BG253" i="58"/>
  <c r="BF253" i="58"/>
  <c r="BK253" i="58" s="1"/>
  <c r="BS253" i="58" s="1"/>
  <c r="BD253" i="58"/>
  <c r="BC253" i="58"/>
  <c r="BB253" i="58"/>
  <c r="AS253" i="58"/>
  <c r="BR252" i="58"/>
  <c r="BI252" i="58"/>
  <c r="BH252" i="58"/>
  <c r="BG252" i="58"/>
  <c r="BF252" i="58"/>
  <c r="BK252" i="58" s="1"/>
  <c r="BS252" i="58" s="1"/>
  <c r="AS252" i="58"/>
  <c r="BR251" i="58"/>
  <c r="BI251" i="58"/>
  <c r="BH251" i="58"/>
  <c r="BG251" i="58"/>
  <c r="BF251" i="58"/>
  <c r="BK251" i="58" s="1"/>
  <c r="BS251" i="58" s="1"/>
  <c r="BD251" i="58"/>
  <c r="BC251" i="58"/>
  <c r="BB251" i="58"/>
  <c r="AS251" i="58"/>
  <c r="BR250" i="58"/>
  <c r="BK250" i="58"/>
  <c r="BS250" i="58" s="1"/>
  <c r="BI250" i="58"/>
  <c r="BH250" i="58"/>
  <c r="BG250" i="58"/>
  <c r="AS250" i="58"/>
  <c r="BR249" i="58"/>
  <c r="BK249" i="58"/>
  <c r="BS249" i="58" s="1"/>
  <c r="BI249" i="58"/>
  <c r="BH249" i="58"/>
  <c r="BG249" i="58"/>
  <c r="AS249" i="58"/>
  <c r="BR248" i="58"/>
  <c r="BK248" i="58"/>
  <c r="BS248" i="58" s="1"/>
  <c r="BI248" i="58"/>
  <c r="BH248" i="58"/>
  <c r="BG248" i="58"/>
  <c r="AS248" i="58"/>
  <c r="BR247" i="58"/>
  <c r="BK247" i="58"/>
  <c r="BS247" i="58" s="1"/>
  <c r="BI247" i="58"/>
  <c r="BH247" i="58"/>
  <c r="BG247" i="58"/>
  <c r="AS247" i="58"/>
  <c r="BR246" i="58"/>
  <c r="BK246" i="58"/>
  <c r="BS246" i="58" s="1"/>
  <c r="BI246" i="58"/>
  <c r="BH246" i="58"/>
  <c r="BG246" i="58"/>
  <c r="AS246" i="58"/>
  <c r="BR245" i="58"/>
  <c r="BK245" i="58"/>
  <c r="BS245" i="58" s="1"/>
  <c r="BI245" i="58"/>
  <c r="BH245" i="58"/>
  <c r="BG245" i="58"/>
  <c r="AS245" i="58"/>
  <c r="BR244" i="58"/>
  <c r="BK244" i="58"/>
  <c r="BS244" i="58" s="1"/>
  <c r="BI244" i="58"/>
  <c r="BH244" i="58"/>
  <c r="BG244" i="58"/>
  <c r="AS244" i="58"/>
  <c r="BR243" i="58"/>
  <c r="BI243" i="58"/>
  <c r="BH243" i="58"/>
  <c r="BG243" i="58"/>
  <c r="BF243" i="58"/>
  <c r="BK243" i="58" s="1"/>
  <c r="BS243" i="58" s="1"/>
  <c r="BD243" i="58"/>
  <c r="BC243" i="58"/>
  <c r="BB243" i="58"/>
  <c r="AS243" i="58"/>
  <c r="BR242" i="58"/>
  <c r="BI242" i="58"/>
  <c r="BH242" i="58"/>
  <c r="BG242" i="58"/>
  <c r="BF242" i="58"/>
  <c r="BK242" i="58" s="1"/>
  <c r="BS242" i="58" s="1"/>
  <c r="BD242" i="58"/>
  <c r="BC242" i="58"/>
  <c r="BB242" i="58"/>
  <c r="AS242" i="58"/>
  <c r="BR241" i="58"/>
  <c r="BK241" i="58"/>
  <c r="BS241" i="58" s="1"/>
  <c r="BI241" i="58"/>
  <c r="BH241" i="58"/>
  <c r="BG241" i="58"/>
  <c r="AS241" i="58"/>
  <c r="BR240" i="58"/>
  <c r="BI240" i="58"/>
  <c r="BH240" i="58"/>
  <c r="BG240" i="58"/>
  <c r="BF240" i="58"/>
  <c r="BK240" i="58" s="1"/>
  <c r="BS240" i="58" s="1"/>
  <c r="BE240" i="58"/>
  <c r="AS240" i="58"/>
  <c r="BR239" i="58"/>
  <c r="BI239" i="58"/>
  <c r="BH239" i="58"/>
  <c r="BG239" i="58"/>
  <c r="BF239" i="58"/>
  <c r="BK239" i="58" s="1"/>
  <c r="BS239" i="58" s="1"/>
  <c r="BD239" i="58"/>
  <c r="BC239" i="58"/>
  <c r="BB239" i="58"/>
  <c r="AS239" i="58"/>
  <c r="BR238" i="58"/>
  <c r="BI238" i="58"/>
  <c r="BH238" i="58"/>
  <c r="BG238" i="58"/>
  <c r="BF238" i="58"/>
  <c r="BK238" i="58" s="1"/>
  <c r="BS238" i="58" s="1"/>
  <c r="BD238" i="58"/>
  <c r="BC238" i="58"/>
  <c r="BB238" i="58"/>
  <c r="AS238" i="58"/>
  <c r="BR237" i="58"/>
  <c r="BI237" i="58"/>
  <c r="BH237" i="58"/>
  <c r="BG237" i="58"/>
  <c r="BF237" i="58"/>
  <c r="BK237" i="58" s="1"/>
  <c r="BS237" i="58" s="1"/>
  <c r="BD237" i="58"/>
  <c r="BC237" i="58"/>
  <c r="BB237" i="58"/>
  <c r="AS237" i="58"/>
  <c r="BR236" i="58"/>
  <c r="BK236" i="58"/>
  <c r="BS236" i="58" s="1"/>
  <c r="BI236" i="58"/>
  <c r="BH236" i="58"/>
  <c r="BG236" i="58"/>
  <c r="AS236" i="58"/>
  <c r="BR235" i="58"/>
  <c r="BI235" i="58"/>
  <c r="BH235" i="58"/>
  <c r="BG235" i="58"/>
  <c r="BF235" i="58"/>
  <c r="BK235" i="58" s="1"/>
  <c r="BS235" i="58" s="1"/>
  <c r="BE235" i="58"/>
  <c r="AS235" i="58"/>
  <c r="BR234" i="58"/>
  <c r="BI234" i="58"/>
  <c r="BH234" i="58"/>
  <c r="BG234" i="58"/>
  <c r="BF234" i="58"/>
  <c r="BK234" i="58" s="1"/>
  <c r="BS234" i="58" s="1"/>
  <c r="BD234" i="58"/>
  <c r="BC234" i="58"/>
  <c r="BB234" i="58"/>
  <c r="AS234" i="58"/>
  <c r="BR233" i="58"/>
  <c r="BI233" i="58"/>
  <c r="BH233" i="58"/>
  <c r="BG233" i="58"/>
  <c r="BF233" i="58"/>
  <c r="BK233" i="58" s="1"/>
  <c r="BS233" i="58" s="1"/>
  <c r="BD233" i="58"/>
  <c r="BC233" i="58"/>
  <c r="BB233" i="58"/>
  <c r="AS233" i="58"/>
  <c r="BR232" i="58"/>
  <c r="BI232" i="58"/>
  <c r="BH232" i="58"/>
  <c r="BG232" i="58"/>
  <c r="BF232" i="58"/>
  <c r="BK232" i="58" s="1"/>
  <c r="BS232" i="58" s="1"/>
  <c r="BE232" i="58"/>
  <c r="AS232" i="58"/>
  <c r="BR231" i="58"/>
  <c r="BK231" i="58"/>
  <c r="BS231" i="58" s="1"/>
  <c r="BI231" i="58"/>
  <c r="BH231" i="58"/>
  <c r="BG231" i="58"/>
  <c r="AS231" i="58"/>
  <c r="BR217" i="58"/>
  <c r="BK217" i="58"/>
  <c r="BS217" i="58" s="1"/>
  <c r="BI217" i="58"/>
  <c r="BH217" i="58"/>
  <c r="BG217" i="58"/>
  <c r="AS217" i="58"/>
  <c r="BR216" i="58"/>
  <c r="BI216" i="58"/>
  <c r="BH216" i="58"/>
  <c r="BG216" i="58"/>
  <c r="BF216" i="58"/>
  <c r="BK216" i="58" s="1"/>
  <c r="BS216" i="58" s="1"/>
  <c r="BD216" i="58"/>
  <c r="BC216" i="58"/>
  <c r="BB216" i="58"/>
  <c r="AS216" i="58"/>
  <c r="BR215" i="58"/>
  <c r="BK215" i="58"/>
  <c r="BS215" i="58" s="1"/>
  <c r="BI215" i="58"/>
  <c r="BH215" i="58"/>
  <c r="BG215" i="58"/>
  <c r="AS215" i="58"/>
  <c r="BR214" i="58"/>
  <c r="BI214" i="58"/>
  <c r="BH214" i="58"/>
  <c r="BG214" i="58"/>
  <c r="BF214" i="58"/>
  <c r="BK214" i="58" s="1"/>
  <c r="BS214" i="58" s="1"/>
  <c r="BD214" i="58"/>
  <c r="BC214" i="58"/>
  <c r="BB214" i="58"/>
  <c r="AS214" i="58"/>
  <c r="BR213" i="58"/>
  <c r="BI213" i="58"/>
  <c r="BH213" i="58"/>
  <c r="BG213" i="58"/>
  <c r="BF213" i="58"/>
  <c r="BK213" i="58" s="1"/>
  <c r="BS213" i="58" s="1"/>
  <c r="BD213" i="58"/>
  <c r="BC213" i="58"/>
  <c r="BB213" i="58"/>
  <c r="AS213" i="58"/>
  <c r="BR212" i="58"/>
  <c r="BI212" i="58"/>
  <c r="BH212" i="58"/>
  <c r="BG212" i="58"/>
  <c r="BF212" i="58"/>
  <c r="BK212" i="58" s="1"/>
  <c r="BS212" i="58" s="1"/>
  <c r="BD212" i="58"/>
  <c r="BC212" i="58"/>
  <c r="BB212" i="58"/>
  <c r="AS212" i="58"/>
  <c r="BR211" i="58"/>
  <c r="BI211" i="58"/>
  <c r="BH211" i="58"/>
  <c r="BG211" i="58"/>
  <c r="BF211" i="58"/>
  <c r="BK211" i="58" s="1"/>
  <c r="BS211" i="58" s="1"/>
  <c r="BD211" i="58"/>
  <c r="BC211" i="58"/>
  <c r="BB211" i="58"/>
  <c r="AS211" i="58"/>
  <c r="BR210" i="58"/>
  <c r="BI210" i="58"/>
  <c r="BH210" i="58"/>
  <c r="BG210" i="58"/>
  <c r="BF210" i="58"/>
  <c r="BK210" i="58" s="1"/>
  <c r="BS210" i="58" s="1"/>
  <c r="BD210" i="58"/>
  <c r="BC210" i="58"/>
  <c r="BB210" i="58"/>
  <c r="AS210" i="58"/>
  <c r="BR209" i="58"/>
  <c r="BI209" i="58"/>
  <c r="BH209" i="58"/>
  <c r="BG209" i="58"/>
  <c r="BF209" i="58"/>
  <c r="BK209" i="58" s="1"/>
  <c r="BS209" i="58" s="1"/>
  <c r="BD209" i="58"/>
  <c r="BC209" i="58"/>
  <c r="BB209" i="58"/>
  <c r="AS209" i="58"/>
  <c r="BR208" i="58"/>
  <c r="BI208" i="58"/>
  <c r="BH208" i="58"/>
  <c r="BG208" i="58"/>
  <c r="BF208" i="58"/>
  <c r="BK208" i="58" s="1"/>
  <c r="BS208" i="58" s="1"/>
  <c r="BD208" i="58"/>
  <c r="BC208" i="58"/>
  <c r="BB208" i="58"/>
  <c r="AS208" i="58"/>
  <c r="BR207" i="58"/>
  <c r="BI207" i="58"/>
  <c r="BH207" i="58"/>
  <c r="BG207" i="58"/>
  <c r="BF207" i="58"/>
  <c r="BK207" i="58" s="1"/>
  <c r="BS207" i="58" s="1"/>
  <c r="BD207" i="58"/>
  <c r="BC207" i="58"/>
  <c r="BB207" i="58"/>
  <c r="AS207" i="58"/>
  <c r="BR206" i="58"/>
  <c r="BI206" i="58"/>
  <c r="BH206" i="58"/>
  <c r="BG206" i="58"/>
  <c r="BF206" i="58"/>
  <c r="BK206" i="58" s="1"/>
  <c r="BS206" i="58" s="1"/>
  <c r="BD206" i="58"/>
  <c r="BC206" i="58"/>
  <c r="BB206" i="58"/>
  <c r="AS206" i="58"/>
  <c r="BR205" i="58"/>
  <c r="BI205" i="58"/>
  <c r="BH205" i="58"/>
  <c r="BG205" i="58"/>
  <c r="BF205" i="58"/>
  <c r="BK205" i="58" s="1"/>
  <c r="BS205" i="58" s="1"/>
  <c r="BD205" i="58"/>
  <c r="BC205" i="58"/>
  <c r="BB205" i="58"/>
  <c r="AS205" i="58"/>
  <c r="BR204" i="58"/>
  <c r="BI204" i="58"/>
  <c r="BH204" i="58"/>
  <c r="BG204" i="58"/>
  <c r="BF204" i="58"/>
  <c r="BS204" i="58" s="1"/>
  <c r="BD204" i="58"/>
  <c r="BC204" i="58"/>
  <c r="BB204" i="58"/>
  <c r="AS204" i="58"/>
  <c r="BR203" i="58"/>
  <c r="BI203" i="58"/>
  <c r="BH203" i="58"/>
  <c r="BG203" i="58"/>
  <c r="BF203" i="58"/>
  <c r="BK203" i="58" s="1"/>
  <c r="BS203" i="58" s="1"/>
  <c r="BD203" i="58"/>
  <c r="BC203" i="58"/>
  <c r="BB203" i="58"/>
  <c r="AS203" i="58"/>
  <c r="BR202" i="58"/>
  <c r="BI202" i="58"/>
  <c r="BH202" i="58"/>
  <c r="BG202" i="58"/>
  <c r="BF202" i="58"/>
  <c r="BK202" i="58" s="1"/>
  <c r="BS202" i="58" s="1"/>
  <c r="BD202" i="58"/>
  <c r="BC202" i="58"/>
  <c r="BB202" i="58"/>
  <c r="AS202" i="58"/>
  <c r="BR201" i="58"/>
  <c r="BI201" i="58"/>
  <c r="BH201" i="58"/>
  <c r="BG201" i="58"/>
  <c r="BF201" i="58"/>
  <c r="BK201" i="58" s="1"/>
  <c r="BS201" i="58" s="1"/>
  <c r="BD201" i="58"/>
  <c r="BC201" i="58"/>
  <c r="BB201" i="58"/>
  <c r="AS201" i="58"/>
  <c r="BR200" i="58"/>
  <c r="BS200" i="58" s="1"/>
  <c r="BK200" i="58"/>
  <c r="BI200" i="58"/>
  <c r="BH200" i="58"/>
  <c r="BG200" i="58"/>
  <c r="AS200" i="58"/>
  <c r="BR199" i="58"/>
  <c r="BI199" i="58"/>
  <c r="BH199" i="58"/>
  <c r="BG199" i="58"/>
  <c r="BF199" i="58"/>
  <c r="BD199" i="58"/>
  <c r="BC199" i="58"/>
  <c r="BB199" i="58"/>
  <c r="AS199" i="58"/>
  <c r="BR198" i="58"/>
  <c r="BI198" i="58"/>
  <c r="BH198" i="58"/>
  <c r="BG198" i="58"/>
  <c r="BF198" i="58"/>
  <c r="BK198" i="58" s="1"/>
  <c r="BS198" i="58" s="1"/>
  <c r="BD198" i="58"/>
  <c r="BC198" i="58"/>
  <c r="BB198" i="58"/>
  <c r="AS198" i="58"/>
  <c r="BR197" i="58"/>
  <c r="BI197" i="58"/>
  <c r="BH197" i="58"/>
  <c r="BG197" i="58"/>
  <c r="BF197" i="58"/>
  <c r="BK197" i="58" s="1"/>
  <c r="BS197" i="58" s="1"/>
  <c r="BD197" i="58"/>
  <c r="BC197" i="58"/>
  <c r="BB197" i="58"/>
  <c r="AS197" i="58"/>
  <c r="BR196" i="58"/>
  <c r="BI196" i="58"/>
  <c r="BH196" i="58"/>
  <c r="BG196" i="58"/>
  <c r="BF196" i="58"/>
  <c r="BK196" i="58" s="1"/>
  <c r="BS196" i="58" s="1"/>
  <c r="BD196" i="58"/>
  <c r="BC196" i="58"/>
  <c r="BB196" i="58"/>
  <c r="AS196" i="58"/>
  <c r="BR195" i="58"/>
  <c r="BI195" i="58"/>
  <c r="BH195" i="58"/>
  <c r="BG195" i="58"/>
  <c r="BF195" i="58"/>
  <c r="BK195" i="58" s="1"/>
  <c r="BS195" i="58" s="1"/>
  <c r="BD195" i="58"/>
  <c r="BC195" i="58"/>
  <c r="BB195" i="58"/>
  <c r="AS195" i="58"/>
  <c r="BR194" i="58"/>
  <c r="BI194" i="58"/>
  <c r="BH194" i="58"/>
  <c r="BG194" i="58"/>
  <c r="BF194" i="58"/>
  <c r="BK194" i="58" s="1"/>
  <c r="BS194" i="58" s="1"/>
  <c r="BD194" i="58"/>
  <c r="BC194" i="58"/>
  <c r="BB194" i="58"/>
  <c r="AS194" i="58"/>
  <c r="BR193" i="58"/>
  <c r="BI193" i="58"/>
  <c r="BH193" i="58"/>
  <c r="BG193" i="58"/>
  <c r="BF193" i="58"/>
  <c r="BK193" i="58" s="1"/>
  <c r="BS193" i="58" s="1"/>
  <c r="BD193" i="58"/>
  <c r="BC193" i="58"/>
  <c r="BB193" i="58"/>
  <c r="AS193" i="58"/>
  <c r="BR192" i="58"/>
  <c r="BI192" i="58"/>
  <c r="BH192" i="58"/>
  <c r="BG192" i="58"/>
  <c r="BF192" i="58"/>
  <c r="BK192" i="58" s="1"/>
  <c r="BS192" i="58" s="1"/>
  <c r="BD192" i="58"/>
  <c r="BC192" i="58"/>
  <c r="BB192" i="58"/>
  <c r="AS192" i="58"/>
  <c r="BR191" i="58"/>
  <c r="BF191" i="58"/>
  <c r="BD191" i="58"/>
  <c r="BC191" i="58"/>
  <c r="BB191" i="58"/>
  <c r="AS191" i="58"/>
  <c r="BR190" i="58"/>
  <c r="BI190" i="58"/>
  <c r="BH190" i="58"/>
  <c r="BG190" i="58"/>
  <c r="BF190" i="58"/>
  <c r="BK190" i="58" s="1"/>
  <c r="BS190" i="58" s="1"/>
  <c r="BD190" i="58"/>
  <c r="BC190" i="58"/>
  <c r="BB190" i="58"/>
  <c r="AS190" i="58"/>
  <c r="BS189" i="58"/>
  <c r="BR189" i="58"/>
  <c r="BH189" i="58"/>
  <c r="BJ189" i="58" s="1"/>
  <c r="BD189" i="58"/>
  <c r="BC189" i="58"/>
  <c r="BB189" i="58"/>
  <c r="AS189" i="58"/>
  <c r="BR188" i="58"/>
  <c r="BJ188" i="58"/>
  <c r="BF188" i="58"/>
  <c r="BD188" i="58"/>
  <c r="BC188" i="58"/>
  <c r="BB188" i="58"/>
  <c r="AS188" i="58"/>
  <c r="BR187" i="58"/>
  <c r="BH187" i="58"/>
  <c r="BG187" i="58"/>
  <c r="BF187" i="58"/>
  <c r="BD187" i="58"/>
  <c r="BC187" i="58"/>
  <c r="BB187" i="58"/>
  <c r="AS187" i="58"/>
  <c r="AS186" i="58"/>
  <c r="BR185" i="58"/>
  <c r="BJ185" i="58"/>
  <c r="BF185" i="58"/>
  <c r="BD185" i="58"/>
  <c r="BC185" i="58"/>
  <c r="BB185" i="58"/>
  <c r="AS185" i="58"/>
  <c r="BR184" i="58"/>
  <c r="BJ184" i="58"/>
  <c r="BF184" i="58"/>
  <c r="BD184" i="58"/>
  <c r="BC184" i="58"/>
  <c r="BB184" i="58"/>
  <c r="AS184" i="58"/>
  <c r="BR183" i="58"/>
  <c r="BG183" i="58"/>
  <c r="BJ183" i="58" s="1"/>
  <c r="BF183" i="58"/>
  <c r="BD183" i="58"/>
  <c r="BC183" i="58"/>
  <c r="BB183" i="58"/>
  <c r="AS183" i="58"/>
  <c r="BR182" i="58"/>
  <c r="BJ182" i="58"/>
  <c r="BF182" i="58"/>
  <c r="BD182" i="58"/>
  <c r="BC182" i="58"/>
  <c r="BB182" i="58"/>
  <c r="AS182" i="58"/>
  <c r="BR181" i="58"/>
  <c r="BJ181" i="58"/>
  <c r="BF181" i="58"/>
  <c r="BD181" i="58"/>
  <c r="BC181" i="58"/>
  <c r="BB181" i="58"/>
  <c r="AS181" i="58"/>
  <c r="BS180" i="58"/>
  <c r="BR180" i="58"/>
  <c r="BJ180" i="58"/>
  <c r="BD180" i="58"/>
  <c r="BC180" i="58"/>
  <c r="BB180" i="58"/>
  <c r="AS180" i="58"/>
  <c r="BR179" i="58"/>
  <c r="BJ179" i="58"/>
  <c r="BF179" i="58"/>
  <c r="BD179" i="58"/>
  <c r="BC179" i="58"/>
  <c r="BB179" i="58"/>
  <c r="AS179" i="58"/>
  <c r="BR178" i="58"/>
  <c r="BJ178" i="58"/>
  <c r="BF178" i="58"/>
  <c r="BD178" i="58"/>
  <c r="BC178" i="58"/>
  <c r="BB178" i="58"/>
  <c r="AS178" i="58"/>
  <c r="BR177" i="58"/>
  <c r="BJ177" i="58"/>
  <c r="BF177" i="58"/>
  <c r="BD177" i="58"/>
  <c r="BC177" i="58"/>
  <c r="BB177" i="58"/>
  <c r="AS177" i="58"/>
  <c r="BR176" i="58"/>
  <c r="BJ176" i="58"/>
  <c r="BF176" i="58"/>
  <c r="BD176" i="58"/>
  <c r="BC176" i="58"/>
  <c r="BB176" i="58"/>
  <c r="AS176" i="58"/>
  <c r="BS175" i="58"/>
  <c r="BR175" i="58"/>
  <c r="BE175" i="58"/>
  <c r="AS175" i="58"/>
  <c r="BR174" i="58"/>
  <c r="BI174" i="58"/>
  <c r="BH174" i="58"/>
  <c r="BG174" i="58"/>
  <c r="BD174" i="58"/>
  <c r="BC174" i="58"/>
  <c r="BB174" i="58"/>
  <c r="AS174" i="58"/>
  <c r="BR173" i="58"/>
  <c r="BI173" i="58"/>
  <c r="BH173" i="58"/>
  <c r="BG173" i="58"/>
  <c r="BD173" i="58"/>
  <c r="BC173" i="58"/>
  <c r="BB173" i="58"/>
  <c r="AS173" i="58"/>
  <c r="BR172" i="58"/>
  <c r="BK172" i="58"/>
  <c r="BI172" i="58"/>
  <c r="BH172" i="58"/>
  <c r="BG172" i="58"/>
  <c r="BF172" i="58"/>
  <c r="BD172" i="58"/>
  <c r="BC172" i="58"/>
  <c r="BB172" i="58"/>
  <c r="BA172" i="58"/>
  <c r="AS172" i="58"/>
  <c r="BR171" i="58"/>
  <c r="BI171" i="58"/>
  <c r="BH171" i="58"/>
  <c r="BG171" i="58"/>
  <c r="BF171" i="58"/>
  <c r="BD171" i="58"/>
  <c r="BC171" i="58"/>
  <c r="BB171" i="58"/>
  <c r="BA171" i="58"/>
  <c r="BS171" i="58" s="1"/>
  <c r="AS171" i="58"/>
  <c r="BR170" i="58"/>
  <c r="BI170" i="58"/>
  <c r="BH170" i="58"/>
  <c r="BG170" i="58"/>
  <c r="BF170" i="58"/>
  <c r="BD170" i="58"/>
  <c r="BC170" i="58"/>
  <c r="BB170" i="58"/>
  <c r="BA170" i="58"/>
  <c r="BS170" i="58" s="1"/>
  <c r="AS170" i="58"/>
  <c r="BR169" i="58"/>
  <c r="BH169" i="58"/>
  <c r="BG169" i="58"/>
  <c r="BF169" i="58"/>
  <c r="BD169" i="58"/>
  <c r="BC169" i="58"/>
  <c r="BB169" i="58"/>
  <c r="BA169" i="58"/>
  <c r="BS169" i="58" s="1"/>
  <c r="AS169" i="58"/>
  <c r="BS168" i="58"/>
  <c r="BR168" i="58"/>
  <c r="BJ168" i="58"/>
  <c r="BD168" i="58"/>
  <c r="BC168" i="58"/>
  <c r="BB168" i="58"/>
  <c r="AS168" i="58"/>
  <c r="BR167" i="58"/>
  <c r="BJ167" i="58"/>
  <c r="BD167" i="58"/>
  <c r="BB167" i="58"/>
  <c r="BA167" i="58"/>
  <c r="BS167" i="58" s="1"/>
  <c r="AS167" i="58"/>
  <c r="AS166" i="58"/>
  <c r="BS165" i="58"/>
  <c r="BR165" i="58"/>
  <c r="BJ165" i="58"/>
  <c r="BD165" i="58"/>
  <c r="BC165" i="58"/>
  <c r="BB165" i="58"/>
  <c r="AS165" i="58"/>
  <c r="BS164" i="58"/>
  <c r="BR164" i="58"/>
  <c r="BI164" i="58"/>
  <c r="BJ164" i="58" s="1"/>
  <c r="BC164" i="58"/>
  <c r="BB164" i="58"/>
  <c r="AS164" i="58"/>
  <c r="BS163" i="58"/>
  <c r="BR163" i="58"/>
  <c r="BJ163" i="58"/>
  <c r="BD163" i="58"/>
  <c r="BC163" i="58"/>
  <c r="BB163" i="58"/>
  <c r="AS163" i="58"/>
  <c r="BR162" i="58"/>
  <c r="BJ162" i="58"/>
  <c r="BF162" i="58"/>
  <c r="BD162" i="58"/>
  <c r="BC162" i="58"/>
  <c r="BB162" i="58"/>
  <c r="BA162" i="58"/>
  <c r="BS162" i="58" s="1"/>
  <c r="AS162" i="58"/>
  <c r="BR161" i="58"/>
  <c r="BJ161" i="58"/>
  <c r="BF161" i="58"/>
  <c r="BD161" i="58"/>
  <c r="BC161" i="58"/>
  <c r="BB161" i="58"/>
  <c r="BA161" i="58"/>
  <c r="BS161" i="58" s="1"/>
  <c r="AS161" i="58"/>
  <c r="BR160" i="58"/>
  <c r="BJ160" i="58"/>
  <c r="BF160" i="58"/>
  <c r="BD160" i="58"/>
  <c r="BC160" i="58"/>
  <c r="BB160" i="58"/>
  <c r="BA160" i="58"/>
  <c r="BS160" i="58" s="1"/>
  <c r="AS160" i="58"/>
  <c r="BS159" i="58"/>
  <c r="BR159" i="58"/>
  <c r="BJ159" i="58"/>
  <c r="BD159" i="58"/>
  <c r="BC159" i="58"/>
  <c r="BB159" i="58"/>
  <c r="AS159" i="58"/>
  <c r="BR158" i="58"/>
  <c r="BG158" i="58"/>
  <c r="BJ158" i="58" s="1"/>
  <c r="BF158" i="58"/>
  <c r="BS158" i="58" s="1"/>
  <c r="BD158" i="58"/>
  <c r="BC158" i="58"/>
  <c r="BB158" i="58"/>
  <c r="AS158" i="58"/>
  <c r="AS157" i="58"/>
  <c r="AS156" i="58"/>
  <c r="AS155" i="58"/>
  <c r="AS154" i="58"/>
  <c r="AS153" i="58"/>
  <c r="AS152" i="58"/>
  <c r="AS151" i="58"/>
  <c r="AS150" i="58"/>
  <c r="AS149" i="58"/>
  <c r="BS148" i="58"/>
  <c r="BR148" i="58"/>
  <c r="BI148" i="58"/>
  <c r="BH148" i="58"/>
  <c r="BD148" i="58"/>
  <c r="BC148" i="58"/>
  <c r="BB148" i="58"/>
  <c r="AS148" i="58"/>
  <c r="AS147" i="58"/>
  <c r="BS146" i="58"/>
  <c r="BR146" i="58"/>
  <c r="BI146" i="58"/>
  <c r="BH146" i="58"/>
  <c r="BG146" i="58"/>
  <c r="BD146" i="58"/>
  <c r="BC146" i="58"/>
  <c r="BB146" i="58"/>
  <c r="AS146" i="58"/>
  <c r="BR145" i="58"/>
  <c r="BH145" i="58"/>
  <c r="BG145" i="58"/>
  <c r="BD145" i="58"/>
  <c r="BC145" i="58"/>
  <c r="BB145" i="58"/>
  <c r="AS145" i="58"/>
  <c r="BR144" i="58"/>
  <c r="BI144" i="58"/>
  <c r="BJ144" i="58" s="1"/>
  <c r="BD144" i="58"/>
  <c r="BC144" i="58"/>
  <c r="BB144" i="58"/>
  <c r="BA144" i="58"/>
  <c r="AS144" i="58"/>
  <c r="BS143" i="58"/>
  <c r="BR143" i="58"/>
  <c r="BI143" i="58"/>
  <c r="BH143" i="58"/>
  <c r="BG143" i="58"/>
  <c r="BD143" i="58"/>
  <c r="BC143" i="58"/>
  <c r="BB143" i="58"/>
  <c r="AS143" i="58"/>
  <c r="BS142" i="58"/>
  <c r="BR142" i="58"/>
  <c r="BI142" i="58"/>
  <c r="BJ142" i="58" s="1"/>
  <c r="BD142" i="58"/>
  <c r="BC142" i="58"/>
  <c r="BB142" i="58"/>
  <c r="AS142" i="58"/>
  <c r="BS141" i="58"/>
  <c r="BR141" i="58"/>
  <c r="BJ141" i="58"/>
  <c r="BD141" i="58"/>
  <c r="BC141" i="58"/>
  <c r="BB141" i="58"/>
  <c r="AS141" i="58"/>
  <c r="BS140" i="58"/>
  <c r="BR140" i="58"/>
  <c r="BJ140" i="58"/>
  <c r="BD140" i="58"/>
  <c r="BC140" i="58"/>
  <c r="BB140" i="58"/>
  <c r="AS140" i="58"/>
  <c r="BS177" i="58" l="1"/>
  <c r="BS188" i="58"/>
  <c r="BE253" i="58"/>
  <c r="BJ251" i="58"/>
  <c r="BE256" i="58"/>
  <c r="BE216" i="58"/>
  <c r="BJ216" i="58"/>
  <c r="BJ253" i="58"/>
  <c r="BJ256" i="58"/>
  <c r="BS199" i="58"/>
  <c r="BE172" i="58"/>
  <c r="BE197" i="58"/>
  <c r="BJ146" i="58"/>
  <c r="BE202" i="58"/>
  <c r="BE165" i="58"/>
  <c r="BJ170" i="58"/>
  <c r="BJ199" i="58"/>
  <c r="BJ213" i="58"/>
  <c r="BJ237" i="58"/>
  <c r="BJ245" i="58"/>
  <c r="BJ247" i="58"/>
  <c r="BJ249" i="58"/>
  <c r="BE251" i="58"/>
  <c r="BE161" i="58"/>
  <c r="BE205" i="58"/>
  <c r="BJ208" i="58"/>
  <c r="BJ215" i="58"/>
  <c r="BJ148" i="58"/>
  <c r="BS172" i="58"/>
  <c r="BJ172" i="58"/>
  <c r="BJ174" i="58"/>
  <c r="BE178" i="58"/>
  <c r="BS179" i="58"/>
  <c r="BJ187" i="58"/>
  <c r="BS187" i="58" s="1"/>
  <c r="BJ197" i="58"/>
  <c r="BJ202" i="58"/>
  <c r="BE203" i="58"/>
  <c r="BJ210" i="58"/>
  <c r="BJ214" i="58"/>
  <c r="BJ233" i="58"/>
  <c r="BE141" i="58"/>
  <c r="BE162" i="58"/>
  <c r="BE168" i="58"/>
  <c r="BE169" i="58"/>
  <c r="BE207" i="58"/>
  <c r="BE148" i="58"/>
  <c r="BS184" i="58"/>
  <c r="BE193" i="58"/>
  <c r="BE206" i="58"/>
  <c r="BJ212" i="58"/>
  <c r="BE234" i="58"/>
  <c r="BE238" i="58"/>
  <c r="BJ239" i="58"/>
  <c r="BE242" i="58"/>
  <c r="BJ243" i="58"/>
  <c r="BE142" i="58"/>
  <c r="BE144" i="58"/>
  <c r="BE146" i="58"/>
  <c r="BE159" i="58"/>
  <c r="BE160" i="58"/>
  <c r="BJ169" i="58"/>
  <c r="BS178" i="58"/>
  <c r="BS182" i="58"/>
  <c r="BE188" i="58"/>
  <c r="BE196" i="58"/>
  <c r="BE201" i="58"/>
  <c r="BJ201" i="58"/>
  <c r="BJ235" i="58"/>
  <c r="BE255" i="58"/>
  <c r="BS354" i="58"/>
  <c r="BS355" i="58"/>
  <c r="BJ171" i="58"/>
  <c r="BE187" i="58"/>
  <c r="BE140" i="58"/>
  <c r="BJ143" i="58"/>
  <c r="BJ145" i="58"/>
  <c r="BE164" i="58"/>
  <c r="BE167" i="58"/>
  <c r="BE173" i="58"/>
  <c r="BE176" i="58"/>
  <c r="BE171" i="58"/>
  <c r="BS183" i="58"/>
  <c r="BE189" i="58"/>
  <c r="BE194" i="58"/>
  <c r="BE199" i="58"/>
  <c r="BE204" i="58"/>
  <c r="BJ205" i="58"/>
  <c r="BE210" i="58"/>
  <c r="BJ232" i="58"/>
  <c r="BJ236" i="58"/>
  <c r="BJ241" i="58"/>
  <c r="BE181" i="58"/>
  <c r="BE183" i="58"/>
  <c r="BJ192" i="58"/>
  <c r="BE198" i="58"/>
  <c r="BK199" i="58"/>
  <c r="BJ203" i="58"/>
  <c r="BK204" i="58"/>
  <c r="BJ206" i="58"/>
  <c r="BE211" i="58"/>
  <c r="BJ252" i="58"/>
  <c r="BE143" i="58"/>
  <c r="BE145" i="58"/>
  <c r="BE158" i="58"/>
  <c r="BE163" i="58"/>
  <c r="BE170" i="58"/>
  <c r="BJ173" i="58"/>
  <c r="BE174" i="58"/>
  <c r="BE177" i="58"/>
  <c r="BE179" i="58"/>
  <c r="BS181" i="58"/>
  <c r="BE184" i="58"/>
  <c r="BS191" i="58"/>
  <c r="BJ193" i="58"/>
  <c r="BE195" i="58"/>
  <c r="BJ196" i="58"/>
  <c r="BE208" i="58"/>
  <c r="BJ209" i="58"/>
  <c r="BE214" i="58"/>
  <c r="BE233" i="58"/>
  <c r="BE237" i="58"/>
  <c r="BJ240" i="58"/>
  <c r="BE243" i="58"/>
  <c r="BE254" i="58"/>
  <c r="BJ255" i="58"/>
  <c r="BE180" i="58"/>
  <c r="BE185" i="58"/>
  <c r="BJ190" i="58"/>
  <c r="BE192" i="58"/>
  <c r="BJ194" i="58"/>
  <c r="BJ198" i="58"/>
  <c r="BJ200" i="58"/>
  <c r="BE212" i="58"/>
  <c r="BE239" i="58"/>
  <c r="BS176" i="58"/>
  <c r="BJ195" i="58"/>
  <c r="BJ204" i="58"/>
  <c r="BJ211" i="58"/>
  <c r="BE213" i="58"/>
  <c r="BJ217" i="58"/>
  <c r="BJ234" i="58"/>
  <c r="BJ238" i="58"/>
  <c r="BJ254" i="58"/>
  <c r="BE190" i="58"/>
  <c r="BJ207" i="58"/>
  <c r="BE209" i="58"/>
  <c r="BJ231" i="58"/>
  <c r="BJ242" i="58"/>
  <c r="BJ244" i="58"/>
  <c r="BJ246" i="58"/>
  <c r="BJ248" i="58"/>
  <c r="BJ250" i="58"/>
  <c r="BE182" i="58"/>
  <c r="BS185" i="58"/>
  <c r="BE191" i="58"/>
</calcChain>
</file>

<file path=xl/comments1.xml><?xml version="1.0" encoding="utf-8"?>
<comments xmlns="http://schemas.openxmlformats.org/spreadsheetml/2006/main">
  <authors>
    <author>Suffel, Chad A.</author>
  </authors>
  <commentList>
    <comment ref="BB26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C263" authorId="0" shape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D26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F26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S26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B264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C264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D264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F264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S264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<sst xmlns="http://schemas.openxmlformats.org/spreadsheetml/2006/main" count="8371" uniqueCount="3749">
  <si>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</si>
  <si>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</si>
  <si>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</si>
  <si>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</si>
  <si>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</si>
  <si>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</si>
  <si>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</si>
  <si>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</si>
  <si>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</si>
  <si>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</si>
  <si>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</si>
  <si>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</si>
  <si>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</si>
  <si>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</si>
  <si>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</si>
  <si>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</si>
  <si>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</si>
  <si>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</si>
  <si>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</si>
  <si>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</si>
  <si>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</si>
  <si>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</si>
  <si>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</si>
  <si>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</si>
  <si>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</si>
  <si>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</si>
  <si>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</si>
  <si>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</si>
  <si>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</si>
  <si>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</si>
  <si>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</si>
  <si>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</si>
  <si>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</si>
  <si>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</si>
  <si>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</si>
  <si>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</si>
  <si>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</si>
  <si>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</si>
  <si>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</si>
  <si>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</si>
  <si>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</si>
  <si>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</si>
  <si>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</si>
  <si>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</si>
  <si>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</si>
  <si>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</si>
  <si>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</si>
  <si>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</si>
  <si>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</si>
  <si>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</si>
  <si>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</si>
  <si>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</si>
  <si>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</si>
  <si>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</si>
  <si>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</si>
  <si>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</si>
  <si>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</si>
  <si>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</si>
  <si>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</si>
  <si>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</si>
  <si>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</si>
  <si>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</si>
  <si>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USA</t>
  </si>
  <si>
    <t>New Holland</t>
  </si>
  <si>
    <t>Yes</t>
  </si>
  <si>
    <t>Racor</t>
  </si>
  <si>
    <t>John Deere</t>
  </si>
  <si>
    <t>8421.31.0000</t>
  </si>
  <si>
    <t>No</t>
  </si>
  <si>
    <t>China</t>
  </si>
  <si>
    <t>Komatsu</t>
  </si>
  <si>
    <t>Volvo</t>
  </si>
  <si>
    <t>Ford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</si>
  <si>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</si>
  <si>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</si>
  <si>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</si>
  <si>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</si>
  <si>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</si>
  <si>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</si>
  <si>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</si>
  <si>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1 Unit Box = 1 Carton</t>
  </si>
  <si>
    <t>Price  Information</t>
  </si>
  <si>
    <t>STP</t>
  </si>
  <si>
    <t>Jobber Price Was</t>
  </si>
  <si>
    <t>OIL FILTER</t>
  </si>
  <si>
    <t>AIR FILTER</t>
  </si>
  <si>
    <t>FUEL FILTER</t>
  </si>
  <si>
    <t>Filter Dimensions</t>
  </si>
  <si>
    <t>OD</t>
  </si>
  <si>
    <t>ID</t>
  </si>
  <si>
    <t>HYDRAULIC FILTER</t>
  </si>
  <si>
    <t>L5104F</t>
  </si>
  <si>
    <t>77Z9700010</t>
  </si>
  <si>
    <t>PA4987</t>
  </si>
  <si>
    <t>P500204</t>
  </si>
  <si>
    <t>LAF5756</t>
  </si>
  <si>
    <t>WP10057</t>
  </si>
  <si>
    <t>LAF3699</t>
  </si>
  <si>
    <t>PA4991</t>
  </si>
  <si>
    <t>P500195</t>
  </si>
  <si>
    <t>AF26384</t>
  </si>
  <si>
    <t>11703980</t>
  </si>
  <si>
    <t>038568737618</t>
  </si>
  <si>
    <t>038568737854</t>
  </si>
  <si>
    <t>LFF9897</t>
  </si>
  <si>
    <t>038568738509</t>
  </si>
  <si>
    <t>10044303</t>
  </si>
  <si>
    <t>FS19897</t>
  </si>
  <si>
    <t>P11057</t>
  </si>
  <si>
    <t>WK1150</t>
  </si>
  <si>
    <t>R90DSRAC01</t>
  </si>
  <si>
    <t>Yanmar</t>
  </si>
  <si>
    <t>BT9400-MPG</t>
  </si>
  <si>
    <t>P765075</t>
  </si>
  <si>
    <t>HF35464</t>
  </si>
  <si>
    <t>57227</t>
  </si>
  <si>
    <t>038568737984</t>
  </si>
  <si>
    <t>Obsolete</t>
  </si>
  <si>
    <t>LFP3830</t>
  </si>
  <si>
    <t>Mercruiser</t>
  </si>
  <si>
    <t xml:space="preserve">038568738226 </t>
  </si>
  <si>
    <t>Filter is individually poly bagged</t>
  </si>
  <si>
    <t>35-877767K01</t>
  </si>
  <si>
    <t>35-877767Q01</t>
  </si>
  <si>
    <t>LFF6961</t>
  </si>
  <si>
    <t>LAF5453</t>
  </si>
  <si>
    <t>LAF3233FR</t>
  </si>
  <si>
    <t>LAF5298</t>
  </si>
  <si>
    <t>LAF5416</t>
  </si>
  <si>
    <t>LAF2753</t>
  </si>
  <si>
    <t>LAF9334</t>
  </si>
  <si>
    <t>LAF8791</t>
  </si>
  <si>
    <t>FUEL</t>
  </si>
  <si>
    <t>AIR</t>
  </si>
  <si>
    <t>BF1353-SPS</t>
  </si>
  <si>
    <t>CA4702</t>
  </si>
  <si>
    <t>CA5420</t>
  </si>
  <si>
    <t>CA4703</t>
  </si>
  <si>
    <t>PA5634</t>
  </si>
  <si>
    <t>CA5366</t>
  </si>
  <si>
    <t>CA5417</t>
  </si>
  <si>
    <t>PA5328</t>
  </si>
  <si>
    <t>P606119</t>
  </si>
  <si>
    <t>P607960</t>
  </si>
  <si>
    <t>P606120</t>
  </si>
  <si>
    <t>P609221</t>
  </si>
  <si>
    <t>P609086</t>
  </si>
  <si>
    <t>P619334</t>
  </si>
  <si>
    <t>FS19688</t>
  </si>
  <si>
    <t>AF26157</t>
  </si>
  <si>
    <t>AF26156</t>
  </si>
  <si>
    <t>AF26493</t>
  </si>
  <si>
    <t>AF25573</t>
  </si>
  <si>
    <t>CA11029</t>
  </si>
  <si>
    <t>PA11380</t>
  </si>
  <si>
    <t>33692</t>
  </si>
  <si>
    <t>46937</t>
  </si>
  <si>
    <t>42794</t>
  </si>
  <si>
    <t>49221</t>
  </si>
  <si>
    <t>42813</t>
  </si>
  <si>
    <t>49945</t>
  </si>
  <si>
    <t>RE522372</t>
  </si>
  <si>
    <t>RE509596</t>
  </si>
  <si>
    <t>AL119839</t>
  </si>
  <si>
    <t>AL172781</t>
  </si>
  <si>
    <t>RE282286</t>
  </si>
  <si>
    <t>4C4Z-9601-AA</t>
  </si>
  <si>
    <t>CA10868</t>
  </si>
  <si>
    <t>FA1753</t>
  </si>
  <si>
    <t>RE196945</t>
  </si>
  <si>
    <t>4234793</t>
  </si>
  <si>
    <t>17M9113530</t>
  </si>
  <si>
    <t>038568740298</t>
  </si>
  <si>
    <t>038568736529</t>
  </si>
  <si>
    <t>038568738448</t>
  </si>
  <si>
    <t>038568738417</t>
  </si>
  <si>
    <t>038568738554</t>
  </si>
  <si>
    <t xml:space="preserve">038568738561 </t>
  </si>
  <si>
    <t>9,75</t>
  </si>
  <si>
    <t>038568739797</t>
  </si>
  <si>
    <t>038568742131</t>
  </si>
  <si>
    <t xml:space="preserve">PV  </t>
  </si>
  <si>
    <t>Mexico</t>
  </si>
  <si>
    <t>AF5209</t>
  </si>
  <si>
    <t>LAF1482</t>
  </si>
  <si>
    <t>CAF24024</t>
  </si>
  <si>
    <t>CABIN AIR</t>
  </si>
  <si>
    <t>GM</t>
  </si>
  <si>
    <t>Paccar</t>
  </si>
  <si>
    <t>5S013817</t>
  </si>
  <si>
    <t>OC8127</t>
  </si>
  <si>
    <t>AF27969</t>
  </si>
  <si>
    <t>PA5765</t>
  </si>
  <si>
    <t>A26273</t>
  </si>
  <si>
    <t>WAF5209</t>
  </si>
  <si>
    <t>SA11222</t>
  </si>
  <si>
    <t>AF6273</t>
  </si>
  <si>
    <t>33-2476</t>
  </si>
  <si>
    <t>CA11222</t>
  </si>
  <si>
    <t>038568740403</t>
  </si>
  <si>
    <t>India</t>
  </si>
  <si>
    <t>038568741547</t>
  </si>
  <si>
    <t>038568742346</t>
  </si>
  <si>
    <t>LH2512</t>
  </si>
  <si>
    <t xml:space="preserve">HYDRAULIC </t>
  </si>
  <si>
    <t>AT2512C</t>
  </si>
  <si>
    <t>PT9417</t>
  </si>
  <si>
    <t>P550633</t>
  </si>
  <si>
    <t>HF35361</t>
  </si>
  <si>
    <t>E28HD174</t>
  </si>
  <si>
    <t>038568737991</t>
  </si>
  <si>
    <t>LAF5327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</si>
  <si>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</si>
  <si>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</si>
  <si>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</si>
  <si>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</si>
  <si>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</si>
  <si>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</si>
  <si>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</si>
  <si>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</t>
  </si>
  <si>
    <t>038568739964</t>
  </si>
  <si>
    <t>Germany &amp; Japan</t>
  </si>
  <si>
    <t>AF5219</t>
  </si>
  <si>
    <t>Chrysler</t>
  </si>
  <si>
    <t>4627127AB</t>
  </si>
  <si>
    <t>PA4473</t>
  </si>
  <si>
    <t>CA11431</t>
  </si>
  <si>
    <t>AF1566</t>
  </si>
  <si>
    <t>A26281</t>
  </si>
  <si>
    <t>WA10008</t>
  </si>
  <si>
    <t>038568742353</t>
  </si>
  <si>
    <t>AF6910</t>
  </si>
  <si>
    <t>CJ5Z-9601-A</t>
  </si>
  <si>
    <t>FA-1910</t>
  </si>
  <si>
    <t>PA4470</t>
  </si>
  <si>
    <t>CA11456</t>
  </si>
  <si>
    <t>AF1556</t>
  </si>
  <si>
    <t>A26199</t>
  </si>
  <si>
    <t>038568742360</t>
  </si>
  <si>
    <t>HYDRAULIC</t>
  </si>
  <si>
    <t>PV</t>
  </si>
  <si>
    <t>PH2873</t>
  </si>
  <si>
    <t>Date</t>
  </si>
  <si>
    <t>Brand</t>
  </si>
  <si>
    <t>AF3105</t>
  </si>
  <si>
    <t>AF3221</t>
  </si>
  <si>
    <t>AF5215</t>
  </si>
  <si>
    <t>AF5698</t>
  </si>
  <si>
    <t>AF7922</t>
  </si>
  <si>
    <t>LP5730</t>
  </si>
  <si>
    <t xml:space="preserve">PV </t>
  </si>
  <si>
    <t>AF5213</t>
  </si>
  <si>
    <t>PH820M</t>
  </si>
  <si>
    <t>PH400M</t>
  </si>
  <si>
    <t>038568742391</t>
  </si>
  <si>
    <t>Korea</t>
  </si>
  <si>
    <t xml:space="preserve"> 038568742414</t>
  </si>
  <si>
    <t>038568742483</t>
  </si>
  <si>
    <t>038568316059</t>
  </si>
  <si>
    <t>BMW</t>
  </si>
  <si>
    <t>Mercedes</t>
  </si>
  <si>
    <t>Kia</t>
  </si>
  <si>
    <t>281133W500</t>
  </si>
  <si>
    <t>B329</t>
  </si>
  <si>
    <t>LF3681</t>
  </si>
  <si>
    <t>PH2</t>
  </si>
  <si>
    <t>P550965</t>
  </si>
  <si>
    <t>B243</t>
  </si>
  <si>
    <t>P550724</t>
  </si>
  <si>
    <t>LF3555</t>
  </si>
  <si>
    <t>PH3600</t>
  </si>
  <si>
    <t xml:space="preserve">OIL </t>
  </si>
  <si>
    <t>AF1552</t>
  </si>
  <si>
    <t>A25899</t>
  </si>
  <si>
    <t>49342</t>
  </si>
  <si>
    <t>A28152</t>
  </si>
  <si>
    <t>49047</t>
  </si>
  <si>
    <t>QC000001</t>
  </si>
  <si>
    <t>Mitsubishi</t>
  </si>
  <si>
    <t>4884899AB</t>
  </si>
  <si>
    <t>F1AZ-6731-BD</t>
  </si>
  <si>
    <t>E1EE-6714-AA</t>
  </si>
  <si>
    <t>FL-400A</t>
  </si>
  <si>
    <t>LH11014V</t>
  </si>
  <si>
    <t>938323Q</t>
  </si>
  <si>
    <t>Parker</t>
  </si>
  <si>
    <t>LH9240V</t>
  </si>
  <si>
    <t>P171702</t>
  </si>
  <si>
    <t>D75A10GAV</t>
  </si>
  <si>
    <t xml:space="preserve">MP Filtri </t>
  </si>
  <si>
    <t>MF0301P10NB</t>
  </si>
  <si>
    <t>R16C10CB</t>
  </si>
  <si>
    <t>PT9240</t>
  </si>
  <si>
    <t>MF1002A10NB</t>
  </si>
  <si>
    <t>JCB</t>
  </si>
  <si>
    <t>PT8989-MPG</t>
  </si>
  <si>
    <t>P171531</t>
  </si>
  <si>
    <t>HF35203</t>
  </si>
  <si>
    <t>R18C10GB</t>
  </si>
  <si>
    <t>LH11008V</t>
  </si>
  <si>
    <t>LH11041V</t>
  </si>
  <si>
    <t xml:space="preserve"> 01NL25010VG30EV</t>
  </si>
  <si>
    <t>D59E10GAV</t>
  </si>
  <si>
    <t>038568742513</t>
  </si>
  <si>
    <t>038568741783 </t>
  </si>
  <si>
    <t>10038568741780</t>
  </si>
  <si>
    <t>Canada</t>
  </si>
  <si>
    <t>038568741813</t>
  </si>
  <si>
    <t>10038568741810</t>
  </si>
  <si>
    <t>038568741875</t>
  </si>
  <si>
    <t>10038568741872</t>
  </si>
  <si>
    <t>Models with metal end caps</t>
  </si>
  <si>
    <t>038568741554</t>
  </si>
  <si>
    <t>038568742179</t>
  </si>
  <si>
    <t>038568742230</t>
  </si>
  <si>
    <t>LFF6753</t>
  </si>
  <si>
    <t>AF9912</t>
  </si>
  <si>
    <t>038568316035</t>
  </si>
  <si>
    <t xml:space="preserve">038568738264 </t>
  </si>
  <si>
    <t>DS7Z-9601-A</t>
  </si>
  <si>
    <t>FA1912</t>
  </si>
  <si>
    <t>CA11480</t>
  </si>
  <si>
    <t>AF1557</t>
  </si>
  <si>
    <t>A36272</t>
  </si>
  <si>
    <t>WA10048</t>
  </si>
  <si>
    <t>RE522684</t>
  </si>
  <si>
    <t>RE522688</t>
  </si>
  <si>
    <t>BF7853</t>
  </si>
  <si>
    <t>P550659</t>
  </si>
  <si>
    <t>FS19700</t>
  </si>
  <si>
    <t>PS10967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</si>
  <si>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</si>
  <si>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</si>
  <si>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</si>
  <si>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</si>
  <si>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</si>
  <si>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</si>
  <si>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</si>
  <si>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</si>
  <si>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</si>
  <si>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</si>
  <si>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</si>
  <si>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</si>
  <si>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</si>
  <si>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</si>
  <si>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</si>
  <si>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</si>
  <si>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</si>
  <si>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</si>
  <si>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</si>
  <si>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</si>
  <si>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</si>
  <si>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</si>
  <si>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</si>
  <si>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</si>
  <si>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</si>
  <si>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</si>
  <si>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</si>
  <si>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</si>
  <si>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</si>
  <si>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</si>
  <si>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</si>
  <si>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</si>
  <si>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</si>
  <si>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</si>
  <si>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</si>
  <si>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</si>
  <si>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</si>
  <si>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</si>
  <si>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</si>
  <si>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</si>
  <si>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</si>
  <si>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</si>
  <si>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</si>
  <si>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</si>
  <si>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</si>
  <si>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</si>
  <si>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</si>
  <si>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</si>
  <si>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</si>
  <si>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</si>
  <si>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</si>
  <si>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</si>
  <si>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</si>
  <si>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</si>
  <si>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</si>
  <si>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</si>
  <si>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</si>
  <si>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</si>
  <si>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</si>
  <si>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</si>
  <si>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</si>
  <si>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</si>
  <si>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</si>
  <si>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</si>
  <si>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</si>
  <si>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</si>
  <si>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</si>
  <si>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</si>
  <si>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</si>
  <si>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</si>
  <si>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</si>
  <si>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</si>
  <si>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</si>
  <si>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</si>
  <si>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</si>
  <si>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</si>
  <si>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</si>
  <si>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</si>
  <si>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</si>
  <si>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</si>
  <si>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</si>
  <si>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</si>
  <si>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</si>
  <si>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</si>
  <si>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</si>
  <si>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</si>
  <si>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</si>
  <si>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</si>
  <si>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</si>
  <si>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</si>
  <si>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</si>
  <si>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</si>
  <si>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</si>
  <si>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</si>
  <si>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</si>
  <si>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</si>
  <si>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</si>
  <si>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</si>
  <si>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</si>
  <si>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</si>
  <si>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</si>
  <si>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</si>
  <si>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</si>
  <si>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</si>
  <si>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</si>
  <si>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</si>
  <si>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</si>
  <si>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</si>
  <si>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</si>
  <si>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</si>
  <si>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</si>
  <si>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</si>
  <si>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</si>
  <si>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</si>
  <si>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</si>
  <si>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</si>
  <si>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</si>
  <si>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</si>
  <si>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</si>
  <si>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</si>
  <si>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</si>
  <si>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</si>
  <si>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</si>
  <si>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</si>
  <si>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</si>
  <si>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</si>
  <si>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</si>
  <si>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</si>
  <si>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</si>
  <si>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</si>
  <si>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</si>
  <si>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</si>
  <si>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</si>
  <si>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</si>
  <si>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</si>
  <si>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</si>
  <si>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</si>
  <si>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</si>
  <si>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</si>
  <si>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</si>
  <si>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</si>
  <si>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</si>
  <si>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</si>
  <si>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</si>
  <si>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</si>
  <si>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</si>
  <si>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</si>
  <si>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</si>
  <si>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</si>
  <si>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</si>
  <si>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</si>
  <si>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</si>
  <si>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</si>
  <si>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</si>
  <si>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</si>
  <si>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</si>
  <si>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</si>
  <si>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</si>
  <si>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</si>
  <si>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</si>
  <si>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</si>
  <si>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</si>
  <si>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</si>
  <si>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</si>
  <si>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</si>
  <si>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</si>
  <si>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</si>
  <si>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</si>
  <si>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</si>
  <si>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</si>
  <si>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</si>
  <si>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</si>
  <si>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</si>
  <si>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</si>
  <si>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</si>
  <si>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</si>
  <si>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</si>
  <si>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</si>
  <si>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</si>
  <si>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</si>
  <si>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</si>
  <si>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</si>
  <si>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</si>
  <si>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</si>
  <si>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</si>
  <si>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</si>
  <si>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</si>
  <si>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</si>
  <si>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</si>
  <si>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</si>
  <si>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</si>
  <si>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</si>
  <si>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</si>
  <si>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</si>
  <si>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</si>
  <si>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</si>
  <si>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</si>
  <si>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</si>
  <si>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</si>
  <si>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</si>
  <si>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</si>
  <si>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</si>
  <si>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</si>
  <si>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</si>
  <si>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</si>
  <si>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</si>
  <si>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</si>
  <si>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</si>
  <si>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</si>
  <si>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</si>
  <si>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</si>
  <si>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</si>
  <si>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</si>
  <si>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</si>
  <si>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</si>
  <si>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</si>
  <si>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</si>
  <si>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</si>
  <si>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</si>
  <si>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</si>
  <si>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</si>
  <si>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</si>
  <si>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</si>
  <si>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</si>
  <si>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</si>
  <si>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</si>
  <si>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</si>
  <si>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</si>
  <si>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</si>
  <si>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</si>
  <si>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</si>
  <si>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</si>
  <si>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</si>
  <si>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</si>
  <si>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</si>
  <si>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</si>
  <si>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</si>
  <si>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</si>
  <si>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</si>
  <si>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</si>
  <si>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</si>
  <si>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</si>
  <si>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</si>
  <si>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</si>
  <si>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</si>
  <si>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</si>
  <si>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</si>
  <si>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</si>
  <si>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</si>
  <si>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</si>
  <si>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</si>
  <si>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</si>
  <si>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</si>
  <si>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</si>
  <si>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</si>
  <si>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</si>
  <si>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</si>
  <si>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</si>
  <si>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</si>
  <si>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</si>
  <si>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</si>
  <si>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</si>
  <si>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</si>
  <si>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</si>
  <si>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</si>
  <si>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</si>
  <si>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</si>
  <si>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</si>
  <si>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</si>
  <si>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</si>
  <si>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</si>
  <si>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</si>
  <si>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</si>
  <si>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</si>
  <si>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</si>
  <si>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</si>
  <si>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</si>
  <si>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</si>
  <si>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</si>
  <si>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</si>
  <si>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</si>
  <si>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</si>
  <si>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</si>
  <si>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</si>
  <si>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</si>
  <si>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</si>
  <si>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</si>
  <si>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</si>
  <si>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</si>
  <si>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</si>
  <si>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</si>
  <si>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</si>
  <si>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</si>
  <si>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</si>
  <si>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</si>
  <si>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</si>
  <si>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</si>
  <si>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</si>
  <si>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</si>
  <si>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</si>
  <si>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</si>
  <si>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</si>
  <si>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</si>
  <si>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</si>
  <si>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</si>
  <si>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</si>
  <si>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</si>
  <si>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</si>
  <si>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</si>
  <si>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</si>
  <si>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</si>
  <si>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</si>
  <si>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</si>
  <si>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</si>
  <si>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</si>
  <si>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</si>
  <si>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</si>
  <si>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</si>
  <si>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</si>
  <si>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</si>
  <si>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</si>
  <si>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</si>
  <si>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</si>
  <si>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</si>
  <si>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</si>
  <si>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</si>
  <si>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</si>
  <si>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</si>
  <si>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</si>
  <si>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</si>
  <si>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</si>
  <si>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</si>
  <si>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</si>
  <si>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</si>
  <si>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</si>
  <si>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</si>
  <si>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</si>
  <si>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</si>
  <si>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</si>
  <si>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</si>
  <si>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</si>
  <si>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</si>
  <si>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</si>
  <si>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</si>
  <si>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</si>
  <si>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</si>
  <si>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</si>
  <si>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</si>
  <si>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</si>
  <si>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</si>
  <si>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</si>
  <si>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</si>
  <si>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</si>
  <si>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</si>
  <si>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</si>
  <si>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</si>
  <si>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</si>
  <si>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</si>
  <si>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</si>
  <si>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</si>
  <si>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</si>
  <si>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</si>
  <si>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</si>
  <si>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</si>
  <si>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</si>
  <si>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</si>
  <si>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</si>
  <si>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</si>
  <si>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</si>
  <si>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</si>
  <si>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</si>
  <si>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</si>
  <si>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</si>
  <si>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</si>
  <si>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</si>
  <si>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</si>
  <si>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</si>
  <si>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</si>
  <si>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</si>
  <si>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</si>
  <si>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</si>
  <si>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</si>
  <si>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</si>
  <si>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</si>
  <si>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</si>
  <si>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</si>
  <si>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</si>
  <si>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</si>
  <si>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</si>
  <si>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</si>
  <si>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</si>
  <si>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</si>
  <si>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</si>
  <si>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</si>
  <si>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</si>
  <si>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</si>
  <si>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</si>
  <si>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</si>
  <si>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</si>
  <si>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</si>
  <si>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</si>
  <si>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</si>
  <si>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</si>
  <si>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</si>
  <si>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</si>
  <si>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</si>
  <si>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</si>
  <si>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</si>
  <si>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</si>
  <si>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</si>
  <si>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</si>
  <si>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</si>
  <si>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</si>
  <si>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</si>
  <si>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</si>
  <si>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</si>
  <si>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</si>
  <si>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</si>
  <si>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</si>
  <si>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</si>
  <si>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</si>
  <si>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</si>
  <si>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</si>
  <si>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</si>
  <si>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</si>
  <si>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</si>
  <si>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</si>
  <si>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</si>
  <si>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</si>
  <si>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</si>
  <si>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</si>
  <si>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</si>
  <si>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</si>
  <si>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</si>
  <si>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</si>
  <si>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</si>
  <si>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</si>
  <si>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</si>
  <si>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</si>
  <si>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</si>
  <si>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</si>
  <si>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</si>
  <si>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</si>
  <si>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</si>
  <si>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</si>
  <si>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</si>
  <si>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</si>
  <si>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</si>
  <si>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</si>
  <si>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</si>
  <si>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</si>
  <si>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</si>
  <si>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</si>
  <si>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</si>
  <si>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</si>
  <si>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</si>
  <si>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</si>
  <si>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</si>
  <si>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</si>
  <si>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</si>
  <si>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</si>
  <si>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</si>
  <si>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</si>
  <si>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</si>
  <si>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</si>
  <si>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</si>
  <si>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</si>
  <si>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</si>
  <si>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</si>
  <si>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</si>
  <si>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</si>
  <si>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</si>
  <si>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</si>
  <si>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</si>
  <si>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</si>
  <si>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</si>
  <si>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</si>
  <si>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</si>
  <si>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</si>
  <si>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</si>
  <si>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</si>
  <si>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</si>
  <si>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</si>
  <si>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</si>
  <si>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</si>
  <si>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</si>
  <si>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</si>
  <si>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</si>
  <si>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</si>
  <si>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</si>
  <si>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</si>
  <si>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</si>
  <si>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</si>
  <si>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</si>
  <si>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</si>
  <si>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</si>
  <si>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</si>
  <si>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</si>
  <si>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</si>
  <si>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</si>
  <si>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</si>
  <si>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</si>
  <si>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</si>
  <si>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</si>
  <si>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</si>
  <si>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</si>
  <si>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</si>
  <si>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</si>
  <si>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</si>
  <si>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</si>
  <si>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</si>
  <si>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</si>
  <si>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</si>
  <si>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</si>
  <si>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</si>
  <si>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</si>
  <si>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</si>
  <si>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</si>
  <si>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</si>
  <si>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</si>
  <si>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</si>
  <si>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</si>
  <si>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</si>
  <si>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</si>
  <si>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</si>
  <si>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</si>
  <si>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</si>
  <si>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</si>
  <si>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</si>
  <si>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</si>
  <si>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</si>
  <si>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</si>
  <si>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</si>
  <si>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</si>
  <si>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</si>
  <si>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</si>
  <si>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</si>
  <si>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</si>
  <si>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</si>
  <si>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</si>
  <si>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</si>
  <si>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</si>
  <si>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</si>
  <si>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</si>
  <si>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</si>
  <si>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</si>
  <si>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</si>
  <si>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</si>
  <si>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</si>
  <si>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</si>
  <si>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</si>
  <si>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</si>
  <si>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</si>
  <si>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</si>
  <si>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</si>
  <si>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</si>
  <si>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</si>
  <si>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</si>
  <si>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</si>
  <si>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</si>
  <si>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</si>
  <si>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</si>
  <si>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</si>
  <si>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</si>
  <si>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</si>
  <si>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</si>
  <si>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</si>
  <si>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</si>
  <si>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</si>
  <si>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</si>
  <si>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</si>
  <si>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</si>
  <si>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</si>
  <si>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</si>
  <si>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</si>
  <si>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</si>
  <si>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</si>
  <si>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</si>
  <si>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</si>
  <si>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</si>
  <si>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</si>
  <si>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</si>
  <si>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</si>
  <si>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</si>
  <si>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</si>
  <si>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</si>
  <si>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</si>
  <si>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</si>
  <si>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</si>
  <si>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</si>
  <si>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</si>
  <si>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</si>
  <si>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</si>
  <si>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</si>
  <si>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</si>
  <si>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</si>
  <si>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</si>
  <si>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</si>
  <si>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</si>
  <si>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</si>
  <si>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</si>
  <si>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</si>
  <si>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</si>
  <si>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</si>
  <si>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</si>
  <si>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</si>
  <si>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</si>
  <si>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</si>
  <si>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</si>
  <si>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</si>
  <si>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</si>
  <si>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</si>
  <si>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</si>
  <si>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</si>
  <si>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</si>
  <si>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</si>
  <si>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</si>
  <si>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</si>
  <si>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>AF3184</t>
  </si>
  <si>
    <t>LK372V</t>
  </si>
  <si>
    <t>MAINT. KIT</t>
  </si>
  <si>
    <t>038568742407</t>
  </si>
  <si>
    <t>038568742339</t>
  </si>
  <si>
    <t>038568742902</t>
  </si>
  <si>
    <t>USA and China</t>
  </si>
  <si>
    <t>28113-2M200</t>
  </si>
  <si>
    <t>Hyundai</t>
  </si>
  <si>
    <t>CA11420</t>
  </si>
  <si>
    <t>CA11501</t>
  </si>
  <si>
    <t>AF5212</t>
  </si>
  <si>
    <t>AF3615</t>
  </si>
  <si>
    <t>038568742469</t>
  </si>
  <si>
    <t>038568742520</t>
  </si>
  <si>
    <t>AF5220</t>
  </si>
  <si>
    <t>AF3609</t>
  </si>
  <si>
    <t>AF7904</t>
  </si>
  <si>
    <t xml:space="preserve">038568742377 </t>
  </si>
  <si>
    <t xml:space="preserve"> 038568742421</t>
  </si>
  <si>
    <t>038568742506</t>
  </si>
  <si>
    <t>CA10996</t>
  </si>
  <si>
    <t>AF1567</t>
  </si>
  <si>
    <t>33-2452</t>
  </si>
  <si>
    <t>A36103</t>
  </si>
  <si>
    <t>CA11485</t>
  </si>
  <si>
    <t>C29006</t>
  </si>
  <si>
    <t>SA11485</t>
  </si>
  <si>
    <t>WA10007</t>
  </si>
  <si>
    <t>WAF5220</t>
  </si>
  <si>
    <t>CA11451</t>
  </si>
  <si>
    <t>AF1560</t>
  </si>
  <si>
    <t>33-2479</t>
  </si>
  <si>
    <t>A46298</t>
  </si>
  <si>
    <t>SA11451</t>
  </si>
  <si>
    <t>CA11062</t>
  </si>
  <si>
    <t>AF1570</t>
  </si>
  <si>
    <t>C35126</t>
  </si>
  <si>
    <t>CA11063</t>
  </si>
  <si>
    <t>AF1467</t>
  </si>
  <si>
    <t>33-2405</t>
  </si>
  <si>
    <t>C3361-2</t>
  </si>
  <si>
    <t>A25806</t>
  </si>
  <si>
    <t>17801-31170</t>
  </si>
  <si>
    <t>Land Rover</t>
  </si>
  <si>
    <t>LR029078</t>
  </si>
  <si>
    <t>Nissan</t>
  </si>
  <si>
    <t>LR011593</t>
  </si>
  <si>
    <t xml:space="preserve">Mobil </t>
  </si>
  <si>
    <t>AF3926</t>
  </si>
  <si>
    <t xml:space="preserve">038568742445 </t>
  </si>
  <si>
    <t>Germany</t>
  </si>
  <si>
    <t>P1034</t>
  </si>
  <si>
    <t>P1008</t>
  </si>
  <si>
    <t>A55893</t>
  </si>
  <si>
    <t>CA11004</t>
  </si>
  <si>
    <t>WL10008</t>
  </si>
  <si>
    <t>L35906</t>
  </si>
  <si>
    <t>CH11051</t>
  </si>
  <si>
    <t>059-115-561D</t>
  </si>
  <si>
    <t>Volkswagen</t>
  </si>
  <si>
    <t xml:space="preserve">038568743008 </t>
  </si>
  <si>
    <t>Austria</t>
  </si>
  <si>
    <t xml:space="preserve"> 038568743022 </t>
  </si>
  <si>
    <t>NEW PRODUCT INTRODUCTIONS</t>
  </si>
  <si>
    <t>CA11054</t>
  </si>
  <si>
    <t>CA11013</t>
  </si>
  <si>
    <t>CA11421</t>
  </si>
  <si>
    <t>CA11453</t>
  </si>
  <si>
    <t>Hydraulic Filter Element</t>
  </si>
  <si>
    <t>LFF9954</t>
  </si>
  <si>
    <t>Thermo-King</t>
  </si>
  <si>
    <t>11-9954</t>
  </si>
  <si>
    <t>038568740373</t>
  </si>
  <si>
    <t>10038568740370</t>
  </si>
  <si>
    <t>Not packaged into individual unit boxes</t>
  </si>
  <si>
    <t>LAF4712</t>
  </si>
  <si>
    <t>Radial Seal Air Filter</t>
  </si>
  <si>
    <t>30-00471-20</t>
  </si>
  <si>
    <t>P604457</t>
  </si>
  <si>
    <t>038568740397</t>
  </si>
  <si>
    <t>10038568740394</t>
  </si>
  <si>
    <t>LAF6205</t>
  </si>
  <si>
    <t>Caterpillar</t>
  </si>
  <si>
    <t>246-5011</t>
  </si>
  <si>
    <t>038568737939</t>
  </si>
  <si>
    <t>10038568737936</t>
  </si>
  <si>
    <t>L6268F</t>
  </si>
  <si>
    <t>038568740441</t>
  </si>
  <si>
    <t>10038568740448</t>
  </si>
  <si>
    <t>LFF6776</t>
  </si>
  <si>
    <t>Cummins</t>
  </si>
  <si>
    <t>BF9885</t>
  </si>
  <si>
    <t>P555776</t>
  </si>
  <si>
    <t>FF5776</t>
  </si>
  <si>
    <t>038568738073</t>
  </si>
  <si>
    <t>10038568738070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</si>
  <si>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</si>
  <si>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</si>
  <si>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</si>
  <si>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</si>
  <si>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</si>
  <si>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</si>
  <si>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</si>
  <si>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</si>
  <si>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</si>
  <si>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</si>
  <si>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</si>
  <si>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</si>
  <si>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</si>
  <si>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</si>
  <si>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</si>
  <si>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</si>
  <si>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</si>
  <si>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</si>
  <si>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</si>
  <si>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>MP Filtri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</si>
  <si>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</si>
  <si>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</si>
  <si>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</si>
  <si>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</si>
  <si>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</si>
  <si>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</si>
  <si>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</si>
  <si>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</si>
  <si>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</si>
  <si>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</si>
  <si>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</si>
  <si>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</si>
  <si>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</si>
  <si>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</si>
  <si>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</si>
  <si>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</si>
  <si>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</si>
  <si>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</si>
  <si>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</si>
  <si>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</si>
  <si>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>RS4638</t>
  </si>
  <si>
    <t>P608885</t>
  </si>
  <si>
    <t>AF25627</t>
  </si>
  <si>
    <t>CA9966</t>
  </si>
  <si>
    <t>49770</t>
  </si>
  <si>
    <t>LAF5749</t>
  </si>
  <si>
    <t>Round Air Filter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</si>
  <si>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</si>
  <si>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</si>
  <si>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</si>
  <si>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</si>
  <si>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</si>
  <si>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</si>
  <si>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</si>
  <si>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</si>
  <si>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</si>
  <si>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Air Filter</t>
  </si>
  <si>
    <t>AH212294</t>
  </si>
  <si>
    <t>RS5470</t>
  </si>
  <si>
    <t>P618930</t>
  </si>
  <si>
    <t>49294</t>
  </si>
  <si>
    <t>038568738370</t>
  </si>
  <si>
    <t>10038568738377</t>
  </si>
  <si>
    <t>LH7528</t>
  </si>
  <si>
    <t>Hydraulic Filter</t>
  </si>
  <si>
    <t>International</t>
  </si>
  <si>
    <t>1695528C1</t>
  </si>
  <si>
    <t>PT9419-MPG</t>
  </si>
  <si>
    <t>57528</t>
  </si>
  <si>
    <t>038568737977</t>
  </si>
  <si>
    <t>10038568737974</t>
  </si>
  <si>
    <t>LH4385-25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</si>
  <si>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</si>
  <si>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</si>
  <si>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</si>
  <si>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</si>
  <si>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</si>
  <si>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</si>
  <si>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</si>
  <si>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</si>
  <si>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</si>
  <si>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207-5035</t>
  </si>
  <si>
    <t>BT9560-MPG</t>
  </si>
  <si>
    <t>P573673</t>
  </si>
  <si>
    <t>038568737960</t>
  </si>
  <si>
    <t>10038568737967</t>
  </si>
  <si>
    <t>LFF9737</t>
  </si>
  <si>
    <t>BF1363</t>
  </si>
  <si>
    <t>038568738356</t>
  </si>
  <si>
    <t>10038568738353</t>
  </si>
  <si>
    <t>LFF9772</t>
  </si>
  <si>
    <t>BF1371</t>
  </si>
  <si>
    <t>FS19772</t>
  </si>
  <si>
    <t>038568737274</t>
  </si>
  <si>
    <t>10038568737271</t>
  </si>
  <si>
    <t>LFP6930</t>
  </si>
  <si>
    <t>RE530107</t>
  </si>
  <si>
    <t>BD7353</t>
  </si>
  <si>
    <t>LF9032</t>
  </si>
  <si>
    <t>57307</t>
  </si>
  <si>
    <t>038568738424</t>
  </si>
  <si>
    <t>10038568738421</t>
  </si>
  <si>
    <t>LFF5686</t>
  </si>
  <si>
    <t>BF9860</t>
  </si>
  <si>
    <t>P555686</t>
  </si>
  <si>
    <t>FF5686</t>
  </si>
  <si>
    <t>WF10008</t>
  </si>
  <si>
    <t>038568737557</t>
  </si>
  <si>
    <t>10038568737554</t>
  </si>
  <si>
    <t>LFF3368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</si>
  <si>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</si>
  <si>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</si>
  <si>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</si>
  <si>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</si>
  <si>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</si>
  <si>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</si>
  <si>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</si>
  <si>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</si>
  <si>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2611236C1</t>
  </si>
  <si>
    <t>FS20040</t>
  </si>
  <si>
    <t>WF10006</t>
  </si>
  <si>
    <t>038568738066</t>
  </si>
  <si>
    <t>10038568738063</t>
  </si>
  <si>
    <t>LAF4162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</si>
  <si>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</si>
  <si>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</si>
  <si>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</si>
  <si>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</si>
  <si>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</si>
  <si>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</si>
  <si>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</si>
  <si>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</si>
  <si>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AC Delco</t>
  </si>
  <si>
    <t>A3101C</t>
  </si>
  <si>
    <t>RS5767</t>
  </si>
  <si>
    <t>038568735812</t>
  </si>
  <si>
    <t>10038568735819</t>
  </si>
  <si>
    <t>LAF9104</t>
  </si>
  <si>
    <t>2602212C1</t>
  </si>
  <si>
    <t>P616050</t>
  </si>
  <si>
    <t>038568740328</t>
  </si>
  <si>
    <t>10038568740325</t>
  </si>
  <si>
    <t>LAF9498</t>
  </si>
  <si>
    <t>P619498</t>
  </si>
  <si>
    <t>038568740311</t>
  </si>
  <si>
    <t>10038568740318</t>
  </si>
  <si>
    <t xml:space="preserve">Buna N O-Ring </t>
  </si>
  <si>
    <t>038568739889</t>
  </si>
  <si>
    <t>10038568739886</t>
  </si>
  <si>
    <t>individual units are packed into a poly bag</t>
  </si>
  <si>
    <t>T951</t>
  </si>
  <si>
    <t xml:space="preserve"> FUEL FILTER</t>
  </si>
  <si>
    <t>038568739971</t>
  </si>
  <si>
    <t>10038568739978</t>
  </si>
  <si>
    <t>LK367C</t>
  </si>
  <si>
    <t xml:space="preserve"> MAINTENANCE KIT</t>
  </si>
  <si>
    <t>038568740250</t>
  </si>
  <si>
    <t>10038568740257</t>
  </si>
  <si>
    <t>L5094F</t>
  </si>
  <si>
    <t>K37-1004</t>
  </si>
  <si>
    <t>038568740304</t>
  </si>
  <si>
    <t>10038568740301</t>
  </si>
  <si>
    <t>L9550FXL</t>
  </si>
  <si>
    <t>FS19550</t>
  </si>
  <si>
    <t>038568737885</t>
  </si>
  <si>
    <t>10038568737882</t>
  </si>
  <si>
    <t>L9730F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</si>
  <si>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</si>
  <si>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</si>
  <si>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</si>
  <si>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</si>
  <si>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</si>
  <si>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</si>
  <si>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</si>
  <si>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</si>
  <si>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P614556</t>
  </si>
  <si>
    <t>038568740342 </t>
  </si>
  <si>
    <t>10038568740349</t>
  </si>
  <si>
    <t>LAF6725</t>
  </si>
  <si>
    <t>P621725</t>
  </si>
  <si>
    <t>LAF6986</t>
  </si>
  <si>
    <t>P614986</t>
  </si>
  <si>
    <t>038568740335 </t>
  </si>
  <si>
    <t>10038568740332</t>
  </si>
  <si>
    <t>LH9401</t>
  </si>
  <si>
    <t>HYDRAULIC FILTER *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</si>
  <si>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</si>
  <si>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</si>
  <si>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</si>
  <si>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</si>
  <si>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</si>
  <si>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</si>
  <si>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</si>
  <si>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</si>
  <si>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</si>
  <si>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>038568740281</t>
  </si>
  <si>
    <t>10038568740288</t>
  </si>
  <si>
    <t>LP2017GASK</t>
  </si>
  <si>
    <t>GASKET</t>
  </si>
  <si>
    <t>038568739933</t>
  </si>
  <si>
    <t>10038568739930</t>
  </si>
  <si>
    <t>Individual pieces packed into a poly bag</t>
  </si>
  <si>
    <t>LP7498XL</t>
  </si>
  <si>
    <t>3007498C93</t>
  </si>
  <si>
    <t>HU12002z</t>
  </si>
  <si>
    <t>038568740229</t>
  </si>
  <si>
    <t>10038568740226</t>
  </si>
  <si>
    <t>Czech Republic</t>
  </si>
  <si>
    <t>LK366C</t>
  </si>
  <si>
    <t>038568740267</t>
  </si>
  <si>
    <t>10038568740264</t>
  </si>
  <si>
    <t>LK369C</t>
  </si>
  <si>
    <t>038568740243</t>
  </si>
  <si>
    <t>10038568740240</t>
  </si>
  <si>
    <t>LK370C</t>
  </si>
  <si>
    <t>038568740274</t>
  </si>
  <si>
    <t>10038568740271</t>
  </si>
  <si>
    <t>LFH7221</t>
  </si>
  <si>
    <t>HYDRAULIC  FILTER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</si>
  <si>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</si>
  <si>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</si>
  <si>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</si>
  <si>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</si>
  <si>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</si>
  <si>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</si>
  <si>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</si>
  <si>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1899332C91</t>
  </si>
  <si>
    <t>1893553C2</t>
  </si>
  <si>
    <t>038568738028</t>
  </si>
  <si>
    <t>10038568738025</t>
  </si>
  <si>
    <t>AF5184</t>
  </si>
  <si>
    <t xml:space="preserve"> AIR FILTER</t>
  </si>
  <si>
    <t>Suzuki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</si>
  <si>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</si>
  <si>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</si>
  <si>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</si>
  <si>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</si>
  <si>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</si>
  <si>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</si>
  <si>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</si>
  <si>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</si>
  <si>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</si>
  <si>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CABIN AIR FILTER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</si>
  <si>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</si>
  <si>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</si>
  <si>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</si>
  <si>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</si>
  <si>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</si>
  <si>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</si>
  <si>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</si>
  <si>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</si>
  <si>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</si>
  <si>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</si>
  <si>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</si>
  <si>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</si>
  <si>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</si>
  <si>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</si>
  <si>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</si>
  <si>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</si>
  <si>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</si>
  <si>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</si>
  <si>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</si>
  <si>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</si>
  <si>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</si>
  <si>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</si>
  <si>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</si>
  <si>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</si>
  <si>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</si>
  <si>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</si>
  <si>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</si>
  <si>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</si>
  <si>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</si>
  <si>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</si>
  <si>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</si>
  <si>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</si>
  <si>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</si>
  <si>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</si>
  <si>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</si>
  <si>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</si>
  <si>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</si>
  <si>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</si>
  <si>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</si>
  <si>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</si>
  <si>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</si>
  <si>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</si>
  <si>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</si>
  <si>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</si>
  <si>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</si>
  <si>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</si>
  <si>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</si>
  <si>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</si>
  <si>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</si>
  <si>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</si>
  <si>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</si>
  <si>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</si>
  <si>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</si>
  <si>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</si>
  <si>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</si>
  <si>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</si>
  <si>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</si>
  <si>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</si>
  <si>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</si>
  <si>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</si>
  <si>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</si>
  <si>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</si>
  <si>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</si>
  <si>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</si>
  <si>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</si>
  <si>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</si>
  <si>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</si>
  <si>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</si>
  <si>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</si>
  <si>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</si>
  <si>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</si>
  <si>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</si>
  <si>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</si>
  <si>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AC DELCO</t>
  </si>
  <si>
    <t>AFC1504</t>
  </si>
  <si>
    <t>038568739537</t>
  </si>
  <si>
    <t>10038568739534 </t>
  </si>
  <si>
    <t>CAF1876P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</si>
  <si>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</si>
  <si>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</si>
  <si>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</si>
  <si>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</si>
  <si>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</si>
  <si>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</si>
  <si>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</si>
  <si>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Mazda</t>
  </si>
  <si>
    <t>EG21-61-P11</t>
  </si>
  <si>
    <t>CF11671</t>
  </si>
  <si>
    <t>C25858</t>
  </si>
  <si>
    <t>WCAF1864</t>
  </si>
  <si>
    <t>038568739988</t>
  </si>
  <si>
    <t>10038568739985</t>
  </si>
  <si>
    <t>PH11462</t>
  </si>
  <si>
    <t>OF6291</t>
  </si>
  <si>
    <t>WPH2873</t>
  </si>
  <si>
    <t>L5092F</t>
  </si>
  <si>
    <t>A0000902751</t>
  </si>
  <si>
    <t>K11101</t>
  </si>
  <si>
    <t>038568738196</t>
  </si>
  <si>
    <t>AF5205</t>
  </si>
  <si>
    <t>68081249AC</t>
  </si>
  <si>
    <t>CA11170</t>
  </si>
  <si>
    <t>33-2470</t>
  </si>
  <si>
    <t>A36151</t>
  </si>
  <si>
    <t>SA11170</t>
  </si>
  <si>
    <t>AF6151</t>
  </si>
  <si>
    <t>Porsche</t>
  </si>
  <si>
    <t>LUBERFINER CABIN AIR PASSCAR</t>
  </si>
  <si>
    <t>AF5204</t>
  </si>
  <si>
    <t>Scion iQ 2012-2014</t>
  </si>
  <si>
    <t>Toyota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</si>
  <si>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</si>
  <si>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</si>
  <si>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</si>
  <si>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</si>
  <si>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</si>
  <si>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</si>
  <si>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</si>
  <si>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</si>
  <si>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</si>
  <si>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</si>
  <si>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</si>
  <si>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</si>
  <si>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Bulgaria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</si>
  <si>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</si>
  <si>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</si>
  <si>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</si>
  <si>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</si>
  <si>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</si>
  <si>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</si>
  <si>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</si>
  <si>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</si>
  <si>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</si>
  <si>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</si>
  <si>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</si>
  <si>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</si>
  <si>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</si>
  <si>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</si>
  <si>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</si>
  <si>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</si>
  <si>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</si>
  <si>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</si>
  <si>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</si>
  <si>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</si>
  <si>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</si>
  <si>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</si>
  <si>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</si>
  <si>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</si>
  <si>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</si>
  <si>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</si>
  <si>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</si>
  <si>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</si>
  <si>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</si>
  <si>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</si>
  <si>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</si>
  <si>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</si>
  <si>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</si>
  <si>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</si>
  <si>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</si>
  <si>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</si>
  <si>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</si>
  <si>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</si>
  <si>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</si>
  <si>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</si>
  <si>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</si>
  <si>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</si>
  <si>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</si>
  <si>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</si>
  <si>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</si>
  <si>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</si>
  <si>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</si>
  <si>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</si>
  <si>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</si>
  <si>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</si>
  <si>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</si>
  <si>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</si>
  <si>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</si>
  <si>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</si>
  <si>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</si>
  <si>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</si>
  <si>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</si>
  <si>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</si>
  <si>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</si>
  <si>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</si>
  <si>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</si>
  <si>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</si>
  <si>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</si>
  <si>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</si>
  <si>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</si>
  <si>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</si>
  <si>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</si>
  <si>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</si>
  <si>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</si>
  <si>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</si>
  <si>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</si>
  <si>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</si>
  <si>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</si>
  <si>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</si>
  <si>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</si>
  <si>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</si>
  <si>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</si>
  <si>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</si>
  <si>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</si>
  <si>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</si>
  <si>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Honda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</si>
  <si>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</si>
  <si>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</si>
  <si>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</si>
  <si>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</si>
  <si>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</si>
  <si>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</si>
  <si>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</si>
  <si>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</si>
  <si>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</si>
  <si>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</si>
  <si>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</si>
  <si>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</si>
  <si>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</si>
  <si>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</si>
  <si>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</si>
  <si>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</si>
  <si>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</si>
  <si>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</si>
  <si>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</si>
  <si>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</si>
  <si>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</si>
  <si>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</si>
  <si>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</si>
  <si>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</si>
  <si>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</si>
  <si>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</si>
  <si>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</si>
  <si>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</si>
  <si>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</si>
  <si>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</si>
  <si>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</si>
  <si>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</si>
  <si>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</si>
  <si>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</si>
  <si>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</si>
  <si>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</si>
  <si>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</si>
  <si>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</si>
  <si>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</si>
  <si>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</si>
  <si>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</si>
  <si>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</si>
  <si>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</si>
  <si>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</si>
  <si>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</si>
  <si>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</si>
  <si>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</si>
  <si>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</si>
  <si>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</si>
  <si>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</si>
  <si>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</si>
  <si>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</si>
  <si>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</si>
  <si>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</si>
  <si>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</si>
  <si>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</si>
  <si>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</si>
  <si>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</si>
  <si>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</si>
  <si>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</si>
  <si>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</si>
  <si>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</si>
  <si>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</si>
  <si>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</si>
  <si>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</si>
  <si>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</si>
  <si>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</si>
  <si>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</si>
  <si>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</si>
  <si>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</si>
  <si>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</si>
  <si>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</si>
  <si>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</si>
  <si>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</si>
  <si>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</si>
  <si>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</si>
  <si>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</si>
  <si>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</si>
  <si>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</si>
  <si>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</si>
  <si>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</si>
  <si>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</si>
  <si>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</si>
  <si>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</si>
  <si>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</si>
  <si>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</si>
  <si>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</si>
  <si>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</si>
  <si>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</si>
  <si>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</si>
  <si>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</si>
  <si>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</si>
  <si>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</si>
  <si>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</si>
  <si>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</si>
  <si>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</si>
  <si>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</si>
  <si>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</si>
  <si>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</si>
  <si>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</si>
  <si>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</si>
  <si>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</si>
  <si>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</si>
  <si>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</si>
  <si>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</si>
  <si>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</si>
  <si>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</si>
  <si>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</si>
  <si>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</si>
  <si>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</si>
  <si>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</si>
  <si>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</si>
  <si>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</si>
  <si>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</si>
  <si>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</si>
  <si>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</si>
  <si>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</si>
  <si>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</si>
  <si>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</si>
  <si>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</si>
  <si>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</si>
  <si>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</si>
  <si>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</si>
  <si>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</si>
  <si>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</si>
  <si>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</si>
  <si>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</si>
  <si>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</si>
  <si>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</si>
  <si>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</si>
  <si>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</si>
  <si>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</si>
  <si>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</si>
  <si>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</si>
  <si>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</si>
  <si>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</si>
  <si>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</si>
  <si>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</si>
  <si>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</si>
  <si>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</si>
  <si>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</si>
  <si>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</si>
  <si>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</si>
  <si>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</si>
  <si>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</si>
  <si>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</si>
  <si>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</si>
  <si>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</si>
  <si>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</si>
  <si>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</si>
  <si>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</si>
  <si>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</si>
  <si>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</si>
  <si>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</si>
  <si>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</si>
  <si>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</si>
  <si>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</si>
  <si>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</si>
  <si>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</si>
  <si>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</si>
  <si>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</si>
  <si>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</si>
  <si>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</si>
  <si>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</si>
  <si>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</si>
  <si>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</si>
  <si>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</si>
  <si>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</si>
  <si>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</si>
  <si>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</si>
  <si>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</si>
  <si>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</si>
  <si>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</si>
  <si>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</si>
  <si>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</si>
  <si>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</si>
  <si>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</si>
  <si>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</si>
  <si>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</si>
  <si>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</si>
  <si>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</si>
  <si>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</si>
  <si>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</si>
  <si>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</si>
  <si>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</si>
  <si>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</si>
  <si>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</si>
  <si>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</si>
  <si>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</si>
  <si>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</si>
  <si>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</si>
  <si>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</si>
  <si>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</si>
  <si>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</si>
  <si>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</si>
  <si>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</si>
  <si>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</si>
  <si>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</si>
  <si>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</si>
  <si>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</si>
  <si>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</si>
  <si>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</si>
  <si>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</si>
  <si>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</si>
  <si>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</si>
  <si>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</si>
  <si>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</si>
  <si>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</si>
  <si>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</si>
  <si>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</si>
  <si>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</si>
  <si>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</si>
  <si>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</si>
  <si>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</si>
  <si>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</si>
  <si>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</si>
  <si>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</si>
  <si>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</si>
  <si>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</si>
  <si>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</si>
  <si>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</si>
  <si>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</si>
  <si>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</si>
  <si>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</si>
  <si>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</si>
  <si>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</si>
  <si>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</si>
  <si>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</si>
  <si>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</si>
  <si>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</si>
  <si>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</si>
  <si>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</si>
  <si>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</si>
  <si>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</si>
  <si>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</si>
  <si>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</si>
  <si>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</si>
  <si>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</si>
  <si>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</si>
  <si>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</si>
  <si>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</si>
  <si>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</si>
  <si>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</si>
  <si>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</si>
  <si>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</si>
  <si>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</si>
  <si>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</si>
  <si>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</si>
  <si>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</si>
  <si>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</si>
  <si>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</si>
  <si>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</si>
  <si>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</si>
  <si>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</si>
  <si>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</si>
  <si>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</si>
  <si>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</si>
  <si>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</si>
  <si>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</si>
  <si>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</si>
  <si>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</si>
  <si>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</si>
  <si>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</si>
  <si>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</si>
  <si>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</si>
  <si>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</si>
  <si>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</si>
  <si>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</si>
  <si>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</si>
  <si>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</si>
  <si>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</si>
  <si>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</si>
  <si>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</si>
  <si>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</si>
  <si>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</si>
  <si>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</si>
  <si>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</si>
  <si>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</si>
  <si>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</si>
  <si>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</si>
  <si>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</si>
  <si>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</si>
  <si>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</si>
  <si>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</si>
  <si>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</si>
  <si>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</si>
  <si>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</si>
  <si>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</si>
  <si>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</si>
  <si>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</si>
  <si>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</si>
  <si>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</si>
  <si>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</si>
  <si>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</si>
  <si>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</si>
  <si>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</si>
  <si>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</si>
  <si>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</si>
  <si>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</si>
  <si>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</si>
  <si>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</si>
  <si>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</si>
  <si>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</si>
  <si>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</si>
  <si>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</si>
  <si>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</si>
  <si>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</si>
  <si>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</si>
  <si>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</si>
  <si>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</si>
  <si>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</si>
  <si>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</si>
  <si>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</si>
  <si>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</si>
  <si>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</si>
  <si>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</si>
  <si>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</si>
  <si>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</si>
  <si>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</si>
  <si>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</si>
  <si>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</si>
  <si>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</si>
  <si>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</si>
  <si>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</si>
  <si>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</si>
  <si>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</si>
  <si>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</si>
  <si>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</si>
  <si>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</si>
  <si>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</si>
  <si>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</si>
  <si>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</si>
  <si>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</si>
  <si>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</si>
  <si>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</si>
  <si>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</si>
  <si>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</si>
  <si>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</si>
  <si>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</si>
  <si>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</si>
  <si>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</si>
  <si>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</si>
  <si>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</si>
  <si>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</si>
  <si>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</si>
  <si>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</si>
  <si>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</si>
  <si>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</si>
  <si>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</si>
  <si>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</si>
  <si>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</si>
  <si>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</si>
  <si>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</si>
  <si>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</si>
  <si>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</si>
  <si>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</si>
  <si>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</si>
  <si>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</si>
  <si>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</si>
  <si>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</si>
  <si>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</si>
  <si>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</si>
  <si>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</si>
  <si>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</si>
  <si>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</si>
  <si>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</si>
  <si>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</si>
  <si>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</si>
  <si>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</si>
  <si>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</si>
  <si>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</si>
  <si>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</si>
  <si>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</si>
  <si>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</si>
  <si>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</si>
  <si>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</si>
  <si>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</si>
  <si>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</si>
  <si>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</si>
  <si>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</si>
  <si>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</si>
  <si>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</si>
  <si>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</si>
  <si>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</si>
  <si>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</si>
  <si>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</si>
  <si>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</si>
  <si>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</si>
  <si>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</si>
  <si>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</si>
  <si>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</si>
  <si>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</si>
  <si>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</si>
  <si>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</si>
  <si>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</si>
  <si>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</si>
  <si>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</si>
  <si>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</si>
  <si>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</si>
  <si>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</si>
  <si>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</si>
  <si>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</si>
  <si>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</si>
  <si>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</si>
  <si>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</si>
  <si>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</si>
  <si>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</si>
  <si>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</si>
  <si>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</si>
  <si>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</si>
  <si>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</si>
  <si>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</si>
  <si>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</si>
  <si>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</si>
  <si>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</si>
  <si>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</si>
  <si>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8421.23.0000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</si>
  <si>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</si>
  <si>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</si>
  <si>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</si>
  <si>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</si>
  <si>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</si>
  <si>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</si>
  <si>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</si>
  <si>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</si>
  <si>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</si>
  <si>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</si>
  <si>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</si>
  <si>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</si>
  <si>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</si>
  <si>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</si>
  <si>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</si>
  <si>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</si>
  <si>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</si>
  <si>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</si>
  <si>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</si>
  <si>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</si>
  <si>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</si>
  <si>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</si>
  <si>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</si>
  <si>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</si>
  <si>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</si>
  <si>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</si>
  <si>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</si>
  <si>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</si>
  <si>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</si>
  <si>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 xml:space="preserve">International 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</si>
  <si>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</si>
  <si>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</si>
  <si>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</si>
  <si>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</si>
  <si>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</si>
  <si>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</si>
  <si>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</si>
  <si>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</si>
  <si>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</si>
  <si>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</si>
  <si>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</si>
  <si>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</si>
  <si>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</si>
  <si>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</si>
  <si>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</si>
  <si>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</si>
  <si>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</si>
  <si>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</si>
  <si>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</si>
  <si>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</si>
  <si>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</si>
  <si>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</si>
  <si>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</si>
  <si>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</si>
  <si>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</si>
  <si>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</si>
  <si>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</si>
  <si>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</si>
  <si>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</si>
  <si>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</si>
  <si>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</si>
  <si>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</si>
  <si>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</si>
  <si>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</si>
  <si>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</si>
  <si>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</si>
  <si>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</si>
  <si>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</si>
  <si>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</si>
  <si>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</si>
  <si>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</si>
  <si>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</si>
  <si>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</si>
  <si>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Case Int'l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</si>
  <si>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</si>
  <si>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</si>
  <si>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</si>
  <si>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</si>
  <si>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</si>
  <si>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</si>
  <si>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</si>
  <si>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</si>
  <si>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</si>
  <si>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</si>
  <si>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</si>
  <si>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</si>
  <si>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</si>
  <si>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</si>
  <si>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</si>
  <si>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</si>
  <si>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</si>
  <si>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</si>
  <si>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</si>
  <si>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</si>
  <si>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</si>
  <si>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</si>
  <si>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</si>
  <si>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</si>
  <si>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</si>
  <si>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</si>
  <si>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</si>
  <si>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</si>
  <si>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</si>
  <si>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</si>
  <si>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</si>
  <si>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</si>
  <si>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</si>
  <si>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</si>
  <si>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</si>
  <si>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</si>
  <si>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</si>
  <si>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</si>
  <si>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</si>
  <si>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</si>
  <si>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</si>
  <si>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</si>
  <si>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U.S.</t>
  </si>
  <si>
    <t>P2062</t>
  </si>
  <si>
    <t>LMB1002</t>
  </si>
  <si>
    <t>AF5193</t>
  </si>
  <si>
    <t>LFP7174</t>
  </si>
  <si>
    <t>CAF1911P</t>
  </si>
  <si>
    <t>CAF1927C</t>
  </si>
  <si>
    <t>CAF1860C</t>
  </si>
  <si>
    <t>CAF1934P</t>
  </si>
  <si>
    <t>CAF1910P</t>
  </si>
  <si>
    <t>CAF1898P</t>
  </si>
  <si>
    <t>CAF7737</t>
  </si>
  <si>
    <t>L6267F</t>
  </si>
  <si>
    <t>P1024</t>
  </si>
  <si>
    <t xml:space="preserve">Base for F/W Separator-1/2-NPT </t>
  </si>
  <si>
    <t>2015 Ford F150 with 2.7L Ecoboost engine</t>
  </si>
  <si>
    <t xml:space="preserve">Scion iQ (2012-16)  </t>
  </si>
  <si>
    <t xml:space="preserve"> 16546-1LA04</t>
  </si>
  <si>
    <t>55111302AA</t>
  </si>
  <si>
    <t>79831-S2A-003</t>
  </si>
  <si>
    <t>88568-74010</t>
  </si>
  <si>
    <t xml:space="preserve"> 68071668AA</t>
  </si>
  <si>
    <t>113 184 0225</t>
  </si>
  <si>
    <t>Mercedes-Benz</t>
  </si>
  <si>
    <t>Scion</t>
  </si>
  <si>
    <t>LP4083</t>
  </si>
  <si>
    <t>1842825C91</t>
  </si>
  <si>
    <t>BC7394</t>
  </si>
  <si>
    <t>CS41013</t>
  </si>
  <si>
    <t>P10012</t>
  </si>
  <si>
    <t>FS20050</t>
  </si>
  <si>
    <t>WF10053</t>
  </si>
  <si>
    <t>BF9847-D</t>
  </si>
  <si>
    <t>P551432</t>
  </si>
  <si>
    <t>0001802809</t>
  </si>
  <si>
    <t>LF721</t>
  </si>
  <si>
    <t>L16921</t>
  </si>
  <si>
    <t>S11462</t>
  </si>
  <si>
    <t>Valvoline</t>
  </si>
  <si>
    <t>VO123</t>
  </si>
  <si>
    <t>WL10001</t>
  </si>
  <si>
    <t>FT4Z-6731-A</t>
  </si>
  <si>
    <t>L38154</t>
  </si>
  <si>
    <t>CF8154</t>
  </si>
  <si>
    <t>S11955</t>
  </si>
  <si>
    <t>WP2062</t>
  </si>
  <si>
    <t>FB1301</t>
  </si>
  <si>
    <t>3833199S</t>
  </si>
  <si>
    <t>CA11002</t>
  </si>
  <si>
    <t>33-2456</t>
  </si>
  <si>
    <t>WAF5193</t>
  </si>
  <si>
    <t>SA11002</t>
  </si>
  <si>
    <t>PA4460 KIT</t>
  </si>
  <si>
    <t>WP10073</t>
  </si>
  <si>
    <t>CF11668</t>
  </si>
  <si>
    <t>CAF1737</t>
  </si>
  <si>
    <t>C28165</t>
  </si>
  <si>
    <t>C26176</t>
  </si>
  <si>
    <t>WCAF1898</t>
  </si>
  <si>
    <t>038568315977</t>
  </si>
  <si>
    <t>038568743015</t>
  </si>
  <si>
    <t>038568739810</t>
  </si>
  <si>
    <t xml:space="preserve">038568742452 </t>
  </si>
  <si>
    <t>038568743237</t>
  </si>
  <si>
    <t xml:space="preserve">038568738158 </t>
  </si>
  <si>
    <t>038568743459</t>
  </si>
  <si>
    <t>038568743541</t>
  </si>
  <si>
    <t xml:space="preserve">038568743206 </t>
  </si>
  <si>
    <t>038568743299</t>
  </si>
  <si>
    <t xml:space="preserve">038568743558 </t>
  </si>
  <si>
    <t>038568743411</t>
  </si>
  <si>
    <t>038568740427</t>
  </si>
  <si>
    <t>038568743060</t>
  </si>
  <si>
    <t>038568741578</t>
  </si>
  <si>
    <t>CH11955</t>
  </si>
  <si>
    <t>AF5224</t>
  </si>
  <si>
    <t>CAF1900P</t>
  </si>
  <si>
    <t>CAF1901C</t>
  </si>
  <si>
    <t>CAF1912C</t>
  </si>
  <si>
    <t>CAF1932P</t>
  </si>
  <si>
    <t>CAF1936P</t>
  </si>
  <si>
    <t>P992</t>
  </si>
  <si>
    <t>Air Filter, Rigid</t>
  </si>
  <si>
    <t>Air Filter, Cabin</t>
  </si>
  <si>
    <t>Oil Filter, Cartridge</t>
  </si>
  <si>
    <t>2013 Nissan Altima 2.5L</t>
  </si>
  <si>
    <t>2013 Hyundia Santa Fe Sport</t>
  </si>
  <si>
    <t>2012 Ford Focus</t>
  </si>
  <si>
    <t>2011-12 MERCEDES CL550 V8 4.7L</t>
  </si>
  <si>
    <t>Infiniti</t>
  </si>
  <si>
    <t>VW / Audi</t>
  </si>
  <si>
    <t>Mercedes Benz</t>
  </si>
  <si>
    <t>16546-3TA0A</t>
  </si>
  <si>
    <t>28113-2W100</t>
  </si>
  <si>
    <t>1FADP3FE0FL215358</t>
  </si>
  <si>
    <t>27277-1ME0B</t>
  </si>
  <si>
    <t>4H0-819-439</t>
  </si>
  <si>
    <t xml:space="preserve"> 95861-57L00</t>
  </si>
  <si>
    <t>LR JKR100280</t>
  </si>
  <si>
    <t>CA11450</t>
  </si>
  <si>
    <t>CA11500</t>
  </si>
  <si>
    <t>CF11920</t>
  </si>
  <si>
    <t>CH11060</t>
  </si>
  <si>
    <t>AF1559</t>
  </si>
  <si>
    <t>HU715/6x</t>
  </si>
  <si>
    <t>FP-70</t>
  </si>
  <si>
    <t>AF46297</t>
  </si>
  <si>
    <t>C36174</t>
  </si>
  <si>
    <t>038568316028</t>
  </si>
  <si>
    <t>10038568316025</t>
  </si>
  <si>
    <t>038568316196</t>
  </si>
  <si>
    <t>10038568316193</t>
  </si>
  <si>
    <t>038568742377</t>
  </si>
  <si>
    <t>10038568742374</t>
  </si>
  <si>
    <t>038568743572</t>
  </si>
  <si>
    <t>10038568743579</t>
  </si>
  <si>
    <t>038568743589</t>
  </si>
  <si>
    <t>10038568743586</t>
  </si>
  <si>
    <t>038568743183</t>
  </si>
  <si>
    <t>10038568743180</t>
  </si>
  <si>
    <t>10038568743296</t>
  </si>
  <si>
    <t>038568743442</t>
  </si>
  <si>
    <t>10038568743449</t>
  </si>
  <si>
    <t>038568743176</t>
  </si>
  <si>
    <t>10038568743173</t>
  </si>
  <si>
    <t>038568743336</t>
  </si>
  <si>
    <t>10038568743333</t>
  </si>
  <si>
    <t>10038568743067</t>
  </si>
  <si>
    <t>038568743497</t>
  </si>
  <si>
    <t>10038568743494</t>
  </si>
  <si>
    <t>France</t>
  </si>
  <si>
    <t>New Price</t>
  </si>
  <si>
    <t>LFF6013</t>
  </si>
  <si>
    <t>BF9918 KIT</t>
  </si>
  <si>
    <t>K10489A</t>
  </si>
  <si>
    <t>F75888</t>
  </si>
  <si>
    <t>TP1537</t>
  </si>
  <si>
    <t>038568743619</t>
  </si>
  <si>
    <t>10038568743616</t>
  </si>
  <si>
    <t>CAF1896P</t>
  </si>
  <si>
    <t>68096453AA</t>
  </si>
  <si>
    <t xml:space="preserve">Fiat 500 (2012-15) </t>
  </si>
  <si>
    <t>C26185</t>
  </si>
  <si>
    <t>WCAF1896</t>
  </si>
  <si>
    <t>038568743565</t>
  </si>
  <si>
    <t>10038568743562</t>
  </si>
  <si>
    <t>8421.39.8015</t>
  </si>
  <si>
    <t>CAF1899P</t>
  </si>
  <si>
    <t>CAF1908P</t>
  </si>
  <si>
    <t>CAF1914P</t>
  </si>
  <si>
    <t>P984</t>
  </si>
  <si>
    <t>038568743602</t>
  </si>
  <si>
    <t>10038568743609</t>
  </si>
  <si>
    <t>038568743596</t>
  </si>
  <si>
    <t>10038568743593</t>
  </si>
  <si>
    <t>038568316172</t>
  </si>
  <si>
    <t>10038568316179</t>
  </si>
  <si>
    <t>038568743244</t>
  </si>
  <si>
    <t>10038568743241</t>
  </si>
  <si>
    <t>038568742964</t>
  </si>
  <si>
    <t>10038568742961</t>
  </si>
  <si>
    <t>LFP9279</t>
  </si>
  <si>
    <t>Oil Filter, Spin-On</t>
  </si>
  <si>
    <t>8V51-18D543-AA</t>
  </si>
  <si>
    <t>Ford Fiesta (2011-15)</t>
  </si>
  <si>
    <t>FP71</t>
  </si>
  <si>
    <t>Ford Fusion (2013-14)</t>
  </si>
  <si>
    <t xml:space="preserve">Chevrolet Silverado (2014-15) </t>
  </si>
  <si>
    <t xml:space="preserve"> 057-115-561M</t>
  </si>
  <si>
    <t xml:space="preserve">Audi Q7 (2009-12), Volkswagen Touareg (2009-12)  </t>
  </si>
  <si>
    <t>RE539279</t>
  </si>
  <si>
    <t>John Deere 6068 PowerTech  PVX Tier 4 engine</t>
  </si>
  <si>
    <t>038568738462</t>
  </si>
  <si>
    <t>10038568738469</t>
  </si>
  <si>
    <t>P551910</t>
  </si>
  <si>
    <t>LF17485</t>
  </si>
  <si>
    <t>WP10129</t>
  </si>
  <si>
    <t>PA4486</t>
  </si>
  <si>
    <t>PA4475</t>
  </si>
  <si>
    <t>WP10084</t>
  </si>
  <si>
    <t>Superseded by LAF4348</t>
  </si>
  <si>
    <t>LAF1713</t>
  </si>
  <si>
    <t xml:space="preserve">Pending Obsolete </t>
  </si>
  <si>
    <t>LAF1128</t>
  </si>
  <si>
    <t>Pending Obsolete</t>
  </si>
  <si>
    <t>LAF1737</t>
  </si>
  <si>
    <t>LP146</t>
  </si>
  <si>
    <t>LFH3653-25</t>
  </si>
  <si>
    <t>Superseded by LFH4209</t>
  </si>
  <si>
    <t>LMB50</t>
  </si>
  <si>
    <t>LFH8297</t>
  </si>
  <si>
    <t>A777</t>
  </si>
  <si>
    <t xml:space="preserve">Obsolete </t>
  </si>
  <si>
    <t>LH2544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</si>
  <si>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</si>
  <si>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</si>
  <si>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</si>
  <si>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</si>
  <si>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</si>
  <si>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</si>
  <si>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</si>
  <si>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Application</t>
  </si>
  <si>
    <t>LAF8582</t>
  </si>
  <si>
    <t>P1013</t>
  </si>
  <si>
    <t>P1015</t>
  </si>
  <si>
    <t>P1019</t>
  </si>
  <si>
    <t>038568742933</t>
  </si>
  <si>
    <t>10038568742930</t>
  </si>
  <si>
    <t>038568742780</t>
  </si>
  <si>
    <t>10038568742787</t>
  </si>
  <si>
    <t>038568742889</t>
  </si>
  <si>
    <t>10038568742886</t>
  </si>
  <si>
    <t>079-198-405D</t>
  </si>
  <si>
    <t xml:space="preserve">Mercedes GLK250 (2013) </t>
  </si>
  <si>
    <t xml:space="preserve">Chevrolet Cruze Diesel (2014-15)  </t>
  </si>
  <si>
    <t xml:space="preserve">Audi A8 V8 4.0L (2013) </t>
  </si>
  <si>
    <t>AF5223</t>
  </si>
  <si>
    <t>CA11477</t>
  </si>
  <si>
    <t>17220-5G0-A00</t>
  </si>
  <si>
    <t>Honda Accord V6 (2013-15)</t>
  </si>
  <si>
    <t xml:space="preserve">Air Filter </t>
  </si>
  <si>
    <t>Air Filter, Flex</t>
  </si>
  <si>
    <t>AF3178</t>
  </si>
  <si>
    <t>CAF1920P</t>
  </si>
  <si>
    <t>CAF1893P</t>
  </si>
  <si>
    <t>CAF1930C</t>
  </si>
  <si>
    <t>038568743350</t>
  </si>
  <si>
    <t>10038568743357</t>
  </si>
  <si>
    <t>038568743251</t>
  </si>
  <si>
    <t>10038568743258</t>
  </si>
  <si>
    <t>038568743374</t>
  </si>
  <si>
    <t>10038568743371</t>
  </si>
  <si>
    <t>038568743749</t>
  </si>
  <si>
    <t>10038568743746</t>
  </si>
  <si>
    <t>CAF1880P</t>
  </si>
  <si>
    <t>CAF1937P</t>
  </si>
  <si>
    <t>P1014</t>
  </si>
  <si>
    <t>P1027</t>
  </si>
  <si>
    <t>038568743053</t>
  </si>
  <si>
    <t>10038568743838</t>
  </si>
  <si>
    <t>038568743190</t>
  </si>
  <si>
    <t>10038568743197</t>
  </si>
  <si>
    <t>038568742926</t>
  </si>
  <si>
    <t>10038568742923</t>
  </si>
  <si>
    <t>10038568743050</t>
  </si>
  <si>
    <t>08790-2L000-A</t>
  </si>
  <si>
    <t xml:space="preserve">Hyundai Elantra Touring Station Wagon (2010-12)  </t>
  </si>
  <si>
    <t>A3178C</t>
  </si>
  <si>
    <t xml:space="preserve">Cadillac ATS (2013-16) </t>
  </si>
  <si>
    <t>08790-2G000A</t>
  </si>
  <si>
    <t xml:space="preserve">Hyundai Azera (2010-11) </t>
  </si>
  <si>
    <t>68109834AA</t>
  </si>
  <si>
    <t xml:space="preserve">Jeep Grand Cherokee Diesel (2014)  </t>
  </si>
  <si>
    <t>26320-3F500</t>
  </si>
  <si>
    <t xml:space="preserve">2015 Hyundia Genesis V8 5.0L </t>
  </si>
  <si>
    <t>Jaguar XF Series (2009-15) (Jaguar )</t>
  </si>
  <si>
    <t>C2Z6525</t>
  </si>
  <si>
    <t>4E0-819-439A</t>
  </si>
  <si>
    <t>Jaguar</t>
  </si>
  <si>
    <t xml:space="preserve">Audi A8, A8L (2004-10), S8 (2007-09)  </t>
  </si>
  <si>
    <t>TA05-61-J6X</t>
  </si>
  <si>
    <t>Mazda Millenia (2001-02)</t>
  </si>
  <si>
    <t>038568744180</t>
  </si>
  <si>
    <t>10038568744187</t>
  </si>
  <si>
    <t>A26283</t>
  </si>
  <si>
    <t>AF6283</t>
  </si>
  <si>
    <t>SA11477</t>
  </si>
  <si>
    <t>WAF5223</t>
  </si>
  <si>
    <t>CA11494</t>
  </si>
  <si>
    <t>A58153</t>
  </si>
  <si>
    <t>AF8153</t>
  </si>
  <si>
    <t>WAF3178</t>
  </si>
  <si>
    <t>CF11666</t>
  </si>
  <si>
    <t>CAF1893</t>
  </si>
  <si>
    <t>WCAF1893</t>
  </si>
  <si>
    <t>C36076C</t>
  </si>
  <si>
    <t>CF10896</t>
  </si>
  <si>
    <t>C36157</t>
  </si>
  <si>
    <t>WCAF1880</t>
  </si>
  <si>
    <t>PA4406 KIT</t>
  </si>
  <si>
    <t>C35550</t>
  </si>
  <si>
    <t>P7417</t>
  </si>
  <si>
    <t>CH11794</t>
  </si>
  <si>
    <t>L38157</t>
  </si>
  <si>
    <t>WP1014</t>
  </si>
  <si>
    <t>WP1027</t>
  </si>
  <si>
    <t>WL10067</t>
  </si>
  <si>
    <t>LFP7075</t>
  </si>
  <si>
    <t>Oil Filter</t>
  </si>
  <si>
    <t>L4367F</t>
  </si>
  <si>
    <t>L7583F</t>
  </si>
  <si>
    <t>L5085F</t>
  </si>
  <si>
    <t>L9890F</t>
  </si>
  <si>
    <t>L8852F</t>
  </si>
  <si>
    <t>LH22142</t>
  </si>
  <si>
    <t>LH9227V</t>
  </si>
  <si>
    <t>LH9556</t>
  </si>
  <si>
    <t>Case Int. JX1060C, JX1070C; New Holland Tractors  TD60D, TD70D, TD75D Tractors</t>
  </si>
  <si>
    <t>16403-37700</t>
  </si>
  <si>
    <t>Nissan;  International Scout w/Diesel eng.</t>
  </si>
  <si>
    <t xml:space="preserve">Mitsubishi </t>
  </si>
  <si>
    <t>Furukawa FL200A (w/Mitsubishi 6DB10C eng.)</t>
  </si>
  <si>
    <t>ME222135</t>
  </si>
  <si>
    <t xml:space="preserve"> Mitsubishi FE &amp; FG Trucks</t>
  </si>
  <si>
    <t>ME300361</t>
  </si>
  <si>
    <t>Mitsubishi FK,FM  and FN series trucks with 6M60 engine.</t>
  </si>
  <si>
    <t>16405-00QAB</t>
  </si>
  <si>
    <t>Opel</t>
  </si>
  <si>
    <t>Renault Master</t>
  </si>
  <si>
    <t xml:space="preserve">Opel Mavano w/2.2L &amp; 2.5L Diesel eng.; Nissan Interstat and  Primastar w/2.5L eng.; Nissan;  Opel Mavano, and Renault Master </t>
  </si>
  <si>
    <t>TXW3E-CC10</t>
  </si>
  <si>
    <t>Fairey Arlon; Atlas Weyhausen AR52E (w/Deutz BF4L1011T eng.) J.C.B. with Cummins &amp; Perkins Engines</t>
  </si>
  <si>
    <t>MF1801AM60NB</t>
  </si>
  <si>
    <t>PT9227</t>
  </si>
  <si>
    <t>P172541</t>
  </si>
  <si>
    <t>R20C60TB</t>
  </si>
  <si>
    <t>PT9479-MPG</t>
  </si>
  <si>
    <t>P171825</t>
  </si>
  <si>
    <t>Caterpillar 314D CR,314D LCR,M325C  Excavators</t>
  </si>
  <si>
    <t>PT9556-MPG</t>
  </si>
  <si>
    <t>P571271</t>
  </si>
  <si>
    <t>HF35440</t>
  </si>
  <si>
    <t>BF9801</t>
  </si>
  <si>
    <t>PF9890</t>
  </si>
  <si>
    <t>P502226</t>
  </si>
  <si>
    <t>FF5363</t>
  </si>
  <si>
    <t>PF9803</t>
  </si>
  <si>
    <t>PF7583</t>
  </si>
  <si>
    <t>P550044</t>
  </si>
  <si>
    <t>FF5086</t>
  </si>
  <si>
    <t>PF861</t>
  </si>
  <si>
    <t>P550673</t>
  </si>
  <si>
    <t>B7219</t>
  </si>
  <si>
    <t>P502549</t>
  </si>
  <si>
    <t>LF17483</t>
  </si>
  <si>
    <t>PH5964</t>
  </si>
  <si>
    <t>Superceded by LAF4348</t>
  </si>
  <si>
    <t>038568737915</t>
  </si>
  <si>
    <t>10038568737912</t>
  </si>
  <si>
    <t>CHINA</t>
  </si>
  <si>
    <t>8421230000</t>
  </si>
  <si>
    <t>038568743848</t>
  </si>
  <si>
    <t>10038568743845</t>
  </si>
  <si>
    <t>038568743862</t>
  </si>
  <si>
    <t>10038568743869</t>
  </si>
  <si>
    <t>038568743855</t>
  </si>
  <si>
    <t>10038568743852</t>
  </si>
  <si>
    <t>038568743886</t>
  </si>
  <si>
    <t>10038568743883</t>
  </si>
  <si>
    <t>038568743879</t>
  </si>
  <si>
    <t>10038568743876</t>
  </si>
  <si>
    <t>038568741479</t>
  </si>
  <si>
    <t>10038568741476</t>
  </si>
  <si>
    <t>1 Unit box = 1 Carton</t>
  </si>
  <si>
    <t>CANADA</t>
  </si>
  <si>
    <t>8421290065</t>
  </si>
  <si>
    <t>038568741769</t>
  </si>
  <si>
    <t>10038568741766</t>
  </si>
  <si>
    <t>038568741868</t>
  </si>
  <si>
    <t>10038568741865</t>
  </si>
  <si>
    <t>L7663F</t>
  </si>
  <si>
    <t>1852006PE</t>
  </si>
  <si>
    <t>038568744463</t>
  </si>
  <si>
    <t>10038568744460</t>
  </si>
  <si>
    <t>UB Supplied - Dimensions Unknown</t>
  </si>
  <si>
    <t>AF5230</t>
  </si>
  <si>
    <t>AF5699</t>
  </si>
  <si>
    <t>038568742490</t>
  </si>
  <si>
    <t>10038568742497</t>
  </si>
  <si>
    <t>AF3611</t>
  </si>
  <si>
    <t>P1018</t>
  </si>
  <si>
    <t>038568744678</t>
  </si>
  <si>
    <t>10038568744675</t>
  </si>
  <si>
    <t>038568744586</t>
  </si>
  <si>
    <t>10038568744583</t>
  </si>
  <si>
    <t>17220-5J6-A00</t>
  </si>
  <si>
    <t>1F0-129-620</t>
  </si>
  <si>
    <t xml:space="preserve">Acura MDX </t>
  </si>
  <si>
    <t xml:space="preserve">Mercedes-Benz SLK350, C350,  E350 (2012-16) </t>
  </si>
  <si>
    <t xml:space="preserve">Audi, Volkswagen Jetta 2.0L (2011-15) </t>
  </si>
  <si>
    <t>KNECHT/MAHLE</t>
  </si>
  <si>
    <t>AF9911</t>
  </si>
  <si>
    <t>Ford CMAX (2013-16), Fusion Hybrid (2013-16)
  Motorcraft FA1911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</si>
  <si>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</si>
  <si>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</si>
  <si>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</si>
  <si>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</si>
  <si>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</si>
  <si>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</si>
  <si>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</si>
  <si>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</si>
  <si>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</si>
  <si>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</si>
  <si>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CAF1929P</t>
  </si>
  <si>
    <t xml:space="preserve">Jaguar XF Series (2009-16) </t>
  </si>
  <si>
    <t>038568743275</t>
  </si>
  <si>
    <t>10038568743272</t>
  </si>
  <si>
    <t>CAF1872P</t>
  </si>
  <si>
    <t>Buick Lacrosse (2010-16), Cadillac SRX (2010-16),  Chevrolet Cruze (2011-16  Dust and Odor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</si>
  <si>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</si>
  <si>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</si>
  <si>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</si>
  <si>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</si>
  <si>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</si>
  <si>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</si>
  <si>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</si>
  <si>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</si>
  <si>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</si>
  <si>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</si>
  <si>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</si>
  <si>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</si>
  <si>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</si>
  <si>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</si>
  <si>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</si>
  <si>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</si>
  <si>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</si>
  <si>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</si>
  <si>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</si>
  <si>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90289C</t>
  </si>
  <si>
    <t>LAK812</t>
  </si>
  <si>
    <t>CUK25011</t>
  </si>
  <si>
    <t>038568743824</t>
  </si>
  <si>
    <t>10038568743821</t>
  </si>
  <si>
    <t xml:space="preserve">Mercedes V8 5.5L (2011-16)  </t>
  </si>
  <si>
    <t>S11792</t>
  </si>
  <si>
    <t>WP1018</t>
  </si>
  <si>
    <t>038568742940</t>
  </si>
  <si>
    <t>10038568742947</t>
  </si>
  <si>
    <t>CAF1842C</t>
  </si>
  <si>
    <t>BMW 5 Series (2004-12), 6 Series (2005-12  Dust and Odor</t>
  </si>
  <si>
    <t>CF10103</t>
  </si>
  <si>
    <t>038568316318</t>
  </si>
  <si>
    <t>10038568316315</t>
  </si>
  <si>
    <t>AF5225</t>
  </si>
  <si>
    <t xml:space="preserve">Ram pickup 6.4L V8 (2014-16) </t>
  </si>
  <si>
    <t>68190705AA</t>
  </si>
  <si>
    <t>PA10022</t>
  </si>
  <si>
    <t>WAF5225</t>
  </si>
  <si>
    <t>038568316110</t>
  </si>
  <si>
    <t>10038568316117</t>
  </si>
  <si>
    <t>AF5235</t>
  </si>
  <si>
    <t>Nissan Rogue (2014-16)</t>
  </si>
  <si>
    <t>16546-4BA1A</t>
  </si>
  <si>
    <t>WAF5235</t>
  </si>
  <si>
    <t>WA10215</t>
  </si>
  <si>
    <t>038568316189</t>
  </si>
  <si>
    <t>10038568316186</t>
  </si>
  <si>
    <t xml:space="preserve">Chrysler, Dodge, Jeep and Ram with V6 3.6L  engine. (2014-16) </t>
  </si>
  <si>
    <t>69191349AA</t>
  </si>
  <si>
    <t>P9600</t>
  </si>
  <si>
    <t>CH11665</t>
  </si>
  <si>
    <t>S11665</t>
  </si>
  <si>
    <t>VO114</t>
  </si>
  <si>
    <t>WL10010</t>
  </si>
  <si>
    <t>10038568316094</t>
  </si>
  <si>
    <t>PH488</t>
  </si>
  <si>
    <t xml:space="preserve">Chevrolet 1.4L and 1.5L (2016-17) </t>
  </si>
  <si>
    <t>UPF64R</t>
  </si>
  <si>
    <t>WPH488</t>
  </si>
  <si>
    <t>038568316486</t>
  </si>
  <si>
    <t>10038568316483</t>
  </si>
  <si>
    <t>AF3618</t>
  </si>
  <si>
    <t>P1017</t>
  </si>
  <si>
    <t>L9999F</t>
  </si>
  <si>
    <t>P1028</t>
  </si>
  <si>
    <t xml:space="preserve">2015 VW Golf diesel </t>
  </si>
  <si>
    <t>03N-115-562</t>
  </si>
  <si>
    <t>038568744364</t>
  </si>
  <si>
    <t>10038568744361</t>
  </si>
  <si>
    <t>038568744111</t>
  </si>
  <si>
    <t>10038568744118</t>
  </si>
  <si>
    <t>Taiwan</t>
  </si>
  <si>
    <t>038568744357</t>
  </si>
  <si>
    <t>10038568744354</t>
  </si>
  <si>
    <t>038568744272</t>
  </si>
  <si>
    <t>10038568744279</t>
  </si>
  <si>
    <t>038568316448</t>
  </si>
  <si>
    <t>10038568316445</t>
  </si>
  <si>
    <t>CAF1753</t>
  </si>
  <si>
    <t>038568730572</t>
  </si>
  <si>
    <t>10038568743630</t>
  </si>
  <si>
    <t>038568744340</t>
  </si>
  <si>
    <t>10038568744347</t>
  </si>
  <si>
    <t>06L-115-562</t>
  </si>
  <si>
    <t xml:space="preserve">Volkswagen Jetta, GLI (2014-16), Passat (2014-16) </t>
  </si>
  <si>
    <t>2014 Chevrolet Cruze diesel</t>
  </si>
  <si>
    <t>CAF1945P</t>
  </si>
  <si>
    <t>Fuel Filter, Cartridge</t>
  </si>
  <si>
    <t xml:space="preserve">BMW 3 Series 2.0L 4 cyl. (2012-16)  </t>
  </si>
  <si>
    <t>Daewoo</t>
  </si>
  <si>
    <t xml:space="preserve">Daewoo Nubira (1998-2002) </t>
  </si>
  <si>
    <t>CA11712</t>
  </si>
  <si>
    <t>33-5013</t>
  </si>
  <si>
    <t>A28168</t>
  </si>
  <si>
    <t>AF8168</t>
  </si>
  <si>
    <t>WAF5230</t>
  </si>
  <si>
    <t>WA10053</t>
  </si>
  <si>
    <t>CA11439</t>
  </si>
  <si>
    <t>WAF5699</t>
  </si>
  <si>
    <t>SA11439</t>
  </si>
  <si>
    <t>CA9800</t>
  </si>
  <si>
    <t>WAF3611</t>
  </si>
  <si>
    <t>SA9800</t>
  </si>
  <si>
    <t>CA11305</t>
  </si>
  <si>
    <t>WAF3618</t>
  </si>
  <si>
    <t>WA10005</t>
  </si>
  <si>
    <t>CH11784</t>
  </si>
  <si>
    <t>L28161</t>
  </si>
  <si>
    <t>WP1017</t>
  </si>
  <si>
    <t>S11784</t>
  </si>
  <si>
    <t>VO117</t>
  </si>
  <si>
    <t>WL10024</t>
  </si>
  <si>
    <t>5Q0-819-644</t>
  </si>
  <si>
    <t xml:space="preserve">Audi A3, VW Golf (2015-16) </t>
  </si>
  <si>
    <t>Audi</t>
  </si>
  <si>
    <t>TP999</t>
  </si>
  <si>
    <t>L28176</t>
  </si>
  <si>
    <t>WP1028</t>
  </si>
  <si>
    <t>WL10056</t>
  </si>
  <si>
    <t>ALCO</t>
  </si>
  <si>
    <t>MD8654</t>
  </si>
  <si>
    <t>AF1630</t>
  </si>
  <si>
    <t>E1079L</t>
  </si>
  <si>
    <t>LX2077/3</t>
  </si>
  <si>
    <t>C24025</t>
  </si>
  <si>
    <t>1-987-429-405</t>
  </si>
  <si>
    <t>AF1595</t>
  </si>
  <si>
    <t>C14130</t>
  </si>
  <si>
    <t>AF1574</t>
  </si>
  <si>
    <t>E1040L</t>
  </si>
  <si>
    <t>LX3140</t>
  </si>
  <si>
    <t>C43139</t>
  </si>
  <si>
    <t>AF1642</t>
  </si>
  <si>
    <t>E2998Li</t>
  </si>
  <si>
    <t>CU26009</t>
  </si>
  <si>
    <t>5Q0-819-644A</t>
  </si>
  <si>
    <t>E340HD247</t>
  </si>
  <si>
    <t>HU7020z</t>
  </si>
  <si>
    <t>AF3621</t>
  </si>
  <si>
    <t>AF5247</t>
  </si>
  <si>
    <t>CAF1946C</t>
  </si>
  <si>
    <t>Mini Cooper 1.5L and 2.0L (2015-16)</t>
  </si>
  <si>
    <t>52022424AA</t>
  </si>
  <si>
    <t xml:space="preserve">(2014-2016) Ram Pro Master van  </t>
  </si>
  <si>
    <t xml:space="preserve">VW Golf (2015-16) </t>
  </si>
  <si>
    <t>E1090L</t>
  </si>
  <si>
    <t>LX3502</t>
  </si>
  <si>
    <t>C30005</t>
  </si>
  <si>
    <t>5Q0-129-620</t>
  </si>
  <si>
    <t>5Q0-129-620B</t>
  </si>
  <si>
    <t>5QM-129-620D</t>
  </si>
  <si>
    <t>5QM-129-620A</t>
  </si>
  <si>
    <t>RS10021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</si>
  <si>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</si>
  <si>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</si>
  <si>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</si>
  <si>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</si>
  <si>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</si>
  <si>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</si>
  <si>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</si>
  <si>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Paccar 1852006PE; 2014 Kenworth &amp; Peterbilt  trucks with Paccar MX engine</t>
  </si>
  <si>
    <t>E482L</t>
  </si>
  <si>
    <t>CUK23005-2</t>
  </si>
  <si>
    <t>AF3619</t>
  </si>
  <si>
    <t>LFP6288</t>
  </si>
  <si>
    <t>038568744593</t>
  </si>
  <si>
    <t>10038568744590</t>
  </si>
  <si>
    <t>038568744746</t>
  </si>
  <si>
    <t>10038568744743</t>
  </si>
  <si>
    <t>AF3195</t>
  </si>
  <si>
    <t>AF5248</t>
  </si>
  <si>
    <t>AF5251</t>
  </si>
  <si>
    <t>AF5252</t>
  </si>
  <si>
    <t>Air Filter, Axial</t>
  </si>
  <si>
    <t>038568743114</t>
  </si>
  <si>
    <t>10038568743111</t>
  </si>
  <si>
    <t>038568316202</t>
  </si>
  <si>
    <t>10038568316209</t>
  </si>
  <si>
    <t>038568744609</t>
  </si>
  <si>
    <t>10038568744606</t>
  </si>
  <si>
    <t>038568744081</t>
  </si>
  <si>
    <t>10038568744088</t>
  </si>
  <si>
    <t>038568744760</t>
  </si>
  <si>
    <t>10038568744767</t>
  </si>
  <si>
    <t>AF9918</t>
  </si>
  <si>
    <t>L3548F</t>
  </si>
  <si>
    <t>L4107F</t>
  </si>
  <si>
    <t>Fuel Filter, In-Line</t>
  </si>
  <si>
    <t>038568744623</t>
  </si>
  <si>
    <t>10038568744620</t>
  </si>
  <si>
    <t>038568744203</t>
  </si>
  <si>
    <t>10038568744200</t>
  </si>
  <si>
    <t>038568316387</t>
  </si>
  <si>
    <t>10038568316384</t>
  </si>
  <si>
    <t>038568744371</t>
  </si>
  <si>
    <t>10038568744378</t>
  </si>
  <si>
    <t>038568316516</t>
  </si>
  <si>
    <t>10038568316513</t>
  </si>
  <si>
    <t>LFF5106</t>
  </si>
  <si>
    <t>038568744210</t>
  </si>
  <si>
    <t>10038568744217</t>
  </si>
  <si>
    <t>038568316394</t>
  </si>
  <si>
    <t>10038568316391</t>
  </si>
  <si>
    <t>038568744173</t>
  </si>
  <si>
    <t>10038568744170</t>
  </si>
  <si>
    <t>038568316271</t>
  </si>
  <si>
    <t>10038568316278</t>
  </si>
  <si>
    <t>G6391</t>
  </si>
  <si>
    <t>G6844</t>
  </si>
  <si>
    <t>038568744234</t>
  </si>
  <si>
    <t>10038568744231</t>
  </si>
  <si>
    <t>038568316462</t>
  </si>
  <si>
    <t>10038568316469</t>
  </si>
  <si>
    <t>038568744227</t>
  </si>
  <si>
    <t>10038568744224</t>
  </si>
  <si>
    <t>038568316455</t>
  </si>
  <si>
    <t>10038568316452</t>
  </si>
  <si>
    <t>AF3927</t>
  </si>
  <si>
    <t>AF5233</t>
  </si>
  <si>
    <t>AF5239</t>
  </si>
  <si>
    <t>AF5240</t>
  </si>
  <si>
    <t>L5693F</t>
  </si>
  <si>
    <t>038568743770</t>
  </si>
  <si>
    <t>10038568743777</t>
  </si>
  <si>
    <t>038568743084</t>
  </si>
  <si>
    <t>10038568743081</t>
  </si>
  <si>
    <t>038568316103</t>
  </si>
  <si>
    <t>10038568316100</t>
  </si>
  <si>
    <t>038568743671</t>
  </si>
  <si>
    <t>10038568743678</t>
  </si>
  <si>
    <t>038568316509</t>
  </si>
  <si>
    <t>10038568316506</t>
  </si>
  <si>
    <t>038568743107</t>
  </si>
  <si>
    <t>10038568743104</t>
  </si>
  <si>
    <t>038568316127</t>
  </si>
  <si>
    <t>10038568316124</t>
  </si>
  <si>
    <t>038568744104</t>
  </si>
  <si>
    <t>10038568744101</t>
  </si>
  <si>
    <t>038568316240</t>
  </si>
  <si>
    <t>10038568316247</t>
  </si>
  <si>
    <t>L9621F</t>
  </si>
  <si>
    <t>WA10072</t>
  </si>
  <si>
    <t>C27009</t>
  </si>
  <si>
    <t xml:space="preserve"> 04E-129-620</t>
  </si>
  <si>
    <t xml:space="preserve">Volkswagen Jetta 4 cyl. 1.4L (2013-16) </t>
  </si>
  <si>
    <t>H17W29</t>
  </si>
  <si>
    <t>OC613</t>
  </si>
  <si>
    <t>W940/69</t>
  </si>
  <si>
    <t>L38167</t>
  </si>
  <si>
    <t>WLFP6288</t>
  </si>
  <si>
    <t>WL10058</t>
  </si>
  <si>
    <t>68095335AA</t>
  </si>
  <si>
    <t xml:space="preserve">Dodge Promaster Diesel van (2014-16)  </t>
  </si>
  <si>
    <t>AF1672</t>
  </si>
  <si>
    <t>WAF3195</t>
  </si>
  <si>
    <t>SA11959</t>
  </si>
  <si>
    <t xml:space="preserve"> A3195C</t>
  </si>
  <si>
    <t xml:space="preserve">Chevrolet Colorado (2015-16)   </t>
  </si>
  <si>
    <t>F026400287</t>
  </si>
  <si>
    <t>5Q0129620B</t>
  </si>
  <si>
    <t>AF1666</t>
  </si>
  <si>
    <t>WAF5248</t>
  </si>
  <si>
    <t>WA10212</t>
  </si>
  <si>
    <t>17220-5R0-008</t>
  </si>
  <si>
    <t xml:space="preserve">Honda Fit (2015-16) </t>
  </si>
  <si>
    <t>PA4480</t>
  </si>
  <si>
    <t>CA11053</t>
  </si>
  <si>
    <t>AF1511</t>
  </si>
  <si>
    <t>A6166</t>
  </si>
  <si>
    <t>AF6166</t>
  </si>
  <si>
    <t>SA11053A</t>
  </si>
  <si>
    <t>WAF5251</t>
  </si>
  <si>
    <t>28113-3X000</t>
  </si>
  <si>
    <t xml:space="preserve">Kia Forte (2014-16) </t>
  </si>
  <si>
    <t>PA4126</t>
  </si>
  <si>
    <t>WAF5252</t>
  </si>
  <si>
    <t>A48156</t>
  </si>
  <si>
    <t>WAF9918</t>
  </si>
  <si>
    <t>FR3Z-9601-A</t>
  </si>
  <si>
    <t>FA1918</t>
  </si>
  <si>
    <t xml:space="preserve">Ford Mustang (2015-16) </t>
  </si>
  <si>
    <t>GM Full Size Vans 2016</t>
  </si>
  <si>
    <t>KL169/4D</t>
  </si>
  <si>
    <t>WK11245</t>
  </si>
  <si>
    <t xml:space="preserve">BMW X5 3.0L Diesel Turbo (2009-12)  </t>
  </si>
  <si>
    <t>PF46004</t>
  </si>
  <si>
    <t>FD4621</t>
  </si>
  <si>
    <t>CC1Z-9365-A</t>
  </si>
  <si>
    <t xml:space="preserve">Ford Transit Van (2015-16) (CC1Z-9365-A)   </t>
  </si>
  <si>
    <t>BF46031</t>
  </si>
  <si>
    <t>FF1279</t>
  </si>
  <si>
    <t>WF10112</t>
  </si>
  <si>
    <t>68197867AA</t>
  </si>
  <si>
    <t xml:space="preserve">Chrysler </t>
  </si>
  <si>
    <t xml:space="preserve">Ram 4500 and 5500 6.7L diesel pickup.  (2013-16)  </t>
  </si>
  <si>
    <t>G10243</t>
  </si>
  <si>
    <t>GF386</t>
  </si>
  <si>
    <t>H280WK</t>
  </si>
  <si>
    <t>KL156/3</t>
  </si>
  <si>
    <t>WK69</t>
  </si>
  <si>
    <t>1K0-201-051C</t>
  </si>
  <si>
    <t xml:space="preserve">Audi A3 (2006-13), Volkswagen  EOS (2007-16)  </t>
  </si>
  <si>
    <t>GF388</t>
  </si>
  <si>
    <t>GF844</t>
  </si>
  <si>
    <t xml:space="preserve">Cadillac SRX (2010-16) 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</si>
  <si>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</si>
  <si>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</si>
  <si>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</si>
  <si>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</si>
  <si>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</si>
  <si>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</si>
  <si>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</si>
  <si>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</si>
  <si>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BMW Z4 3.0L Non-Turbo (2009-16), Z4 2.0L Turbo (2012-16)</t>
  </si>
  <si>
    <t>PA4484</t>
  </si>
  <si>
    <t>AF1619</t>
  </si>
  <si>
    <t>33-5009</t>
  </si>
  <si>
    <t>WAF5233</t>
  </si>
  <si>
    <t>WA10096</t>
  </si>
  <si>
    <t>52022378AA</t>
  </si>
  <si>
    <t xml:space="preserve">Jeep Cherokee (2014-16) </t>
  </si>
  <si>
    <t>PA10006</t>
  </si>
  <si>
    <t>AF1660</t>
  </si>
  <si>
    <t>WAF5239</t>
  </si>
  <si>
    <t>SA11948</t>
  </si>
  <si>
    <t>WA10296</t>
  </si>
  <si>
    <t>68157194AA</t>
  </si>
  <si>
    <t xml:space="preserve">Chrysler 200 (2015-16) </t>
  </si>
  <si>
    <t>33-5017</t>
  </si>
  <si>
    <t>A58172</t>
  </si>
  <si>
    <t>WAF5240</t>
  </si>
  <si>
    <t>WA10085</t>
  </si>
  <si>
    <t>17801-0S020</t>
  </si>
  <si>
    <t xml:space="preserve">Toyota Tundra &amp; Sequoia 5.7L (2014-16) </t>
  </si>
  <si>
    <t>68235275AA</t>
  </si>
  <si>
    <t xml:space="preserve">Ram 1500 Pickup Diesel (2014-16)  </t>
  </si>
  <si>
    <t>WK820/14</t>
  </si>
  <si>
    <t>Mercedes-Benz GL/ML with Bluetec (2012-16)  Frieghtliner and Mercedes Sprinter van  (2010-12)</t>
  </si>
  <si>
    <t>Freightliner / Mercedes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</si>
  <si>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</si>
  <si>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</si>
  <si>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</si>
  <si>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</si>
  <si>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</si>
  <si>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</si>
  <si>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</si>
  <si>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</si>
  <si>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</si>
  <si>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LFP5375</t>
  </si>
  <si>
    <t>LAF5847</t>
  </si>
  <si>
    <t>Obsolete-Superseded by LAF3890</t>
  </si>
  <si>
    <t>LP5901</t>
  </si>
  <si>
    <t>LFH4201</t>
  </si>
  <si>
    <t>Fuel/Water Separator Filter with Open End Bottom</t>
  </si>
  <si>
    <t>FF276</t>
  </si>
  <si>
    <t>BF46001</t>
  </si>
  <si>
    <t>AF5200</t>
  </si>
  <si>
    <t>AF5216</t>
  </si>
  <si>
    <t>CAF1781</t>
  </si>
  <si>
    <t>CAF1816P</t>
  </si>
  <si>
    <t>CAF1846P</t>
  </si>
  <si>
    <t>CAF1887P</t>
  </si>
  <si>
    <t>CAF1921P</t>
  </si>
  <si>
    <t>CAF1941P</t>
  </si>
  <si>
    <t>P986</t>
  </si>
  <si>
    <t>AF3139</t>
  </si>
  <si>
    <t>AF3148</t>
  </si>
  <si>
    <t>AF3174</t>
  </si>
  <si>
    <t>G2988</t>
  </si>
  <si>
    <t>LAF6902</t>
  </si>
  <si>
    <t>AF3617</t>
  </si>
  <si>
    <t>AF4052</t>
  </si>
  <si>
    <t>AF4064</t>
  </si>
  <si>
    <t>AF3219</t>
  </si>
  <si>
    <t>AF5185</t>
  </si>
  <si>
    <t>AF6900</t>
  </si>
  <si>
    <t>AF3173</t>
  </si>
  <si>
    <t>AF5196</t>
  </si>
  <si>
    <t>AF5187</t>
  </si>
  <si>
    <t>AF4062</t>
  </si>
  <si>
    <t>AF3978</t>
  </si>
  <si>
    <t>AF4063</t>
  </si>
  <si>
    <t>AF5229</t>
  </si>
  <si>
    <t>P1025</t>
  </si>
  <si>
    <t>P1037</t>
  </si>
  <si>
    <t>AF5236</t>
  </si>
  <si>
    <t>AF5249</t>
  </si>
  <si>
    <t>CAF1944P</t>
  </si>
  <si>
    <t>CAF1945C</t>
  </si>
  <si>
    <t>CAF1950P</t>
  </si>
  <si>
    <t>AF5246</t>
  </si>
  <si>
    <t>AF5231</t>
  </si>
  <si>
    <t>AF9916</t>
  </si>
  <si>
    <t>Air Filter, Radial</t>
  </si>
  <si>
    <t>2017 NEW PRODUCT INTRODUCTION</t>
  </si>
  <si>
    <t>Ford Focus (2012-14) (Motorcraft FA1908)</t>
  </si>
  <si>
    <t>038568316592</t>
  </si>
  <si>
    <t>10038568316599</t>
  </si>
  <si>
    <t>Each Weight</t>
  </si>
  <si>
    <t>Case Weight</t>
  </si>
  <si>
    <t>038568316608</t>
  </si>
  <si>
    <t>10038568316605</t>
  </si>
  <si>
    <t>038568316561</t>
  </si>
  <si>
    <t>10038568316568</t>
  </si>
  <si>
    <t>038568316615</t>
  </si>
  <si>
    <t>10038568316612</t>
  </si>
  <si>
    <t>038568316622</t>
  </si>
  <si>
    <t>10038568316629</t>
  </si>
  <si>
    <t>038568316646</t>
  </si>
  <si>
    <t>10038568316643</t>
  </si>
  <si>
    <t>038568316639</t>
  </si>
  <si>
    <t>10038568316636</t>
  </si>
  <si>
    <t>038568316653</t>
  </si>
  <si>
    <t>10038568316650</t>
  </si>
  <si>
    <t>038568316707</t>
  </si>
  <si>
    <t>10038568316704</t>
  </si>
  <si>
    <t>038568316677</t>
  </si>
  <si>
    <t>10038568316674</t>
  </si>
  <si>
    <t>038568316714</t>
  </si>
  <si>
    <t>10038568316711</t>
  </si>
  <si>
    <t>038568316660</t>
  </si>
  <si>
    <t>10038568316667</t>
  </si>
  <si>
    <t>038568316721</t>
  </si>
  <si>
    <t>10038568316728</t>
  </si>
  <si>
    <t>038568316684</t>
  </si>
  <si>
    <t>10038568316681</t>
  </si>
  <si>
    <t>038568316691</t>
  </si>
  <si>
    <t>10038568316698</t>
  </si>
  <si>
    <t>038568316745</t>
  </si>
  <si>
    <t>10038568316742</t>
  </si>
  <si>
    <t>038568316752</t>
  </si>
  <si>
    <t>10038568316759</t>
  </si>
  <si>
    <t>038568316769</t>
  </si>
  <si>
    <t>10038568316766</t>
  </si>
  <si>
    <t>038568316790</t>
  </si>
  <si>
    <t>10038568316797</t>
  </si>
  <si>
    <t>038568316806</t>
  </si>
  <si>
    <t>10038568316803</t>
  </si>
  <si>
    <t>038568316530</t>
  </si>
  <si>
    <t>10038568316537</t>
  </si>
  <si>
    <t>038568316585</t>
  </si>
  <si>
    <t>10038568316582</t>
  </si>
  <si>
    <t>038568316547</t>
  </si>
  <si>
    <t>10038568316544</t>
  </si>
  <si>
    <t>038568316554</t>
  </si>
  <si>
    <t>10038568316551</t>
  </si>
  <si>
    <t>038568316479</t>
  </si>
  <si>
    <t>10038568316476</t>
  </si>
  <si>
    <t>038568316578</t>
  </si>
  <si>
    <t>10038568316575</t>
  </si>
  <si>
    <t>038568316967</t>
  </si>
  <si>
    <t>10038568316964</t>
  </si>
  <si>
    <t>038568316950</t>
  </si>
  <si>
    <t>10038568316957</t>
  </si>
  <si>
    <t>038568317018</t>
  </si>
  <si>
    <t>10038568317015</t>
  </si>
  <si>
    <t>038568317025</t>
  </si>
  <si>
    <t>10038568317022</t>
  </si>
  <si>
    <t>038568317155</t>
  </si>
  <si>
    <t>10038568317152</t>
  </si>
  <si>
    <t>038568317148</t>
  </si>
  <si>
    <t>10038568317145</t>
  </si>
  <si>
    <t>038568317186</t>
  </si>
  <si>
    <t>10038568317183</t>
  </si>
  <si>
    <t>038568317162</t>
  </si>
  <si>
    <t>10038568317169</t>
  </si>
  <si>
    <t>038568317179</t>
  </si>
  <si>
    <t>10038568317176</t>
  </si>
  <si>
    <t>038568314819</t>
  </si>
  <si>
    <t>10038568314816</t>
  </si>
  <si>
    <t>038568317278</t>
  </si>
  <si>
    <t>10038568317275</t>
  </si>
  <si>
    <t>038568317261</t>
  </si>
  <si>
    <t>10038568317268</t>
  </si>
  <si>
    <t>038568317223</t>
  </si>
  <si>
    <t>10038568317220</t>
  </si>
  <si>
    <t>038568317193</t>
  </si>
  <si>
    <t>10038568317190</t>
  </si>
  <si>
    <t>038568317292</t>
  </si>
  <si>
    <t>10038568317299</t>
  </si>
  <si>
    <t>038568317315</t>
  </si>
  <si>
    <t>10038568317312</t>
  </si>
  <si>
    <t>038568317308</t>
  </si>
  <si>
    <t>10038568317305</t>
  </si>
  <si>
    <t>038568317438</t>
  </si>
  <si>
    <t>10038568317435</t>
  </si>
  <si>
    <t>038568317421</t>
  </si>
  <si>
    <t>10038568317428</t>
  </si>
  <si>
    <t>038568317452</t>
  </si>
  <si>
    <t>10038568317459</t>
  </si>
  <si>
    <t>038568317414</t>
  </si>
  <si>
    <t>10038568317411</t>
  </si>
  <si>
    <t>038568317483</t>
  </si>
  <si>
    <t>10038568317480</t>
  </si>
  <si>
    <t>038568317476</t>
  </si>
  <si>
    <t>10038568317473</t>
  </si>
  <si>
    <t>038568317469</t>
  </si>
  <si>
    <t>10038568317466</t>
  </si>
  <si>
    <t>038568317506</t>
  </si>
  <si>
    <t>10038568317503</t>
  </si>
  <si>
    <t>038568314147</t>
  </si>
  <si>
    <t>10038568314144</t>
  </si>
  <si>
    <t>038568317513</t>
  </si>
  <si>
    <t>10038568317510</t>
  </si>
  <si>
    <t>038568317582</t>
  </si>
  <si>
    <t>10038568317589</t>
  </si>
  <si>
    <t>038568317551</t>
  </si>
  <si>
    <t>10038568317558</t>
  </si>
  <si>
    <t>038568317568</t>
  </si>
  <si>
    <t>10038568317565</t>
  </si>
  <si>
    <t>038568316776</t>
  </si>
  <si>
    <t>10038568316773</t>
  </si>
  <si>
    <t>038568316738</t>
  </si>
  <si>
    <t>10038568316735</t>
  </si>
  <si>
    <t>038568316783</t>
  </si>
  <si>
    <t>10038568316780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</si>
  <si>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</si>
  <si>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</si>
  <si>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</si>
  <si>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</si>
  <si>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</si>
  <si>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</si>
  <si>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</si>
  <si>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</si>
  <si>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</si>
  <si>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</si>
  <si>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</si>
  <si>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</si>
  <si>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</si>
  <si>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</si>
  <si>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</si>
  <si>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</si>
  <si>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</si>
  <si>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</si>
  <si>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</si>
  <si>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PA10004</t>
  </si>
  <si>
    <t>WA10000</t>
  </si>
  <si>
    <t>Nissan/Datsun Rogue 2017 w/ 2.0L FI (Hybrid); 2.5L FI engines</t>
  </si>
  <si>
    <t>CF11854</t>
  </si>
  <si>
    <t>WP10179</t>
  </si>
  <si>
    <t>AF2601</t>
  </si>
  <si>
    <t>CA11250</t>
  </si>
  <si>
    <t>33-2487</t>
  </si>
  <si>
    <t>AF16184</t>
  </si>
  <si>
    <t>SA11250</t>
  </si>
  <si>
    <t>AF6184</t>
  </si>
  <si>
    <t>WA10006</t>
  </si>
  <si>
    <t>CA11426</t>
  </si>
  <si>
    <t>33-2485</t>
  </si>
  <si>
    <t>PA4196</t>
  </si>
  <si>
    <t>CF10134</t>
  </si>
  <si>
    <t>VF2001</t>
  </si>
  <si>
    <t>MCAF1781</t>
  </si>
  <si>
    <t>C35519</t>
  </si>
  <si>
    <t>PA4393</t>
  </si>
  <si>
    <t>CF10285</t>
  </si>
  <si>
    <t>MCAF1816P</t>
  </si>
  <si>
    <t>C35667</t>
  </si>
  <si>
    <t>CF10728</t>
  </si>
  <si>
    <t>VF2037</t>
  </si>
  <si>
    <t>C35660</t>
  </si>
  <si>
    <t>WP10083</t>
  </si>
  <si>
    <t>CF11672</t>
  </si>
  <si>
    <t>C16098</t>
  </si>
  <si>
    <t>CF11664</t>
  </si>
  <si>
    <t>VF2026</t>
  </si>
  <si>
    <t>C36158</t>
  </si>
  <si>
    <t>CF11670</t>
  </si>
  <si>
    <t>C26175</t>
  </si>
  <si>
    <t>CF12002</t>
  </si>
  <si>
    <t>CAF1921</t>
  </si>
  <si>
    <t>WP10178</t>
  </si>
  <si>
    <t>P40025</t>
  </si>
  <si>
    <t>CH10992</t>
  </si>
  <si>
    <t>L36290</t>
  </si>
  <si>
    <t>CF6290</t>
  </si>
  <si>
    <t>S10992</t>
  </si>
  <si>
    <t>CH11007</t>
  </si>
  <si>
    <t>P40024</t>
  </si>
  <si>
    <t>S10759</t>
  </si>
  <si>
    <t>S11246</t>
  </si>
  <si>
    <t>WL10059</t>
  </si>
  <si>
    <t>PA4465</t>
  </si>
  <si>
    <t>CA10989</t>
  </si>
  <si>
    <t>33-2966</t>
  </si>
  <si>
    <t>A46152</t>
  </si>
  <si>
    <t>SA10867</t>
  </si>
  <si>
    <t>AF6145</t>
  </si>
  <si>
    <t>CA11049</t>
  </si>
  <si>
    <t>33-2464</t>
  </si>
  <si>
    <t>MA3148</t>
  </si>
  <si>
    <t>A26169</t>
  </si>
  <si>
    <t>SA11049</t>
  </si>
  <si>
    <t>AF6169</t>
  </si>
  <si>
    <t>PA4487</t>
  </si>
  <si>
    <t>CA11251</t>
  </si>
  <si>
    <t>33-2497</t>
  </si>
  <si>
    <t>A46279</t>
  </si>
  <si>
    <t>SA11251</t>
  </si>
  <si>
    <t>AF6279</t>
  </si>
  <si>
    <t>WA10253</t>
  </si>
  <si>
    <t>SA5198</t>
  </si>
  <si>
    <t>G10215</t>
  </si>
  <si>
    <t>PA4433</t>
  </si>
  <si>
    <t>CA10888</t>
  </si>
  <si>
    <t>AF27882</t>
  </si>
  <si>
    <t>33-5010</t>
  </si>
  <si>
    <t>MA6902</t>
  </si>
  <si>
    <t>A36109</t>
  </si>
  <si>
    <t>SA10888</t>
  </si>
  <si>
    <t>AF6109</t>
  </si>
  <si>
    <t>CA11422</t>
  </si>
  <si>
    <t>33-2465</t>
  </si>
  <si>
    <t>SA11422</t>
  </si>
  <si>
    <t>SA11494</t>
  </si>
  <si>
    <t>CA10656</t>
  </si>
  <si>
    <t>33-2427</t>
  </si>
  <si>
    <t>MA4052</t>
  </si>
  <si>
    <t>A36055</t>
  </si>
  <si>
    <t>SA10656</t>
  </si>
  <si>
    <t>AF6055</t>
  </si>
  <si>
    <t>CA10798</t>
  </si>
  <si>
    <t>33-2958</t>
  </si>
  <si>
    <t>A36104</t>
  </si>
  <si>
    <t>SA10798</t>
  </si>
  <si>
    <t>AF6104</t>
  </si>
  <si>
    <t>SA11054</t>
  </si>
  <si>
    <t>PA10033</t>
  </si>
  <si>
    <t>CA11958</t>
  </si>
  <si>
    <t>33-5029</t>
  </si>
  <si>
    <t>SA11958</t>
  </si>
  <si>
    <t>AF8156</t>
  </si>
  <si>
    <t>WA10315</t>
  </si>
  <si>
    <t>83390</t>
  </si>
  <si>
    <t>9390</t>
  </si>
  <si>
    <t>SA11041</t>
  </si>
  <si>
    <t>CA11949</t>
  </si>
  <si>
    <t>33-5027</t>
  </si>
  <si>
    <t>200212</t>
  </si>
  <si>
    <t>A28194</t>
  </si>
  <si>
    <t>VA-432</t>
  </si>
  <si>
    <t>PA4414</t>
  </si>
  <si>
    <t>CA10693</t>
  </si>
  <si>
    <t>AF1398</t>
  </si>
  <si>
    <t>33-2386</t>
  </si>
  <si>
    <t>A16318</t>
  </si>
  <si>
    <t>AF6318</t>
  </si>
  <si>
    <t>SA10693</t>
  </si>
  <si>
    <t>VA-316</t>
  </si>
  <si>
    <t>PA4476</t>
  </si>
  <si>
    <t>CA11116</t>
  </si>
  <si>
    <t>AF1495</t>
  </si>
  <si>
    <t>33-2448</t>
  </si>
  <si>
    <t>LX2957</t>
  </si>
  <si>
    <t>C28010</t>
  </si>
  <si>
    <t>A36124</t>
  </si>
  <si>
    <t>SA10881</t>
  </si>
  <si>
    <t>AF6124</t>
  </si>
  <si>
    <t>VA-265</t>
  </si>
  <si>
    <t>CA11042</t>
  </si>
  <si>
    <t>AF1464</t>
  </si>
  <si>
    <t>A26153</t>
  </si>
  <si>
    <t>SA11042</t>
  </si>
  <si>
    <t>AF6153</t>
  </si>
  <si>
    <t>VA-291</t>
  </si>
  <si>
    <t>PA4481</t>
  </si>
  <si>
    <t>AF1596</t>
  </si>
  <si>
    <t>33-2493</t>
  </si>
  <si>
    <t>C30017</t>
  </si>
  <si>
    <t>A36320</t>
  </si>
  <si>
    <t>SA11500</t>
  </si>
  <si>
    <t>AF6320</t>
  </si>
  <si>
    <t>VA-311</t>
  </si>
  <si>
    <t>CA10889</t>
  </si>
  <si>
    <t>AF1450</t>
  </si>
  <si>
    <t>33-2451</t>
  </si>
  <si>
    <t>C26008</t>
  </si>
  <si>
    <t>A26118</t>
  </si>
  <si>
    <t>SA10889</t>
  </si>
  <si>
    <t>AF6118</t>
  </si>
  <si>
    <t>VA-283</t>
  </si>
  <si>
    <t>SA11712</t>
  </si>
  <si>
    <t>VA-419</t>
  </si>
  <si>
    <t>VA-390</t>
  </si>
  <si>
    <t>SA11010</t>
  </si>
  <si>
    <t>CA10699</t>
  </si>
  <si>
    <t>AF1438</t>
  </si>
  <si>
    <t>33-2960</t>
  </si>
  <si>
    <t>LX2739</t>
  </si>
  <si>
    <t>MA1258</t>
  </si>
  <si>
    <t>A16094</t>
  </si>
  <si>
    <t>SA10699</t>
  </si>
  <si>
    <t>AF6094</t>
  </si>
  <si>
    <t>VA-268</t>
  </si>
  <si>
    <t>E1015L</t>
  </si>
  <si>
    <t>C3210</t>
  </si>
  <si>
    <t>A28217</t>
  </si>
  <si>
    <t>SA11453</t>
  </si>
  <si>
    <t>VA-435</t>
  </si>
  <si>
    <t>CA9513</t>
  </si>
  <si>
    <t>33-2273</t>
  </si>
  <si>
    <t>LX1649</t>
  </si>
  <si>
    <t>C30115</t>
  </si>
  <si>
    <t>A25546</t>
  </si>
  <si>
    <t>SA9513</t>
  </si>
  <si>
    <t>AF4866</t>
  </si>
  <si>
    <t>CA10720</t>
  </si>
  <si>
    <t>AF1445</t>
  </si>
  <si>
    <t>33-2433</t>
  </si>
  <si>
    <t>LX2889</t>
  </si>
  <si>
    <t>A26100</t>
  </si>
  <si>
    <t>SA10720</t>
  </si>
  <si>
    <t>AF6100</t>
  </si>
  <si>
    <t>VA-366</t>
  </si>
  <si>
    <t>CA11399</t>
  </si>
  <si>
    <t>33-5006</t>
  </si>
  <si>
    <t>A28170</t>
  </si>
  <si>
    <t>SA11399</t>
  </si>
  <si>
    <t>WA10124</t>
  </si>
  <si>
    <t>33-2924</t>
  </si>
  <si>
    <t>VA-319</t>
  </si>
  <si>
    <t>AF1505</t>
  </si>
  <si>
    <t>SA11256</t>
  </si>
  <si>
    <t>OF8167</t>
  </si>
  <si>
    <t>VO-170</t>
  </si>
  <si>
    <t>CH11217</t>
  </si>
  <si>
    <t>OX404d ECO</t>
  </si>
  <si>
    <t>HU6004x</t>
  </si>
  <si>
    <t>WP1025</t>
  </si>
  <si>
    <t>WL10025</t>
  </si>
  <si>
    <t>CH12056</t>
  </si>
  <si>
    <t>33-5015</t>
  </si>
  <si>
    <t>WA10084</t>
  </si>
  <si>
    <t>CA11941</t>
  </si>
  <si>
    <t>A93214</t>
  </si>
  <si>
    <t>SA11941</t>
  </si>
  <si>
    <t>WA10301</t>
  </si>
  <si>
    <t>CAF1944</t>
  </si>
  <si>
    <t>WP10155</t>
  </si>
  <si>
    <t>C38196C</t>
  </si>
  <si>
    <t>WCAF1945</t>
  </si>
  <si>
    <t>WP10159</t>
  </si>
  <si>
    <t>WCAF1950</t>
  </si>
  <si>
    <t>CA11945</t>
  </si>
  <si>
    <t>33-5031</t>
  </si>
  <si>
    <t>A38197</t>
  </si>
  <si>
    <t>AF8197</t>
  </si>
  <si>
    <t>VA-431</t>
  </si>
  <si>
    <t>WA10269</t>
  </si>
  <si>
    <t>GF381</t>
  </si>
  <si>
    <t>H224WK</t>
  </si>
  <si>
    <t>KL571</t>
  </si>
  <si>
    <t>WK720/4</t>
  </si>
  <si>
    <t>PA10000</t>
  </si>
  <si>
    <t>CA10910</t>
  </si>
  <si>
    <t>AF1645</t>
  </si>
  <si>
    <t>C25654</t>
  </si>
  <si>
    <t>WAF5231</t>
  </si>
  <si>
    <t>WA10058</t>
  </si>
  <si>
    <t>CA11946</t>
  </si>
  <si>
    <t>33-5024</t>
  </si>
  <si>
    <t>A48225</t>
  </si>
  <si>
    <t>SA11946</t>
  </si>
  <si>
    <t>AF8225</t>
  </si>
  <si>
    <t>WA10316</t>
  </si>
  <si>
    <t>AF1519</t>
  </si>
  <si>
    <t>VA-299</t>
  </si>
  <si>
    <t>AF1640</t>
  </si>
  <si>
    <t>AF1523</t>
  </si>
  <si>
    <t>VA-287</t>
  </si>
  <si>
    <t>AF1563</t>
  </si>
  <si>
    <t>SA11426</t>
  </si>
  <si>
    <t>WAF5216</t>
  </si>
  <si>
    <t>VA-344</t>
  </si>
  <si>
    <t>P3875</t>
  </si>
  <si>
    <t>AF1272</t>
  </si>
  <si>
    <t>LA435</t>
  </si>
  <si>
    <t>MC1008</t>
  </si>
  <si>
    <t>VCA-1063</t>
  </si>
  <si>
    <t>P3502</t>
  </si>
  <si>
    <t>AFC1352</t>
  </si>
  <si>
    <t>E2954LI</t>
  </si>
  <si>
    <t>LA395</t>
  </si>
  <si>
    <t>MC1059</t>
  </si>
  <si>
    <t>VCA-1031</t>
  </si>
  <si>
    <t>90207P</t>
  </si>
  <si>
    <t>AFC1447</t>
  </si>
  <si>
    <t>MC1050</t>
  </si>
  <si>
    <t>VCA-1051</t>
  </si>
  <si>
    <t>90256P</t>
  </si>
  <si>
    <t>E2962LI</t>
  </si>
  <si>
    <t>LA472</t>
  </si>
  <si>
    <t>CU2442</t>
  </si>
  <si>
    <t>VCA-1078</t>
  </si>
  <si>
    <t>AFC1458</t>
  </si>
  <si>
    <t>LA531</t>
  </si>
  <si>
    <t>VCA-1115</t>
  </si>
  <si>
    <t>AFC1521</t>
  </si>
  <si>
    <t>VCA-1094</t>
  </si>
  <si>
    <t>AFC1477</t>
  </si>
  <si>
    <t>VCA-1071</t>
  </si>
  <si>
    <t>AFC1533</t>
  </si>
  <si>
    <t>E2964LI</t>
  </si>
  <si>
    <t>CU2436</t>
  </si>
  <si>
    <t>VCA-1177</t>
  </si>
  <si>
    <t>CU21009</t>
  </si>
  <si>
    <t>VCA-1179</t>
  </si>
  <si>
    <t>VCA-1178</t>
  </si>
  <si>
    <t>LF661</t>
  </si>
  <si>
    <t>OX774D</t>
  </si>
  <si>
    <t>HU8008z</t>
  </si>
  <si>
    <t>VO-141</t>
  </si>
  <si>
    <t>E359HD06</t>
  </si>
  <si>
    <t>OX353/7D</t>
  </si>
  <si>
    <t>HU8007z</t>
  </si>
  <si>
    <t>VO-131</t>
  </si>
  <si>
    <t>OX388D ECO</t>
  </si>
  <si>
    <t>VO-132</t>
  </si>
  <si>
    <t>HU7008z</t>
  </si>
  <si>
    <t>OX183/2D ECO</t>
  </si>
  <si>
    <t>HU514y</t>
  </si>
  <si>
    <t>VO-151</t>
  </si>
  <si>
    <t>OX983D ECO</t>
  </si>
  <si>
    <t>HU8009z</t>
  </si>
  <si>
    <t>VO-133</t>
  </si>
  <si>
    <t>AF1527</t>
  </si>
  <si>
    <t>E1025L</t>
  </si>
  <si>
    <t>MA1219</t>
  </si>
  <si>
    <t>VA-296</t>
  </si>
  <si>
    <t>C19003</t>
  </si>
  <si>
    <t>VA-327</t>
  </si>
  <si>
    <t>AF1627</t>
  </si>
  <si>
    <t>VA-308</t>
  </si>
  <si>
    <t>VA-286</t>
  </si>
  <si>
    <t>GF831</t>
  </si>
  <si>
    <t>P621023</t>
  </si>
  <si>
    <t>AF1437</t>
  </si>
  <si>
    <t>FA1902</t>
  </si>
  <si>
    <t>VA-266</t>
  </si>
  <si>
    <t>AF1614</t>
  </si>
  <si>
    <t>LX1991</t>
  </si>
  <si>
    <t>C30013</t>
  </si>
  <si>
    <t>VA-423</t>
  </si>
  <si>
    <t>AF1576</t>
  </si>
  <si>
    <t>AF1459</t>
  </si>
  <si>
    <t>LX3002</t>
  </si>
  <si>
    <t>VA-383</t>
  </si>
  <si>
    <t>VA-378</t>
  </si>
  <si>
    <t>AF1537</t>
  </si>
  <si>
    <t>AF1679</t>
  </si>
  <si>
    <t>VA-430</t>
  </si>
  <si>
    <t>68082570AA</t>
  </si>
  <si>
    <t xml:space="preserve">Fiat 500 Turbo (2012-16) </t>
  </si>
  <si>
    <t xml:space="preserve">Chrysler 200 (2011-16), Dodge Avenger, Journey  (2011-15) </t>
  </si>
  <si>
    <t>17801-21060</t>
  </si>
  <si>
    <t>Toyota Prius C (2011-16)</t>
  </si>
  <si>
    <t xml:space="preserve">GM full size vans (2016-17) </t>
  </si>
  <si>
    <t>80292-SEC-A01</t>
  </si>
  <si>
    <t xml:space="preserve">Acura (2004-15); Honda (2003-14) </t>
  </si>
  <si>
    <t>87139-07010</t>
  </si>
  <si>
    <t xml:space="preserve">Toyota Avalon (2005-14), Camry, Tundra (2007-14), RAV4 (2006-12), Lexus (2006-14) </t>
  </si>
  <si>
    <t>97133-2H000</t>
  </si>
  <si>
    <t xml:space="preserve">Hyundai Accent (2008-11), Elantra (2007-14); Kia Forte (2014) </t>
  </si>
  <si>
    <t xml:space="preserve">Buick, Cadillac, Chevrolet (2010-2017)  </t>
  </si>
  <si>
    <t xml:space="preserve">Kia Soul (2010-13) </t>
  </si>
  <si>
    <t>BBM4-61-J6X</t>
  </si>
  <si>
    <t>Mazda 3 (2010-13)</t>
  </si>
  <si>
    <t>97133-1U000</t>
  </si>
  <si>
    <t xml:space="preserve">Hyundai Santa Fe (2010-14), Kia Sorento (2011-15) </t>
  </si>
  <si>
    <t xml:space="preserve">Ford Fiesta (2011-14) </t>
  </si>
  <si>
    <t>97133-2B000</t>
  </si>
  <si>
    <t>Kia Soul  (2014-17)</t>
  </si>
  <si>
    <t>27277-4BU0A</t>
  </si>
  <si>
    <t>8W93-6A692-A</t>
  </si>
  <si>
    <t>C2D3670</t>
  </si>
  <si>
    <t>Jaguar F-Type (2014), XF, XJ V8 5.0L (2010-14); Land Rover Range Rover (2011-14)</t>
  </si>
  <si>
    <t>BMW X6 (2008-14), 550i (2010-14), 750i, 750Li (2009-14), 760Li (2010-14), Alpina B7, X5 (2011-14)</t>
  </si>
  <si>
    <t>03L-115-466</t>
  </si>
  <si>
    <t>Volkswagen 2.0L Diesel Passat (2012-14)</t>
  </si>
  <si>
    <t xml:space="preserve">Mercedes C250 1.8L Turbo (2012-14) </t>
  </si>
  <si>
    <t xml:space="preserve">Volkswagen CC (2013-14), Touareg (2011-14), Volkswagen Passat (2012-14) </t>
  </si>
  <si>
    <t>A3139C</t>
  </si>
  <si>
    <t xml:space="preserve">Cadillac SRX (2010-14), Chevrolet Cruze (2011-14) </t>
  </si>
  <si>
    <t xml:space="preserve">Cadillac ELR (2014); Chevrolet Volt (2011-14) </t>
  </si>
  <si>
    <t>Chevrolet Malibu 2.5L (2013-14)</t>
  </si>
  <si>
    <t xml:space="preserve">Chrysler Town &amp; Country, Dodge Grand Caravan (2011-14), Ram Cargo Van (2012-14) </t>
  </si>
  <si>
    <t>4F0-201-511C</t>
  </si>
  <si>
    <t xml:space="preserve">Audi A6, A8, R8, and RS4 (2006-15)  </t>
  </si>
  <si>
    <t>BC3Z-9601-A</t>
  </si>
  <si>
    <t xml:space="preserve">Ford Pickup Super Duty (2011-15) </t>
  </si>
  <si>
    <t>BMW X3 3.0L (2011-16)</t>
  </si>
  <si>
    <t xml:space="preserve">Cadillac ATS, CTS (2013-16) </t>
  </si>
  <si>
    <t>20857930</t>
  </si>
  <si>
    <t>28113-3M000</t>
  </si>
  <si>
    <t xml:space="preserve">Hyundai Genesis V6 3.8L (2009-11) </t>
  </si>
  <si>
    <t>28113-2M010</t>
  </si>
  <si>
    <t xml:space="preserve">Hyundai Genesis Coupe (2010-12) </t>
  </si>
  <si>
    <t>04E-129-620</t>
  </si>
  <si>
    <t xml:space="preserve">Volkswagen Jetta 4 cyl. 1.4L (2013-17)  </t>
  </si>
  <si>
    <t xml:space="preserve">Cadillac CTS (2009-15) </t>
  </si>
  <si>
    <t>FORD</t>
  </si>
  <si>
    <t xml:space="preserve">Honda CR-Z (2011-14) </t>
  </si>
  <si>
    <t>AF36124</t>
  </si>
  <si>
    <t>A43143</t>
  </si>
  <si>
    <t>VA-443</t>
  </si>
  <si>
    <t>PA4430</t>
  </si>
  <si>
    <t>CA10834</t>
  </si>
  <si>
    <t>AF1423</t>
  </si>
  <si>
    <t>33-2436</t>
  </si>
  <si>
    <t>MA6900</t>
  </si>
  <si>
    <t>FA1900</t>
  </si>
  <si>
    <t>A36120</t>
  </si>
  <si>
    <t>SA10834</t>
  </si>
  <si>
    <t>AF6120</t>
  </si>
  <si>
    <t>VA-267</t>
  </si>
  <si>
    <t>CA10690</t>
  </si>
  <si>
    <t>AF1598</t>
  </si>
  <si>
    <t>33-2434</t>
  </si>
  <si>
    <t>MA1248</t>
  </si>
  <si>
    <t>MA3173</t>
  </si>
  <si>
    <t>SA10690</t>
  </si>
  <si>
    <t>AF6102</t>
  </si>
  <si>
    <t>VA-280</t>
  </si>
  <si>
    <t>AF1479</t>
  </si>
  <si>
    <t>LX1780/3</t>
  </si>
  <si>
    <t>SA11114</t>
  </si>
  <si>
    <t>VA-288</t>
  </si>
  <si>
    <t>FL2062</t>
  </si>
  <si>
    <t>VO-115</t>
  </si>
  <si>
    <t>WL10050</t>
  </si>
  <si>
    <t>Mini Cooper (2007-14)</t>
  </si>
  <si>
    <t>28113-2P100</t>
  </si>
  <si>
    <t>Hyundai Santa Fe (2010-14), Sonata (2011-14) Kia Sorento (2011-13), Optima (2011-14)</t>
  </si>
  <si>
    <t>13717582908</t>
  </si>
  <si>
    <t>9T1Z-9601-A</t>
  </si>
  <si>
    <t xml:space="preserve">Ford Transit Connect (2010-13) </t>
  </si>
  <si>
    <t>Chevrolet Camaro (2010-14) ()</t>
  </si>
  <si>
    <t>AV61-9601-AD</t>
  </si>
  <si>
    <t>CV6Z-9601-A</t>
  </si>
  <si>
    <t>Honda Civic 4cyl. 1.8L (2012-14)</t>
  </si>
  <si>
    <t xml:space="preserve">Honda CRV (2012-14) </t>
  </si>
  <si>
    <t>17220-RV0-A00</t>
  </si>
  <si>
    <t xml:space="preserve">Honda Odyssey (2011-14) </t>
  </si>
  <si>
    <t xml:space="preserve">Hyundai Santa Fe Sport (2013-14) </t>
  </si>
  <si>
    <t>28113-2S000</t>
  </si>
  <si>
    <t xml:space="preserve">Hyundai Tucson (2010-14), Kia Sportage (2011-14) </t>
  </si>
  <si>
    <t>Acura MDX (2010-13) , ZDX (2010-13)</t>
  </si>
  <si>
    <t>KIA</t>
  </si>
  <si>
    <t>28113-2K000</t>
  </si>
  <si>
    <t xml:space="preserve">Kia Soul (2010-11) </t>
  </si>
  <si>
    <t xml:space="preserve">Mercedes C250 (2012-15)  </t>
  </si>
  <si>
    <t>AJ82766</t>
  </si>
  <si>
    <t xml:space="preserve">Jaguar Vanden Plas, XJ8, X8L, XJR (2004-09), S-Type (2003-08), XF (2009-14), XFR, XK, XKR (2010-14), XJ (2011-14) </t>
  </si>
  <si>
    <t>17220-RBJ-000</t>
  </si>
  <si>
    <t>Honda Insight (2010-14)</t>
  </si>
  <si>
    <t>17220-5K0-A00</t>
  </si>
  <si>
    <t xml:space="preserve">Honda Accord Hybrid (2014-17) </t>
  </si>
  <si>
    <t xml:space="preserve">Mazda 2 1.5L (2011-14) </t>
  </si>
  <si>
    <t xml:space="preserve">Honda Civic (Hybrid) (2012-14) </t>
  </si>
  <si>
    <t>CHRYSLER</t>
  </si>
  <si>
    <t>BMW 328d and 528d (2014-16)</t>
  </si>
  <si>
    <t xml:space="preserve">Audi A6 V6 3.0L (2016-17) </t>
  </si>
  <si>
    <t>06E-115-562B</t>
  </si>
  <si>
    <t>Fiat 500L (2014-17) ()</t>
  </si>
  <si>
    <t>68202151AA</t>
  </si>
  <si>
    <t>28113-C1500</t>
  </si>
  <si>
    <t>Hyundai Sonata 1.6L and 2.0L (2015-17)  Turbo has locking lever</t>
  </si>
  <si>
    <t>2CH79-AP000</t>
  </si>
  <si>
    <t xml:space="preserve">Hyundai Sonata (2015-17) </t>
  </si>
  <si>
    <t>5Q0-819-653</t>
  </si>
  <si>
    <t>87139-28020</t>
  </si>
  <si>
    <t xml:space="preserve">Toyota Prius (2016-17) </t>
  </si>
  <si>
    <t>17220-5LA-A00</t>
  </si>
  <si>
    <t xml:space="preserve">Honda CRV (2015-16) </t>
  </si>
  <si>
    <t>MR1500A513</t>
  </si>
  <si>
    <t xml:space="preserve">Mitsubishi Outlander,Lancer (2014-17)  </t>
  </si>
  <si>
    <t>CK4Z-9601A</t>
  </si>
  <si>
    <t>Ford Transit Van (2015-17)</t>
  </si>
  <si>
    <t>VA-307</t>
  </si>
  <si>
    <t>2017 DISTRIBUTOR PRICE UPDATE</t>
  </si>
  <si>
    <t xml:space="preserve">AF7963 </t>
  </si>
  <si>
    <t>Cadillac Catera (1997-01) (GM 90512851)</t>
  </si>
  <si>
    <t>Renault 7701204497; Renault Expressa with  F8Q 1.9l Diesel eng.</t>
  </si>
  <si>
    <t>Flexible Panel Air Filter</t>
  </si>
  <si>
    <t>AF296</t>
  </si>
  <si>
    <t>Audi (1979-92), Volkswagen (1979-92) (Volkswagen 069-129-620)</t>
  </si>
  <si>
    <t>Massey-Ferguson 1886638-M91; Perkins 26510233  (For Pri. air use LAF8626)</t>
  </si>
  <si>
    <t>2011-12 Infiniti M37, 2015 Infiniti Q70</t>
  </si>
  <si>
    <t>2013 Scion IQ</t>
  </si>
  <si>
    <t>2011-14 Audi A8; 2012-14 Audi A6, A7 TWO PER APPLICATION</t>
  </si>
  <si>
    <t>2010-12 Suzuki Kizashi</t>
  </si>
  <si>
    <t>2002-05 Land Rover Freelander</t>
  </si>
  <si>
    <t>2007-12 Mercedes SLK55</t>
  </si>
  <si>
    <t>Chevrolet Express Van, GMC Savana Van  V8 6.6L Diesel (2009-13)</t>
  </si>
  <si>
    <t>Infiniti QX56 (2011-13) (Nissan 16546-1LA04)</t>
  </si>
  <si>
    <t>Base for F/W Separator-1/2-NPT (Mounting base for LFP944F, LFF8010 and  LFP815FN)</t>
  </si>
  <si>
    <t xml:space="preserve">Jeep Wrangler (2012-15) </t>
  </si>
  <si>
    <t>BMW M3 (2008-11)</t>
  </si>
  <si>
    <t>Mercedes-Benz GL Series, R Series, ML Series  (2006-13)  Dust and Odor</t>
  </si>
  <si>
    <t>Honda S2000 (2000-09)</t>
  </si>
  <si>
    <t xml:space="preserve">Chrysler 300 (2011-14), Dodge Charger,  Challenger (2011-14) </t>
  </si>
  <si>
    <t>Saab 95 Series (1999-09)</t>
  </si>
  <si>
    <t>Caterpillar late model backhoes, Caterpillar 3619555;236B3, 242B3, 252B3,  and 257B3 skid steer loader</t>
  </si>
  <si>
    <t>Iveco Euro Tech Truck with Cursor engine</t>
  </si>
  <si>
    <t>2013-14 Chevrolet Spark</t>
  </si>
  <si>
    <t>2007-11 Mercedes SLK w/5.5L V8</t>
  </si>
  <si>
    <t xml:space="preserve"> BMW M3 V8 4.0L (2010-13) </t>
  </si>
  <si>
    <t>Volkswagen Tourage Diesel (2013-14)</t>
  </si>
  <si>
    <t xml:space="preserve">Mercedes CLK63 AMG, CLS63 AMG, SL63 (2007-13) </t>
  </si>
  <si>
    <t xml:space="preserve">2008-14 Lexus GS Series </t>
  </si>
  <si>
    <t xml:space="preserve">Land Rover Evoque (2012-15) </t>
  </si>
  <si>
    <t xml:space="preserve">Nissan Altima 2.5L (2013-14) </t>
  </si>
  <si>
    <t xml:space="preserve">Land Rover LR4, Range Rover  (2010-2012) </t>
  </si>
  <si>
    <t>Mercedes C63,CLK63 AMG, CLS63 AMG (2007-12)</t>
  </si>
  <si>
    <t>2013-14 Buick Encore</t>
  </si>
  <si>
    <t xml:space="preserve">2013-14 Hyundai Genesis Coupe 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</si>
  <si>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</si>
  <si>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</si>
  <si>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John Deere Applications; Volvo EC290B, EC160B Excavators</t>
  </si>
  <si>
    <t>Cadillac CTS (2009-12)</t>
  </si>
  <si>
    <t>BMW X5 Diesel (2009-13)</t>
  </si>
  <si>
    <t>Kia Sportage 2.0L turbo (2011-14)</t>
  </si>
  <si>
    <t>Mercedes C250 (2012-14)</t>
  </si>
  <si>
    <t xml:space="preserve">BMW 135i, 335i, 335i XDrive, X5 (2011-15) </t>
  </si>
  <si>
    <t xml:space="preserve">Parker </t>
  </si>
  <si>
    <t>J.C.B 801.4, 801.5, 801.6  MP Filtri   Excavators</t>
  </si>
  <si>
    <t>Internormen</t>
  </si>
  <si>
    <t>Mitsubishi QC000001; 2012-on Mitsubishi Fuso  Canter 3.0L 4P10 eng.</t>
  </si>
  <si>
    <t xml:space="preserve">Ford Products (1991-15), Mazda (2000-09),  Chrysler, Dodge V6 &amp; V8 (2008-14)  </t>
  </si>
  <si>
    <t xml:space="preserve">Chrysler Products (2002-09), Ford Products  (1971-09), Jaguar X Type (2000-08), Mazda 6  (2009-13), CX9 (2007-14)  </t>
  </si>
  <si>
    <t>Generac Generator Sets w/GT990 eng</t>
  </si>
  <si>
    <t>Paccar Applications: 2010- Peterbilt 386 388 365 TRUCKS</t>
  </si>
  <si>
    <t xml:space="preserve">Chevrolet Sonic (2012-2014) </t>
  </si>
  <si>
    <t>Volvo Applications: Fits Volvo I Shift trans used on Volvo and Mack trucks</t>
  </si>
  <si>
    <t>Komatsu WA400-5, WA400-5L,  WA400-5WH Loaders</t>
  </si>
  <si>
    <t>Detroit Diesel Kit; Contains: 1-LP5090, 1-L5091F,  1- LW4076XL</t>
  </si>
  <si>
    <t>2013-14 Dodge Dart</t>
  </si>
  <si>
    <t xml:space="preserve">2013-2014 Ford Escape 2.5 L </t>
  </si>
  <si>
    <t>John Deere Applications: John Deere 8000 series tractors and 9760,9660 combines"</t>
  </si>
  <si>
    <t>John Deere Application: John Deere 6120, 6215, 6415 Tractors.</t>
  </si>
  <si>
    <t>2012- Freightliner 114SD  truck  FLAME RETARDANT VERSION OF LAF3233</t>
  </si>
  <si>
    <t xml:space="preserve">JOHN DEERE Applications: John Deere 7220 7320 7420 7530 tractors.  </t>
  </si>
  <si>
    <t xml:space="preserve">John Deere Applications: John Deere 318D 319D 320D and 5045/5055 tractors. </t>
  </si>
  <si>
    <t>Ford F650 &amp; 750 Trucks  2004 -</t>
  </si>
  <si>
    <t>John Deere Applications: John Deere 7720,7820,7920,7630,7730,7830,7930 tractors"</t>
  </si>
  <si>
    <t>Hitachi &amp; Komatsu Equipment</t>
  </si>
  <si>
    <t xml:space="preserve">Mercruiser 4 and 6 cyl outboard marine engines; 2006 and newer Verado 135-200 4 stroke engine. </t>
  </si>
  <si>
    <t>Kalmar; Terex, New Holland LM5040,  LM5060, LM5080 Telehandlers</t>
  </si>
  <si>
    <t xml:space="preserve"> Liebherr excavators and John Deere 950J and 1050J dozers</t>
  </si>
  <si>
    <t>Komatsu Equipment</t>
  </si>
  <si>
    <t>Volvo L60E, L70E, L90E, L110E,  L120E Wheel Loaders (Cab air)</t>
  </si>
  <si>
    <t>Thermo-King, Tier 4 SB130 &amp; SB230 Refrigeration Units</t>
  </si>
  <si>
    <t>Carrier 1800, 2100, 2500 Regrigeration Units</t>
  </si>
  <si>
    <t>Caterpillar C1.1 eng.</t>
  </si>
  <si>
    <t>Caterpillar 414E and 416E backhoes</t>
  </si>
  <si>
    <t>Cummins ISX 11.9, 15L and 16L engines</t>
  </si>
  <si>
    <t>Mercedes 2013-14 DD13 engines</t>
  </si>
  <si>
    <t xml:space="preserve">John Deere 7220, 7320, 7420 7520 Tractors </t>
  </si>
  <si>
    <t xml:space="preserve">MP Filtri  </t>
  </si>
  <si>
    <t xml:space="preserve">Mitsubishi FE, FG Series  Mitsubishi ME017233; Mitsubishi FE140 Trucks  Trucks  </t>
  </si>
  <si>
    <t xml:space="preserve">Komatsu Dozers,Excavators, and Dump trucks.  Scania R  Series trucks.  </t>
  </si>
  <si>
    <t>Kubota ZD326 and ZD331 mowers. Inner used with LAF5771</t>
  </si>
  <si>
    <t>John Deere 9660STS Combine  (For Sec. air use LAF8879) (Radial Seal)</t>
  </si>
  <si>
    <t>International Cart. P/S on  International 3000 School Bus (2006-)</t>
  </si>
  <si>
    <t>Schroeder Applications; Bomag &amp; Schroeder Eqpt-Hydraulic cartridge.</t>
  </si>
  <si>
    <t>Caterpillar TK371, TK381  Logging Equipment  (High eff. version of LFH8417)</t>
  </si>
  <si>
    <t>Volvo contstuction equipment</t>
  </si>
  <si>
    <t>Case International Applications: Maxxum and Puma series tractors</t>
  </si>
  <si>
    <t>John Deere 9330, 9430, 9530, 9630 Tractors  with PowerTech 13.5L engine (2007-)</t>
  </si>
  <si>
    <t>Cummins ISX engine (2010-)</t>
  </si>
  <si>
    <t>MTU X00042421;  MTU 8V2000M92/M93,  41V5111M92,M93 (2004-), 10V2000M72 (2005-)  20V4000 engines with common rail injection systems</t>
  </si>
  <si>
    <t>International Prostar+ with Maxforce 11/13 engine (30 micron filter)</t>
  </si>
  <si>
    <t xml:space="preserve">Murphy Diesel; Caterpillar; Onan Generators. </t>
  </si>
  <si>
    <t>GMC C6500-C8500 Trucks  w/Caterpillar C7 eng. (2007-09)</t>
  </si>
  <si>
    <t xml:space="preserve">International Durastar  Trucks (2012)  </t>
  </si>
  <si>
    <t xml:space="preserve">Western Star 4700 Series </t>
  </si>
  <si>
    <t>O-ring used in LP7485 By-Pass Oil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</si>
  <si>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</si>
  <si>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 xml:space="preserve">Consists of: 1-LFP3970, 1-LFF5632, 1-LFP1065, 1-LFP1652 </t>
  </si>
  <si>
    <t>Peterbilt Trucks with ISX engine</t>
  </si>
  <si>
    <t xml:space="preserve">Davco </t>
  </si>
  <si>
    <t xml:space="preserve"> 7 micron element for Davco 232  units</t>
  </si>
  <si>
    <t>Kensworth W900, W900L Trucks</t>
  </si>
  <si>
    <t>Kenworth T680 Truck  Peterbilt 579 Trucks</t>
  </si>
  <si>
    <t>Kenworth T800 and Peterbilt 388 trucks</t>
  </si>
  <si>
    <t>Parker 932630Q,Pall HC2256FKS10Z  Glass media and viton gasket</t>
  </si>
  <si>
    <t xml:space="preserve">Consists of: 1-LFP3191, 1-LFF4783, 1-LFP1652 </t>
  </si>
  <si>
    <t>Viton O-ring for LP2017 Filter</t>
  </si>
  <si>
    <t>Synthetic media version of LP7498. Replaces LP7498</t>
  </si>
  <si>
    <t xml:space="preserve">Consists of: 1-LFF9732, 1-LFF5421, 1-LFP6015, 1-LFP1652 </t>
  </si>
  <si>
    <t>Consists of: 1-L1261F, 1-LFP3970, 1-LFP1652</t>
  </si>
  <si>
    <t>Consists of: 1-LFF9616, 1-LFP780XL, 1-LFP1652</t>
  </si>
  <si>
    <t>John Deere 6120 Tractor</t>
  </si>
  <si>
    <t>International 4300 Durastar Truck (2011) with Maxxforce 7 eng.</t>
  </si>
  <si>
    <t xml:space="preserve">Suzuki Kizashi (2010-11) </t>
  </si>
  <si>
    <t>Chevrolet Camaro (2010-14)</t>
  </si>
  <si>
    <t xml:space="preserve">Honda Passport (1996-97), Isuzu Rodeo (1996-97) </t>
  </si>
  <si>
    <t xml:space="preserve">Fiat 500 Non Turbo (2012-14) </t>
  </si>
  <si>
    <t>Fairey Arlon; John Deere 350D, 400D Dump Trucks</t>
  </si>
  <si>
    <t>2012-14 Audi Q3, Volkswagen Passat Diesel</t>
  </si>
  <si>
    <t>2011-14 BMW 5 Series, 7 Series, M5, M6</t>
  </si>
  <si>
    <t>LK374T</t>
  </si>
  <si>
    <t>LAF9300</t>
  </si>
  <si>
    <t>LAF6453MXM</t>
  </si>
  <si>
    <t>Radial Seal Air Element with Lid</t>
  </si>
  <si>
    <t>Nano Tech Air Filter w/Attached boot</t>
  </si>
  <si>
    <t>Case</t>
  </si>
  <si>
    <t>Case 1221E Wheel Loaders  Extended/Severe service version of LAF6453</t>
  </si>
  <si>
    <t xml:space="preserve">Thermo-King </t>
  </si>
  <si>
    <t>11-9300</t>
  </si>
  <si>
    <t>Thermo King Refrigeration Units</t>
  </si>
  <si>
    <t xml:space="preserve"> Thermo King APUs. Consists of:  1 - LAF8388, 1 - PH2808,     1 - LFF9342SC  </t>
  </si>
  <si>
    <t>038568744869</t>
  </si>
  <si>
    <t>10038568744866</t>
  </si>
  <si>
    <t>No Unit Box Used</t>
  </si>
  <si>
    <t>RS5387  KIT</t>
  </si>
  <si>
    <t>P953446</t>
  </si>
  <si>
    <t>AF25119</t>
  </si>
  <si>
    <t>AF2454</t>
  </si>
  <si>
    <t>WA10060</t>
  </si>
  <si>
    <t>A652CF</t>
  </si>
  <si>
    <t>PA2456</t>
  </si>
  <si>
    <t>3I0802</t>
  </si>
  <si>
    <t>Clark</t>
  </si>
  <si>
    <t>11L601870</t>
  </si>
  <si>
    <t>CA3273</t>
  </si>
  <si>
    <t>DBA5049</t>
  </si>
  <si>
    <t>AF891M</t>
  </si>
  <si>
    <t>2546NP</t>
  </si>
  <si>
    <t>42546NP</t>
  </si>
  <si>
    <t>038568745057</t>
  </si>
  <si>
    <t>10038568745054</t>
  </si>
  <si>
    <t>BULK PKG W/ PARTITION</t>
  </si>
  <si>
    <t>038568704054</t>
  </si>
  <si>
    <t>10038568704051</t>
  </si>
  <si>
    <t>LP5090A</t>
  </si>
  <si>
    <t>LK377M</t>
  </si>
  <si>
    <t>LK378M</t>
  </si>
  <si>
    <t>Maintenance Kit</t>
  </si>
  <si>
    <t>Kit contents include: 2- LFP3236, 1-LP3985, 1-LFF4470, &amp;    1-LFF4471</t>
  </si>
  <si>
    <t xml:space="preserve"> Kit contents include: 2- LFP3191XL, 1-LFP8642, 1-LFF8059, &amp; 1-LFF3358</t>
  </si>
  <si>
    <t>A4721800109</t>
  </si>
  <si>
    <t>Detroit Diesel  DD13, DD15, &amp; DD16 engines</t>
  </si>
  <si>
    <t>LK376V</t>
  </si>
  <si>
    <t>Kit contents include:  2- LFP3236, 1-LFP8642, 1-LFF8059</t>
  </si>
  <si>
    <t>P7505</t>
  </si>
  <si>
    <t>P551005</t>
  </si>
  <si>
    <t>LF17511</t>
  </si>
  <si>
    <t>CH10797</t>
  </si>
  <si>
    <t>L59925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</si>
  <si>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</si>
  <si>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</si>
  <si>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</si>
  <si>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</si>
  <si>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</si>
  <si>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</si>
  <si>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</si>
  <si>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</si>
  <si>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</si>
  <si>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</si>
  <si>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</si>
  <si>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</si>
  <si>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</si>
  <si>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</si>
  <si>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</si>
  <si>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</si>
  <si>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</si>
  <si>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</si>
  <si>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</si>
  <si>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</si>
  <si>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</si>
  <si>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LFP9000XL</t>
  </si>
  <si>
    <t>LFP9001XL</t>
  </si>
  <si>
    <t>Spin-on Oil Filter, Extended Life</t>
  </si>
  <si>
    <t>LK379V</t>
  </si>
  <si>
    <t>Cummins ISX, QSX engs.</t>
  </si>
  <si>
    <t>Cummins ISX, QSX engs.  (Short Version of LFP9000XL)</t>
  </si>
  <si>
    <t xml:space="preserve"> Kit contents include: 2- LFP3236, 1-LFP8642, 1-LFF8059, &amp; 1-L9765FXL</t>
  </si>
  <si>
    <t>Item #</t>
  </si>
  <si>
    <t>0305469736890</t>
  </si>
  <si>
    <t>YES</t>
  </si>
  <si>
    <t>PARTITIONED CASE</t>
  </si>
  <si>
    <t xml:space="preserve">0002469506890 </t>
  </si>
  <si>
    <t>0002468876890</t>
  </si>
  <si>
    <t>10038568745184</t>
  </si>
  <si>
    <t>038568745187</t>
  </si>
  <si>
    <t>10038568745146</t>
  </si>
  <si>
    <t>038568745149</t>
  </si>
  <si>
    <t>10038568745245</t>
  </si>
  <si>
    <t>038568745248</t>
  </si>
  <si>
    <t>LF14000NN</t>
  </si>
  <si>
    <t>BD50000</t>
  </si>
  <si>
    <t>DBL7900</t>
  </si>
  <si>
    <t>WL10107</t>
  </si>
  <si>
    <t>L5109F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</si>
  <si>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</si>
  <si>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</si>
  <si>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</si>
  <si>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</si>
  <si>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</si>
  <si>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</si>
  <si>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Cartridge Fuel/Water Separator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</si>
  <si>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</si>
  <si>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</si>
  <si>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</si>
  <si>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</si>
  <si>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</si>
  <si>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</si>
  <si>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</si>
  <si>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</si>
  <si>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</si>
  <si>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</si>
  <si>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</si>
  <si>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</si>
  <si>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</si>
  <si>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</si>
  <si>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</si>
  <si>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</si>
  <si>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</si>
  <si>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</si>
  <si>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</si>
  <si>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</si>
  <si>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</si>
  <si>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</si>
  <si>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</si>
  <si>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</si>
  <si>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</si>
  <si>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</si>
  <si>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</si>
  <si>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</si>
  <si>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</si>
  <si>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</si>
  <si>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038568745293</t>
  </si>
  <si>
    <t>10038568745290</t>
  </si>
  <si>
    <t>038568745286</t>
  </si>
  <si>
    <t>10038568745283</t>
  </si>
  <si>
    <t>038568745309</t>
  </si>
  <si>
    <t>10038568745306</t>
  </si>
  <si>
    <t>038568745354</t>
  </si>
  <si>
    <t>10038568745351</t>
  </si>
  <si>
    <t>LAF8848</t>
  </si>
  <si>
    <t>LAF3663MXM</t>
  </si>
  <si>
    <t>RS5422</t>
  </si>
  <si>
    <t xml:space="preserve"> Kassbohrer Setra 315 GT-HD/Setra 415HDH  Kaessbohrer Buses (2002-)</t>
  </si>
  <si>
    <t xml:space="preserve">Mercedes </t>
  </si>
  <si>
    <t>P783117</t>
  </si>
  <si>
    <t>AF26172</t>
  </si>
  <si>
    <t>John Deere Backhoes, Excavators &amp; Loaders  (For Sec. air use LAF3664)</t>
  </si>
  <si>
    <t>AP35310</t>
  </si>
  <si>
    <t>A0040941804</t>
  </si>
  <si>
    <t>RS3882XP</t>
  </si>
  <si>
    <t>HISTORICAL RECAP DECEMBER 2012 - OCTOBER 2017</t>
  </si>
  <si>
    <t>038568745330</t>
  </si>
  <si>
    <t>038568745347</t>
  </si>
  <si>
    <t>L3542F</t>
  </si>
  <si>
    <t>PH7014</t>
  </si>
  <si>
    <t>LAF7417</t>
  </si>
  <si>
    <t>LAF5782</t>
  </si>
  <si>
    <t>LAF8513</t>
  </si>
  <si>
    <t>AF253</t>
  </si>
  <si>
    <t>AF734</t>
  </si>
  <si>
    <t>AF3888</t>
  </si>
  <si>
    <t>L3418F</t>
  </si>
  <si>
    <t>LAF8560</t>
  </si>
  <si>
    <t>LAF8818</t>
  </si>
  <si>
    <t>LAF1711</t>
  </si>
  <si>
    <t>LAF1640</t>
  </si>
  <si>
    <t>LAF8624</t>
  </si>
  <si>
    <t>LFF200</t>
  </si>
  <si>
    <t>AF4368</t>
  </si>
  <si>
    <t>G6360</t>
  </si>
  <si>
    <t>LP92HD</t>
  </si>
  <si>
    <t>LAF8662</t>
  </si>
  <si>
    <t>LAF4361</t>
  </si>
  <si>
    <t>AFB7897</t>
  </si>
  <si>
    <t>G250</t>
  </si>
  <si>
    <t>G2982</t>
  </si>
  <si>
    <t>LAF1979</t>
  </si>
  <si>
    <t>LAF3232</t>
  </si>
  <si>
    <t>MC</t>
  </si>
  <si>
    <t>LFF5982</t>
  </si>
  <si>
    <t>AF524</t>
  </si>
  <si>
    <t>PH2852</t>
  </si>
  <si>
    <t>L8702F</t>
  </si>
  <si>
    <t>LP5043</t>
  </si>
  <si>
    <t>Spin-on Oil Filter</t>
  </si>
  <si>
    <t>Spin-on Fuel Water Separator</t>
  </si>
  <si>
    <t>Cartridge Oil Filter</t>
  </si>
  <si>
    <t>Allis-Chalmers 4374478, -6; Chrysler 1615793; Continental, Gardner Denver 193F-304; Euclid 9020488; Minneapolis-Moline 10R-1331, 126715-CS; Allis-Chalmers Forklifts, Hercules, Michigan and Waukesha</t>
  </si>
  <si>
    <t>Suzuki Motorcycles (1985-87) (Suzuki 16510-05A00)</t>
  </si>
  <si>
    <t>Mitsubishi ME132525, ME132526</t>
  </si>
  <si>
    <t>Mercedes-Benz Buses; Mercedes-Benz 3760948204 (For Sec. air use LAF7418)</t>
  </si>
  <si>
    <t>Mitsubishi ME073252; Mitsubishi FK &amp; FM Series Trucks</t>
  </si>
  <si>
    <t>Poclain L08505-50; Euclid FD series 203, Gardner-Denver Compressers (For Pri. air use LAF9200)</t>
  </si>
  <si>
    <t>Mitsubishi Van (1987-90) (Mitsubishi MD-620039)</t>
  </si>
  <si>
    <t>Chevrolet Monza (1979-81)</t>
  </si>
  <si>
    <t>Peugeot (1978-81) (Peugeot 1445.58)</t>
  </si>
  <si>
    <t>John Deere RE38818; 60 Series 4WD Tractors &amp; 9000, 7000, &amp; 8000 Series (different fittings than L3524F)</t>
  </si>
  <si>
    <t>Solfiltra 1250-01; Manitou, Fenwick (For Pri. air use LAF8561)</t>
  </si>
  <si>
    <t>Komatsu Z76-01-18130; Komatsu FD25ST-5, FD28-10 Trucks (For Sec. air use LAF5835)</t>
  </si>
  <si>
    <t>Mazda RX7 (1986-95)</t>
  </si>
  <si>
    <t>Zettelmeyer 22031600; Zettelmeyer ZG500 Loader (For Pri. air use LAF1710)</t>
  </si>
  <si>
    <t>John Deere M79451; Kawasaki 11013-2020, 11013-2021; Walk behind mowers with Kawasaki eng.</t>
  </si>
  <si>
    <t>Volvo 6792554, 6776714; Volvo FL6 Truck w/TD61 Eng.</t>
  </si>
  <si>
    <t>Racor 2000SM</t>
  </si>
  <si>
    <t>Peugeot  (1984-88) (Peugeot 1109.62)</t>
  </si>
  <si>
    <t>Dodge Diesel Trucks (1983-85), Mitsubishi Turbo Diesel Trucks (1983-85) (Mitsubishi MD-603384)</t>
  </si>
  <si>
    <t>Dodge Monaco (1990-92), Eagle Premier (1990-92)</t>
  </si>
  <si>
    <t>Allis-Chalmers, Case, Cummins, Clark, Diamond T, Dodge Trucks, Euclid, Joy, Reo, White</t>
  </si>
  <si>
    <t>Massey-Ferguson 1043326-M91; Massey-Ferguson 20C Backhoe (For Sec. air use LAF1793)</t>
  </si>
  <si>
    <t>Komatsu 600-181-7210; Komatsu Crawler Tractors (For Sec. air use LAF4332)</t>
  </si>
  <si>
    <t>Nissan 4 cyl. (1990-04) (Nissan 16565-W8800)</t>
  </si>
  <si>
    <t>Toyota (1970-72) (Toyota 23300-25010)</t>
  </si>
  <si>
    <t>Chevrolet Sprint (1987-88) (AC GF728; GM 96055528)</t>
  </si>
  <si>
    <t>Massey-Ferguson 1670260-M1; Massey-Ferguson 240, 250 Tractors (For Sec. air use LAF8218)</t>
  </si>
  <si>
    <t>Mitsubishi MB-120298; Mitsubishi FE Series Trucks</t>
  </si>
  <si>
    <t>Nissan 15274-99428</t>
  </si>
  <si>
    <t>Nissan 16444-99028, 16444-99026; Nissan KDA50 Truck</t>
  </si>
  <si>
    <t>None</t>
  </si>
  <si>
    <t>Pending Obsolete - Use up Inventory</t>
  </si>
  <si>
    <t>Limited Quantity Available</t>
  </si>
  <si>
    <t>Inventory Available US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</si>
</sst>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000000000000"/>
    <numFmt numFmtId="168" formatCode="[$-409]d\-mmm\-yy;@"/>
  </numFmts>
  <fonts count="7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80">
    <xf numFmtId="0" fontId="0" fillId="0" borderId="0"/>
    <xf numFmtId="0" fontId="16" fillId="0" borderId="0"/>
    <xf numFmtId="44" fontId="27" fillId="0" borderId="0" applyFont="0" applyFill="0" applyBorder="0" applyAlignment="0" applyProtection="0"/>
    <xf numFmtId="0" fontId="16" fillId="0" borderId="0"/>
    <xf numFmtId="9" fontId="2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6" applyNumberFormat="0" applyAlignment="0" applyProtection="0"/>
    <xf numFmtId="0" fontId="64" fillId="22" borderId="17" applyNumberFormat="0" applyAlignment="0" applyProtection="0"/>
    <xf numFmtId="0" fontId="65" fillId="22" borderId="16" applyNumberFormat="0" applyAlignment="0" applyProtection="0"/>
    <xf numFmtId="0" fontId="66" fillId="0" borderId="18" applyNumberFormat="0" applyFill="0" applyAlignment="0" applyProtection="0"/>
    <xf numFmtId="0" fontId="41" fillId="23" borderId="1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21" applyNumberFormat="0" applyFill="0" applyAlignment="0" applyProtection="0"/>
    <xf numFmtId="0" fontId="6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69" fillId="48" borderId="0" applyNumberFormat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27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16" fillId="0" borderId="0"/>
    <xf numFmtId="0" fontId="16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44" fontId="16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24" borderId="20" applyNumberFormat="0" applyFon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</cellStyleXfs>
  <cellXfs count="471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4" fillId="0" borderId="0" xfId="0" applyNumberFormat="1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49" fontId="26" fillId="0" borderId="1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7" fontId="30" fillId="0" borderId="1" xfId="3" applyNumberFormat="1" applyFont="1" applyBorder="1" applyAlignment="1">
      <alignment horizontal="center" vertical="center"/>
    </xf>
    <xf numFmtId="1" fontId="30" fillId="0" borderId="1" xfId="3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0" fontId="7" fillId="11" borderId="1" xfId="0" applyNumberFormat="1" applyFont="1" applyFill="1" applyBorder="1" applyAlignment="1">
      <alignment wrapText="1"/>
    </xf>
    <xf numFmtId="0" fontId="7" fillId="11" borderId="1" xfId="0" applyFont="1" applyFill="1" applyBorder="1" applyAlignment="1">
      <alignment wrapText="1"/>
    </xf>
    <xf numFmtId="49" fontId="7" fillId="11" borderId="1" xfId="0" applyNumberFormat="1" applyFont="1" applyFill="1" applyBorder="1" applyAlignment="1">
      <alignment wrapText="1"/>
    </xf>
    <xf numFmtId="8" fontId="0" fillId="0" borderId="1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36" fillId="0" borderId="1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164" fontId="27" fillId="0" borderId="1" xfId="2" applyNumberFormat="1" applyFont="1" applyFill="1" applyBorder="1" applyAlignment="1">
      <alignment horizontal="center"/>
    </xf>
    <xf numFmtId="0" fontId="34" fillId="0" borderId="1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38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7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" fontId="38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34" fillId="0" borderId="9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8" fontId="0" fillId="0" borderId="9" xfId="0" applyNumberFormat="1" applyFont="1" applyFill="1" applyBorder="1" applyAlignment="1">
      <alignment horizontal="center"/>
    </xf>
    <xf numFmtId="49" fontId="26" fillId="0" borderId="9" xfId="0" applyNumberFormat="1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165" fontId="0" fillId="7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12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7" fillId="13" borderId="0" xfId="0" applyNumberFormat="1" applyFont="1" applyFill="1" applyBorder="1" applyAlignment="1">
      <alignment wrapText="1"/>
    </xf>
    <xf numFmtId="0" fontId="7" fillId="13" borderId="0" xfId="0" applyFont="1" applyFill="1" applyBorder="1" applyAlignment="1">
      <alignment wrapText="1"/>
    </xf>
    <xf numFmtId="49" fontId="7" fillId="13" borderId="0" xfId="0" applyNumberFormat="1" applyFont="1" applyFill="1" applyBorder="1" applyAlignment="1">
      <alignment wrapText="1"/>
    </xf>
    <xf numFmtId="0" fontId="0" fillId="12" borderId="11" xfId="0" applyFill="1" applyBorder="1"/>
    <xf numFmtId="0" fontId="5" fillId="0" borderId="2" xfId="0" applyNumberFormat="1" applyFont="1" applyFill="1" applyBorder="1" applyAlignment="1">
      <alignment horizontal="center" vertical="center"/>
    </xf>
    <xf numFmtId="0" fontId="42" fillId="15" borderId="11" xfId="0" applyNumberFormat="1" applyFont="1" applyFill="1" applyBorder="1" applyAlignment="1">
      <alignment horizontal="center" vertical="center"/>
    </xf>
    <xf numFmtId="0" fontId="42" fillId="15" borderId="3" xfId="0" applyNumberFormat="1" applyFont="1" applyFill="1" applyBorder="1" applyAlignment="1">
      <alignment horizontal="center" vertical="center"/>
    </xf>
    <xf numFmtId="0" fontId="28" fillId="15" borderId="3" xfId="0" applyNumberFormat="1" applyFont="1" applyFill="1" applyBorder="1" applyAlignment="1">
      <alignment horizontal="center" vertical="center"/>
    </xf>
    <xf numFmtId="0" fontId="43" fillId="15" borderId="3" xfId="0" applyNumberFormat="1" applyFont="1" applyFill="1" applyBorder="1" applyAlignment="1">
      <alignment horizontal="center" vertical="center"/>
    </xf>
    <xf numFmtId="0" fontId="44" fillId="15" borderId="3" xfId="0" applyNumberFormat="1" applyFont="1" applyFill="1" applyBorder="1" applyAlignment="1">
      <alignment horizontal="center" vertical="center"/>
    </xf>
    <xf numFmtId="0" fontId="45" fillId="15" borderId="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49" fontId="48" fillId="2" borderId="10" xfId="0" applyNumberFormat="1" applyFont="1" applyFill="1" applyBorder="1" applyAlignment="1">
      <alignment horizontal="center" vertical="center" wrapText="1"/>
    </xf>
    <xf numFmtId="49" fontId="48" fillId="2" borderId="0" xfId="0" applyNumberFormat="1" applyFont="1" applyFill="1" applyBorder="1" applyAlignment="1">
      <alignment horizontal="center" vertical="center" wrapText="1"/>
    </xf>
    <xf numFmtId="49" fontId="48" fillId="2" borderId="12" xfId="0" applyNumberFormat="1" applyFont="1" applyFill="1" applyBorder="1" applyAlignment="1">
      <alignment horizontal="center" vertical="center" wrapText="1"/>
    </xf>
    <xf numFmtId="49" fontId="49" fillId="15" borderId="3" xfId="0" applyNumberFormat="1" applyFont="1" applyFill="1" applyBorder="1" applyAlignment="1">
      <alignment horizontal="center" vertical="center" wrapText="1"/>
    </xf>
    <xf numFmtId="0" fontId="50" fillId="15" borderId="3" xfId="0" applyNumberFormat="1" applyFont="1" applyFill="1" applyBorder="1" applyAlignment="1">
      <alignment horizontal="center" vertical="center"/>
    </xf>
    <xf numFmtId="0" fontId="51" fillId="15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165" fontId="0" fillId="1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12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2" fillId="0" borderId="1" xfId="0" applyNumberFormat="1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2" fontId="0" fillId="1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53" fillId="0" borderId="1" xfId="0" applyFont="1" applyFill="1" applyBorder="1" applyAlignment="1" applyProtection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7" fillId="12" borderId="1" xfId="0" quotePrefix="1" applyNumberFormat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/>
    </xf>
    <xf numFmtId="2" fontId="17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7" fillId="12" borderId="1" xfId="0" quotePrefix="1" applyNumberFormat="1" applyFont="1" applyFill="1" applyBorder="1" applyAlignment="1">
      <alignment horizontal="center" vertical="center"/>
    </xf>
    <xf numFmtId="2" fontId="17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54" fillId="0" borderId="1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53" fillId="0" borderId="0" xfId="0" applyFont="1" applyFill="1" applyBorder="1" applyAlignment="1" applyProtection="1">
      <alignment horizontal="left" vertical="center" wrapText="1"/>
    </xf>
    <xf numFmtId="0" fontId="0" fillId="12" borderId="0" xfId="0" applyFill="1" applyBorder="1"/>
    <xf numFmtId="0" fontId="0" fillId="12" borderId="1" xfId="0" applyFill="1" applyBorder="1"/>
    <xf numFmtId="0" fontId="31" fillId="12" borderId="1" xfId="0" applyFont="1" applyFill="1" applyBorder="1"/>
    <xf numFmtId="0" fontId="0" fillId="0" borderId="0" xfId="0" applyFill="1" applyBorder="1" applyAlignment="1">
      <alignment horizontal="center"/>
    </xf>
    <xf numFmtId="0" fontId="0" fillId="12" borderId="12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168" fontId="0" fillId="0" borderId="1" xfId="0" applyNumberFormat="1" applyFont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3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8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/>
    </xf>
    <xf numFmtId="0" fontId="54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7" fillId="0" borderId="11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0" fontId="17" fillId="0" borderId="2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1" xfId="0" quotePrefix="1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0" fontId="53" fillId="0" borderId="1" xfId="0" applyFont="1" applyFill="1" applyBorder="1" applyAlignment="1" applyProtection="1">
      <alignment horizontal="left" vertical="center" wrapText="1"/>
    </xf>
    <xf numFmtId="0" fontId="0" fillId="12" borderId="1" xfId="0" applyFill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2" fontId="17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17" fillId="12" borderId="1" xfId="0" applyNumberFormat="1" applyFont="1" applyFill="1" applyBorder="1" applyAlignment="1">
      <alignment horizontal="center" vertical="center"/>
    </xf>
    <xf numFmtId="165" fontId="17" fillId="12" borderId="1" xfId="0" applyNumberFormat="1" applyFont="1" applyFill="1" applyBorder="1" applyAlignment="1">
      <alignment horizontal="center" vertical="center" wrapText="1"/>
    </xf>
    <xf numFmtId="1" fontId="17" fillId="12" borderId="1" xfId="0" applyNumberFormat="1" applyFont="1" applyFill="1" applyBorder="1" applyAlignment="1">
      <alignment horizontal="center" vertical="center" wrapText="1"/>
    </xf>
    <xf numFmtId="165" fontId="17" fillId="12" borderId="1" xfId="0" quotePrefix="1" applyNumberFormat="1" applyFont="1" applyFill="1" applyBorder="1" applyAlignment="1">
      <alignment horizontal="center" vertical="center" wrapText="1"/>
    </xf>
    <xf numFmtId="0" fontId="17" fillId="12" borderId="1" xfId="0" quotePrefix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7" fillId="12" borderId="1" xfId="0" quotePrefix="1" applyNumberFormat="1" applyFont="1" applyFill="1" applyBorder="1" applyAlignment="1">
      <alignment horizontal="center" wrapText="1"/>
    </xf>
    <xf numFmtId="165" fontId="17" fillId="12" borderId="1" xfId="0" quotePrefix="1" applyNumberFormat="1" applyFont="1" applyFill="1" applyBorder="1" applyAlignment="1">
      <alignment horizontal="center" wrapText="1"/>
    </xf>
    <xf numFmtId="165" fontId="17" fillId="12" borderId="1" xfId="0" applyNumberFormat="1" applyFont="1" applyFill="1" applyBorder="1" applyAlignment="1">
      <alignment horizontal="center" wrapText="1"/>
    </xf>
    <xf numFmtId="165" fontId="17" fillId="12" borderId="1" xfId="0" applyNumberFormat="1" applyFont="1" applyFill="1" applyBorder="1" applyAlignment="1">
      <alignment horizontal="center"/>
    </xf>
    <xf numFmtId="0" fontId="17" fillId="12" borderId="1" xfId="0" quotePrefix="1" applyFont="1" applyFill="1" applyBorder="1" applyAlignment="1">
      <alignment horizontal="center"/>
    </xf>
    <xf numFmtId="1" fontId="17" fillId="12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7" fillId="12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0" borderId="1" xfId="0" applyFont="1" applyBorder="1" applyAlignment="1">
      <alignment horizontal="center"/>
    </xf>
    <xf numFmtId="49" fontId="53" fillId="0" borderId="1" xfId="0" applyNumberFormat="1" applyFont="1" applyBorder="1" applyAlignment="1">
      <alignment horizontal="center"/>
    </xf>
    <xf numFmtId="0" fontId="53" fillId="16" borderId="1" xfId="0" applyFont="1" applyFill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0" fontId="55" fillId="17" borderId="1" xfId="0" applyFont="1" applyFill="1" applyBorder="1" applyAlignment="1">
      <alignment horizontal="center" wrapText="1"/>
    </xf>
    <xf numFmtId="0" fontId="55" fillId="17" borderId="1" xfId="0" applyFont="1" applyFill="1" applyBorder="1" applyAlignment="1">
      <alignment horizontal="center"/>
    </xf>
    <xf numFmtId="0" fontId="5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 applyProtection="1">
      <alignment horizontal="center" vertical="center" wrapText="1"/>
    </xf>
    <xf numFmtId="2" fontId="17" fillId="12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3" fillId="15" borderId="7" xfId="0" applyNumberFormat="1" applyFont="1" applyFill="1" applyBorder="1" applyAlignment="1">
      <alignment horizontal="center" vertical="center"/>
    </xf>
    <xf numFmtId="0" fontId="31" fillId="0" borderId="0" xfId="0" applyFont="1"/>
    <xf numFmtId="0" fontId="70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47" fillId="1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19" fillId="0" borderId="1" xfId="0" applyFont="1" applyBorder="1"/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49" fontId="17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19" fillId="50" borderId="1" xfId="0" applyFont="1" applyFill="1" applyBorder="1" applyAlignment="1" applyProtection="1">
      <alignment horizontal="center" vertical="center" wrapText="1"/>
    </xf>
    <xf numFmtId="0" fontId="17" fillId="49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27" fillId="12" borderId="1" xfId="7346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1" fontId="47" fillId="15" borderId="3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3" fontId="27" fillId="0" borderId="1" xfId="4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46" fillId="14" borderId="1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5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6" fillId="9" borderId="4" xfId="0" applyNumberFormat="1" applyFont="1" applyFill="1" applyBorder="1" applyAlignment="1">
      <alignment horizontal="left" vertical="center"/>
    </xf>
    <xf numFmtId="0" fontId="6" fillId="9" borderId="5" xfId="0" applyNumberFormat="1" applyFont="1" applyFill="1" applyBorder="1" applyAlignment="1">
      <alignment horizontal="left" vertical="center"/>
    </xf>
    <xf numFmtId="0" fontId="6" fillId="9" borderId="2" xfId="0" applyNumberFormat="1" applyFont="1" applyFill="1" applyBorder="1" applyAlignment="1">
      <alignment horizontal="left" vertical="center"/>
    </xf>
    <xf numFmtId="49" fontId="23" fillId="6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vertical="center" wrapText="1"/>
    </xf>
    <xf numFmtId="165" fontId="72" fillId="0" borderId="4" xfId="0" applyNumberFormat="1" applyFont="1" applyFill="1" applyBorder="1" applyAlignment="1">
      <alignment horizontal="center" vertical="center"/>
    </xf>
    <xf numFmtId="165" fontId="72" fillId="0" borderId="5" xfId="0" applyNumberFormat="1" applyFont="1" applyFill="1" applyBorder="1" applyAlignment="1">
      <alignment horizontal="center" vertical="center"/>
    </xf>
    <xf numFmtId="165" fontId="72" fillId="0" borderId="2" xfId="0" applyNumberFormat="1" applyFont="1" applyFill="1" applyBorder="1" applyAlignment="1">
      <alignment horizontal="center" vertical="center"/>
    </xf>
    <xf numFmtId="165" fontId="21" fillId="5" borderId="4" xfId="0" applyNumberFormat="1" applyFont="1" applyFill="1" applyBorder="1" applyAlignment="1">
      <alignment horizontal="left" vertical="center" wrapText="1"/>
    </xf>
    <xf numFmtId="165" fontId="21" fillId="5" borderId="5" xfId="0" applyNumberFormat="1" applyFont="1" applyFill="1" applyBorder="1" applyAlignment="1">
      <alignment horizontal="left" vertical="center" wrapText="1"/>
    </xf>
    <xf numFmtId="165" fontId="21" fillId="5" borderId="2" xfId="0" applyNumberFormat="1" applyFont="1" applyFill="1" applyBorder="1" applyAlignment="1">
      <alignment horizontal="left" vertical="center" wrapText="1"/>
    </xf>
    <xf numFmtId="1" fontId="22" fillId="4" borderId="4" xfId="0" applyNumberFormat="1" applyFont="1" applyFill="1" applyBorder="1" applyAlignment="1">
      <alignment horizontal="left" vertical="center" wrapText="1"/>
    </xf>
    <xf numFmtId="1" fontId="22" fillId="4" borderId="5" xfId="0" applyNumberFormat="1" applyFont="1" applyFill="1" applyBorder="1" applyAlignment="1">
      <alignment horizontal="left" vertical="center" wrapText="1"/>
    </xf>
    <xf numFmtId="1" fontId="22" fillId="4" borderId="2" xfId="0" applyNumberFormat="1" applyFont="1" applyFill="1" applyBorder="1" applyAlignment="1">
      <alignment horizontal="left" vertical="center" wrapText="1"/>
    </xf>
    <xf numFmtId="49" fontId="25" fillId="10" borderId="1" xfId="0" applyNumberFormat="1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4" borderId="2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20" fillId="4" borderId="1" xfId="0" applyNumberFormat="1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left" vertical="center" wrapText="1"/>
    </xf>
    <xf numFmtId="165" fontId="17" fillId="12" borderId="4" xfId="0" quotePrefix="1" applyNumberFormat="1" applyFont="1" applyFill="1" applyBorder="1" applyAlignment="1">
      <alignment horizontal="center" vertical="center" wrapText="1"/>
    </xf>
    <xf numFmtId="165" fontId="17" fillId="12" borderId="5" xfId="0" quotePrefix="1" applyNumberFormat="1" applyFont="1" applyFill="1" applyBorder="1" applyAlignment="1">
      <alignment horizontal="center" vertical="center" wrapText="1"/>
    </xf>
    <xf numFmtId="165" fontId="17" fillId="12" borderId="2" xfId="0" quotePrefix="1" applyNumberFormat="1" applyFont="1" applyFill="1" applyBorder="1" applyAlignment="1">
      <alignment horizontal="center" vertical="center" wrapText="1"/>
    </xf>
    <xf numFmtId="49" fontId="23" fillId="6" borderId="4" xfId="0" applyNumberFormat="1" applyFont="1" applyFill="1" applyBorder="1" applyAlignment="1">
      <alignment horizontal="center"/>
    </xf>
    <xf numFmtId="49" fontId="23" fillId="6" borderId="2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46" fillId="14" borderId="4" xfId="0" applyNumberFormat="1" applyFont="1" applyFill="1" applyBorder="1" applyAlignment="1">
      <alignment horizontal="center" vertical="center"/>
    </xf>
    <xf numFmtId="0" fontId="46" fillId="14" borderId="5" xfId="0" applyNumberFormat="1" applyFont="1" applyFill="1" applyBorder="1" applyAlignment="1">
      <alignment horizontal="center" vertical="center"/>
    </xf>
    <xf numFmtId="0" fontId="46" fillId="14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25" fillId="10" borderId="4" xfId="0" applyNumberFormat="1" applyFont="1" applyFill="1" applyBorder="1" applyAlignment="1">
      <alignment horizontal="left" vertical="center" wrapText="1"/>
    </xf>
    <xf numFmtId="49" fontId="25" fillId="10" borderId="5" xfId="0" applyNumberFormat="1" applyFont="1" applyFill="1" applyBorder="1" applyAlignment="1">
      <alignment horizontal="left" vertical="center" wrapText="1"/>
    </xf>
    <xf numFmtId="49" fontId="25" fillId="10" borderId="2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</cellXfs>
  <cellStyles count="45680">
    <cellStyle name="20% - Accent1" xfId="22" builtinId="30" customBuiltin="1"/>
    <cellStyle name="20% - Accent1 10" xfId="459"/>
    <cellStyle name="20% - Accent1 10 10" xfId="6690"/>
    <cellStyle name="20% - Accent1 10 10 2" xfId="29465"/>
    <cellStyle name="20% - Accent1 10 11" xfId="7346"/>
    <cellStyle name="20% - Accent1 10 11 2" xfId="30121"/>
    <cellStyle name="20% - Accent1 10 12" xfId="8002"/>
    <cellStyle name="20% - Accent1 10 12 2" xfId="30777"/>
    <cellStyle name="20% - Accent1 10 13" xfId="8658"/>
    <cellStyle name="20% - Accent1 10 13 2" xfId="31433"/>
    <cellStyle name="20% - Accent1 10 14" xfId="9314"/>
    <cellStyle name="20% - Accent1 10 14 2" xfId="32089"/>
    <cellStyle name="20% - Accent1 10 15" xfId="9970"/>
    <cellStyle name="20% - Accent1 10 15 2" xfId="32745"/>
    <cellStyle name="20% - Accent1 10 16" xfId="10626"/>
    <cellStyle name="20% - Accent1 10 16 2" xfId="33401"/>
    <cellStyle name="20% - Accent1 10 17" xfId="11282"/>
    <cellStyle name="20% - Accent1 10 17 2" xfId="34057"/>
    <cellStyle name="20% - Accent1 10 18" xfId="11938"/>
    <cellStyle name="20% - Accent1 10 18 2" xfId="34713"/>
    <cellStyle name="20% - Accent1 10 19" xfId="12594"/>
    <cellStyle name="20% - Accent1 10 19 2" xfId="35369"/>
    <cellStyle name="20% - Accent1 10 2" xfId="786"/>
    <cellStyle name="20% - Accent1 10 2 10" xfId="8330"/>
    <cellStyle name="20% - Accent1 10 2 10 2" xfId="31105"/>
    <cellStyle name="20% - Accent1 10 2 11" xfId="8986"/>
    <cellStyle name="20% - Accent1 10 2 11 2" xfId="31761"/>
    <cellStyle name="20% - Accent1 10 2 12" xfId="9642"/>
    <cellStyle name="20% - Accent1 10 2 12 2" xfId="32417"/>
    <cellStyle name="20% - Accent1 10 2 13" xfId="10298"/>
    <cellStyle name="20% - Accent1 10 2 13 2" xfId="33073"/>
    <cellStyle name="20% - Accent1 10 2 14" xfId="10954"/>
    <cellStyle name="20% - Accent1 10 2 14 2" xfId="33729"/>
    <cellStyle name="20% - Accent1 10 2 15" xfId="11610"/>
    <cellStyle name="20% - Accent1 10 2 15 2" xfId="34385"/>
    <cellStyle name="20% - Accent1 10 2 16" xfId="12266"/>
    <cellStyle name="20% - Accent1 10 2 16 2" xfId="35041"/>
    <cellStyle name="20% - Accent1 10 2 17" xfId="12922"/>
    <cellStyle name="20% - Accent1 10 2 17 2" xfId="35697"/>
    <cellStyle name="20% - Accent1 10 2 18" xfId="13578"/>
    <cellStyle name="20% - Accent1 10 2 18 2" xfId="36353"/>
    <cellStyle name="20% - Accent1 10 2 19" xfId="14234"/>
    <cellStyle name="20% - Accent1 10 2 19 2" xfId="37009"/>
    <cellStyle name="20% - Accent1 10 2 2" xfId="1442"/>
    <cellStyle name="20% - Accent1 10 2 2 2" xfId="3738"/>
    <cellStyle name="20% - Accent1 10 2 2 2 2" xfId="26513"/>
    <cellStyle name="20% - Accent1 10 2 2 3" xfId="24217"/>
    <cellStyle name="20% - Accent1 10 2 20" xfId="14890"/>
    <cellStyle name="20% - Accent1 10 2 20 2" xfId="37665"/>
    <cellStyle name="20% - Accent1 10 2 21" xfId="15546"/>
    <cellStyle name="20% - Accent1 10 2 21 2" xfId="38321"/>
    <cellStyle name="20% - Accent1 10 2 22" xfId="16202"/>
    <cellStyle name="20% - Accent1 10 2 22 2" xfId="38977"/>
    <cellStyle name="20% - Accent1 10 2 23" xfId="16858"/>
    <cellStyle name="20% - Accent1 10 2 23 2" xfId="39633"/>
    <cellStyle name="20% - Accent1 10 2 24" xfId="17514"/>
    <cellStyle name="20% - Accent1 10 2 24 2" xfId="40289"/>
    <cellStyle name="20% - Accent1 10 2 25" xfId="18170"/>
    <cellStyle name="20% - Accent1 10 2 25 2" xfId="40945"/>
    <cellStyle name="20% - Accent1 10 2 26" xfId="18826"/>
    <cellStyle name="20% - Accent1 10 2 26 2" xfId="41601"/>
    <cellStyle name="20% - Accent1 10 2 27" xfId="19482"/>
    <cellStyle name="20% - Accent1 10 2 27 2" xfId="42257"/>
    <cellStyle name="20% - Accent1 10 2 28" xfId="20138"/>
    <cellStyle name="20% - Accent1 10 2 28 2" xfId="42913"/>
    <cellStyle name="20% - Accent1 10 2 29" xfId="20794"/>
    <cellStyle name="20% - Accent1 10 2 29 2" xfId="43569"/>
    <cellStyle name="20% - Accent1 10 2 3" xfId="2098"/>
    <cellStyle name="20% - Accent1 10 2 3 2" xfId="4394"/>
    <cellStyle name="20% - Accent1 10 2 3 2 2" xfId="27169"/>
    <cellStyle name="20% - Accent1 10 2 3 3" xfId="24873"/>
    <cellStyle name="20% - Accent1 10 2 30" xfId="21450"/>
    <cellStyle name="20% - Accent1 10 2 30 2" xfId="44225"/>
    <cellStyle name="20% - Accent1 10 2 31" xfId="22106"/>
    <cellStyle name="20% - Accent1 10 2 31 2" xfId="44881"/>
    <cellStyle name="20% - Accent1 10 2 32" xfId="22762"/>
    <cellStyle name="20% - Accent1 10 2 32 2" xfId="45537"/>
    <cellStyle name="20% - Accent1 10 2 33" xfId="23561"/>
    <cellStyle name="20% - Accent1 10 2 4" xfId="5050"/>
    <cellStyle name="20% - Accent1 10 2 4 2" xfId="27825"/>
    <cellStyle name="20% - Accent1 10 2 5" xfId="5706"/>
    <cellStyle name="20% - Accent1 10 2 5 2" xfId="28481"/>
    <cellStyle name="20% - Accent1 10 2 6" xfId="6362"/>
    <cellStyle name="20% - Accent1 10 2 6 2" xfId="29137"/>
    <cellStyle name="20% - Accent1 10 2 7" xfId="3082"/>
    <cellStyle name="20% - Accent1 10 2 7 2" xfId="25857"/>
    <cellStyle name="20% - Accent1 10 2 8" xfId="7018"/>
    <cellStyle name="20% - Accent1 10 2 8 2" xfId="29793"/>
    <cellStyle name="20% - Accent1 10 2 9" xfId="7674"/>
    <cellStyle name="20% - Accent1 10 2 9 2" xfId="30449"/>
    <cellStyle name="20% - Accent1 10 20" xfId="13250"/>
    <cellStyle name="20% - Accent1 10 20 2" xfId="36025"/>
    <cellStyle name="20% - Accent1 10 21" xfId="13906"/>
    <cellStyle name="20% - Accent1 10 21 2" xfId="36681"/>
    <cellStyle name="20% - Accent1 10 22" xfId="14562"/>
    <cellStyle name="20% - Accent1 10 22 2" xfId="37337"/>
    <cellStyle name="20% - Accent1 10 23" xfId="15218"/>
    <cellStyle name="20% - Accent1 10 23 2" xfId="37993"/>
    <cellStyle name="20% - Accent1 10 24" xfId="15874"/>
    <cellStyle name="20% - Accent1 10 24 2" xfId="38649"/>
    <cellStyle name="20% - Accent1 10 25" xfId="16530"/>
    <cellStyle name="20% - Accent1 10 25 2" xfId="39305"/>
    <cellStyle name="20% - Accent1 10 26" xfId="17186"/>
    <cellStyle name="20% - Accent1 10 26 2" xfId="39961"/>
    <cellStyle name="20% - Accent1 10 27" xfId="17842"/>
    <cellStyle name="20% - Accent1 10 27 2" xfId="40617"/>
    <cellStyle name="20% - Accent1 10 28" xfId="18498"/>
    <cellStyle name="20% - Accent1 10 28 2" xfId="41273"/>
    <cellStyle name="20% - Accent1 10 29" xfId="19154"/>
    <cellStyle name="20% - Accent1 10 29 2" xfId="41929"/>
    <cellStyle name="20% - Accent1 10 3" xfId="1114"/>
    <cellStyle name="20% - Accent1 10 3 2" xfId="2754"/>
    <cellStyle name="20% - Accent1 10 3 2 2" xfId="25529"/>
    <cellStyle name="20% - Accent1 10 3 3" xfId="23889"/>
    <cellStyle name="20% - Accent1 10 30" xfId="19810"/>
    <cellStyle name="20% - Accent1 10 30 2" xfId="42585"/>
    <cellStyle name="20% - Accent1 10 31" xfId="20466"/>
    <cellStyle name="20% - Accent1 10 31 2" xfId="43241"/>
    <cellStyle name="20% - Accent1 10 32" xfId="21122"/>
    <cellStyle name="20% - Accent1 10 32 2" xfId="43897"/>
    <cellStyle name="20% - Accent1 10 33" xfId="21778"/>
    <cellStyle name="20% - Accent1 10 33 2" xfId="44553"/>
    <cellStyle name="20% - Accent1 10 34" xfId="22434"/>
    <cellStyle name="20% - Accent1 10 34 2" xfId="45209"/>
    <cellStyle name="20% - Accent1 10 35" xfId="23233"/>
    <cellStyle name="20% - Accent1 10 4" xfId="1770"/>
    <cellStyle name="20% - Accent1 10 4 2" xfId="3410"/>
    <cellStyle name="20% - Accent1 10 4 2 2" xfId="26185"/>
    <cellStyle name="20% - Accent1 10 4 3" xfId="24545"/>
    <cellStyle name="20% - Accent1 10 5" xfId="4066"/>
    <cellStyle name="20% - Accent1 10 5 2" xfId="26841"/>
    <cellStyle name="20% - Accent1 10 6" xfId="4722"/>
    <cellStyle name="20% - Accent1 10 6 2" xfId="27497"/>
    <cellStyle name="20% - Accent1 10 7" xfId="5378"/>
    <cellStyle name="20% - Accent1 10 7 2" xfId="28153"/>
    <cellStyle name="20% - Accent1 10 8" xfId="6034"/>
    <cellStyle name="20% - Accent1 10 8 2" xfId="28809"/>
    <cellStyle name="20% - Accent1 10 9" xfId="2426"/>
    <cellStyle name="20% - Accent1 10 9 2" xfId="25201"/>
    <cellStyle name="20% - Accent1 11" xfId="601"/>
    <cellStyle name="20% - Accent1 11 10" xfId="8145"/>
    <cellStyle name="20% - Accent1 11 10 2" xfId="30920"/>
    <cellStyle name="20% - Accent1 11 11" xfId="8801"/>
    <cellStyle name="20% - Accent1 11 11 2" xfId="31576"/>
    <cellStyle name="20% - Accent1 11 12" xfId="9457"/>
    <cellStyle name="20% - Accent1 11 12 2" xfId="32232"/>
    <cellStyle name="20% - Accent1 11 13" xfId="10113"/>
    <cellStyle name="20% - Accent1 11 13 2" xfId="32888"/>
    <cellStyle name="20% - Accent1 11 14" xfId="10769"/>
    <cellStyle name="20% - Accent1 11 14 2" xfId="33544"/>
    <cellStyle name="20% - Accent1 11 15" xfId="11425"/>
    <cellStyle name="20% - Accent1 11 15 2" xfId="34200"/>
    <cellStyle name="20% - Accent1 11 16" xfId="12081"/>
    <cellStyle name="20% - Accent1 11 16 2" xfId="34856"/>
    <cellStyle name="20% - Accent1 11 17" xfId="12737"/>
    <cellStyle name="20% - Accent1 11 17 2" xfId="35512"/>
    <cellStyle name="20% - Accent1 11 18" xfId="13393"/>
    <cellStyle name="20% - Accent1 11 18 2" xfId="36168"/>
    <cellStyle name="20% - Accent1 11 19" xfId="14049"/>
    <cellStyle name="20% - Accent1 11 19 2" xfId="36824"/>
    <cellStyle name="20% - Accent1 11 2" xfId="1257"/>
    <cellStyle name="20% - Accent1 11 2 2" xfId="3553"/>
    <cellStyle name="20% - Accent1 11 2 2 2" xfId="26328"/>
    <cellStyle name="20% - Accent1 11 2 3" xfId="24032"/>
    <cellStyle name="20% - Accent1 11 20" xfId="14705"/>
    <cellStyle name="20% - Accent1 11 20 2" xfId="37480"/>
    <cellStyle name="20% - Accent1 11 21" xfId="15361"/>
    <cellStyle name="20% - Accent1 11 21 2" xfId="38136"/>
    <cellStyle name="20% - Accent1 11 22" xfId="16017"/>
    <cellStyle name="20% - Accent1 11 22 2" xfId="38792"/>
    <cellStyle name="20% - Accent1 11 23" xfId="16673"/>
    <cellStyle name="20% - Accent1 11 23 2" xfId="39448"/>
    <cellStyle name="20% - Accent1 11 24" xfId="17329"/>
    <cellStyle name="20% - Accent1 11 24 2" xfId="40104"/>
    <cellStyle name="20% - Accent1 11 25" xfId="17985"/>
    <cellStyle name="20% - Accent1 11 25 2" xfId="40760"/>
    <cellStyle name="20% - Accent1 11 26" xfId="18641"/>
    <cellStyle name="20% - Accent1 11 26 2" xfId="41416"/>
    <cellStyle name="20% - Accent1 11 27" xfId="19297"/>
    <cellStyle name="20% - Accent1 11 27 2" xfId="42072"/>
    <cellStyle name="20% - Accent1 11 28" xfId="19953"/>
    <cellStyle name="20% - Accent1 11 28 2" xfId="42728"/>
    <cellStyle name="20% - Accent1 11 29" xfId="20609"/>
    <cellStyle name="20% - Accent1 11 29 2" xfId="43384"/>
    <cellStyle name="20% - Accent1 11 3" xfId="1913"/>
    <cellStyle name="20% - Accent1 11 3 2" xfId="4209"/>
    <cellStyle name="20% - Accent1 11 3 2 2" xfId="26984"/>
    <cellStyle name="20% - Accent1 11 3 3" xfId="24688"/>
    <cellStyle name="20% - Accent1 11 30" xfId="21265"/>
    <cellStyle name="20% - Accent1 11 30 2" xfId="44040"/>
    <cellStyle name="20% - Accent1 11 31" xfId="21921"/>
    <cellStyle name="20% - Accent1 11 31 2" xfId="44696"/>
    <cellStyle name="20% - Accent1 11 32" xfId="22577"/>
    <cellStyle name="20% - Accent1 11 32 2" xfId="45352"/>
    <cellStyle name="20% - Accent1 11 33" xfId="23376"/>
    <cellStyle name="20% - Accent1 11 4" xfId="4865"/>
    <cellStyle name="20% - Accent1 11 4 2" xfId="27640"/>
    <cellStyle name="20% - Accent1 11 5" xfId="5521"/>
    <cellStyle name="20% - Accent1 11 5 2" xfId="28296"/>
    <cellStyle name="20% - Accent1 11 6" xfId="6177"/>
    <cellStyle name="20% - Accent1 11 6 2" xfId="28952"/>
    <cellStyle name="20% - Accent1 11 7" xfId="2897"/>
    <cellStyle name="20% - Accent1 11 7 2" xfId="25672"/>
    <cellStyle name="20% - Accent1 11 8" xfId="6833"/>
    <cellStyle name="20% - Accent1 11 8 2" xfId="29608"/>
    <cellStyle name="20% - Accent1 11 9" xfId="7489"/>
    <cellStyle name="20% - Accent1 11 9 2" xfId="30264"/>
    <cellStyle name="20% - Accent1 12" xfId="274"/>
    <cellStyle name="20% - Accent1 12 2" xfId="2569"/>
    <cellStyle name="20% - Accent1 12 2 2" xfId="25344"/>
    <cellStyle name="20% - Accent1 12 3" xfId="23048"/>
    <cellStyle name="20% - Accent1 13" xfId="929"/>
    <cellStyle name="20% - Accent1 13 2" xfId="3225"/>
    <cellStyle name="20% - Accent1 13 2 2" xfId="26000"/>
    <cellStyle name="20% - Accent1 13 3" xfId="23704"/>
    <cellStyle name="20% - Accent1 14" xfId="1585"/>
    <cellStyle name="20% - Accent1 14 2" xfId="3881"/>
    <cellStyle name="20% - Accent1 14 2 2" xfId="26656"/>
    <cellStyle name="20% - Accent1 14 3" xfId="24360"/>
    <cellStyle name="20% - Accent1 15" xfId="4537"/>
    <cellStyle name="20% - Accent1 15 2" xfId="27312"/>
    <cellStyle name="20% - Accent1 16" xfId="5193"/>
    <cellStyle name="20% - Accent1 16 2" xfId="27968"/>
    <cellStyle name="20% - Accent1 17" xfId="5849"/>
    <cellStyle name="20% - Accent1 17 2" xfId="28624"/>
    <cellStyle name="20% - Accent1 18" xfId="2241"/>
    <cellStyle name="20% - Accent1 18 2" xfId="25016"/>
    <cellStyle name="20% - Accent1 19" xfId="6505"/>
    <cellStyle name="20% - Accent1 19 2" xfId="29280"/>
    <cellStyle name="20% - Accent1 2" xfId="69"/>
    <cellStyle name="20% - Accent1 2 10" xfId="5865"/>
    <cellStyle name="20% - Accent1 2 10 2" xfId="28640"/>
    <cellStyle name="20% - Accent1 2 11" xfId="2257"/>
    <cellStyle name="20% - Accent1 2 11 2" xfId="25032"/>
    <cellStyle name="20% - Accent1 2 12" xfId="6521"/>
    <cellStyle name="20% - Accent1 2 12 2" xfId="29296"/>
    <cellStyle name="20% - Accent1 2 13" xfId="7177"/>
    <cellStyle name="20% - Accent1 2 13 2" xfId="29952"/>
    <cellStyle name="20% - Accent1 2 14" xfId="7833"/>
    <cellStyle name="20% - Accent1 2 14 2" xfId="30608"/>
    <cellStyle name="20% - Accent1 2 15" xfId="8489"/>
    <cellStyle name="20% - Accent1 2 15 2" xfId="31264"/>
    <cellStyle name="20% - Accent1 2 16" xfId="9145"/>
    <cellStyle name="20% - Accent1 2 16 2" xfId="31920"/>
    <cellStyle name="20% - Accent1 2 17" xfId="9801"/>
    <cellStyle name="20% - Accent1 2 17 2" xfId="32576"/>
    <cellStyle name="20% - Accent1 2 18" xfId="10457"/>
    <cellStyle name="20% - Accent1 2 18 2" xfId="33232"/>
    <cellStyle name="20% - Accent1 2 19" xfId="11113"/>
    <cellStyle name="20% - Accent1 2 19 2" xfId="33888"/>
    <cellStyle name="20% - Accent1 2 2" xfId="145"/>
    <cellStyle name="20% - Accent1 2 2 10" xfId="2343"/>
    <cellStyle name="20% - Accent1 2 2 10 2" xfId="25118"/>
    <cellStyle name="20% - Accent1 2 2 11" xfId="6607"/>
    <cellStyle name="20% - Accent1 2 2 11 2" xfId="29382"/>
    <cellStyle name="20% - Accent1 2 2 12" xfId="7263"/>
    <cellStyle name="20% - Accent1 2 2 12 2" xfId="30038"/>
    <cellStyle name="20% - Accent1 2 2 13" xfId="7919"/>
    <cellStyle name="20% - Accent1 2 2 13 2" xfId="30694"/>
    <cellStyle name="20% - Accent1 2 2 14" xfId="8575"/>
    <cellStyle name="20% - Accent1 2 2 14 2" xfId="31350"/>
    <cellStyle name="20% - Accent1 2 2 15" xfId="9231"/>
    <cellStyle name="20% - Accent1 2 2 15 2" xfId="32006"/>
    <cellStyle name="20% - Accent1 2 2 16" xfId="9887"/>
    <cellStyle name="20% - Accent1 2 2 16 2" xfId="32662"/>
    <cellStyle name="20% - Accent1 2 2 17" xfId="10543"/>
    <cellStyle name="20% - Accent1 2 2 17 2" xfId="33318"/>
    <cellStyle name="20% - Accent1 2 2 18" xfId="11199"/>
    <cellStyle name="20% - Accent1 2 2 18 2" xfId="33974"/>
    <cellStyle name="20% - Accent1 2 2 19" xfId="11855"/>
    <cellStyle name="20% - Accent1 2 2 19 2" xfId="34630"/>
    <cellStyle name="20% - Accent1 2 2 2" xfId="559"/>
    <cellStyle name="20% - Accent1 2 2 2 10" xfId="6792"/>
    <cellStyle name="20% - Accent1 2 2 2 10 2" xfId="29567"/>
    <cellStyle name="20% - Accent1 2 2 2 11" xfId="7448"/>
    <cellStyle name="20% - Accent1 2 2 2 11 2" xfId="30223"/>
    <cellStyle name="20% - Accent1 2 2 2 12" xfId="8104"/>
    <cellStyle name="20% - Accent1 2 2 2 12 2" xfId="30879"/>
    <cellStyle name="20% - Accent1 2 2 2 13" xfId="8760"/>
    <cellStyle name="20% - Accent1 2 2 2 13 2" xfId="31535"/>
    <cellStyle name="20% - Accent1 2 2 2 14" xfId="9416"/>
    <cellStyle name="20% - Accent1 2 2 2 14 2" xfId="32191"/>
    <cellStyle name="20% - Accent1 2 2 2 15" xfId="10072"/>
    <cellStyle name="20% - Accent1 2 2 2 15 2" xfId="32847"/>
    <cellStyle name="20% - Accent1 2 2 2 16" xfId="10728"/>
    <cellStyle name="20% - Accent1 2 2 2 16 2" xfId="33503"/>
    <cellStyle name="20% - Accent1 2 2 2 17" xfId="11384"/>
    <cellStyle name="20% - Accent1 2 2 2 17 2" xfId="34159"/>
    <cellStyle name="20% - Accent1 2 2 2 18" xfId="12040"/>
    <cellStyle name="20% - Accent1 2 2 2 18 2" xfId="34815"/>
    <cellStyle name="20% - Accent1 2 2 2 19" xfId="12696"/>
    <cellStyle name="20% - Accent1 2 2 2 19 2" xfId="35471"/>
    <cellStyle name="20% - Accent1 2 2 2 2" xfId="888"/>
    <cellStyle name="20% - Accent1 2 2 2 2 10" xfId="8432"/>
    <cellStyle name="20% - Accent1 2 2 2 2 10 2" xfId="31207"/>
    <cellStyle name="20% - Accent1 2 2 2 2 11" xfId="9088"/>
    <cellStyle name="20% - Accent1 2 2 2 2 11 2" xfId="31863"/>
    <cellStyle name="20% - Accent1 2 2 2 2 12" xfId="9744"/>
    <cellStyle name="20% - Accent1 2 2 2 2 12 2" xfId="32519"/>
    <cellStyle name="20% - Accent1 2 2 2 2 13" xfId="10400"/>
    <cellStyle name="20% - Accent1 2 2 2 2 13 2" xfId="33175"/>
    <cellStyle name="20% - Accent1 2 2 2 2 14" xfId="11056"/>
    <cellStyle name="20% - Accent1 2 2 2 2 14 2" xfId="33831"/>
    <cellStyle name="20% - Accent1 2 2 2 2 15" xfId="11712"/>
    <cellStyle name="20% - Accent1 2 2 2 2 15 2" xfId="34487"/>
    <cellStyle name="20% - Accent1 2 2 2 2 16" xfId="12368"/>
    <cellStyle name="20% - Accent1 2 2 2 2 16 2" xfId="35143"/>
    <cellStyle name="20% - Accent1 2 2 2 2 17" xfId="13024"/>
    <cellStyle name="20% - Accent1 2 2 2 2 17 2" xfId="35799"/>
    <cellStyle name="20% - Accent1 2 2 2 2 18" xfId="13680"/>
    <cellStyle name="20% - Accent1 2 2 2 2 18 2" xfId="36455"/>
    <cellStyle name="20% - Accent1 2 2 2 2 19" xfId="14336"/>
    <cellStyle name="20% - Accent1 2 2 2 2 19 2" xfId="37111"/>
    <cellStyle name="20% - Accent1 2 2 2 2 2" xfId="1544"/>
    <cellStyle name="20% - Accent1 2 2 2 2 2 2" xfId="3840"/>
    <cellStyle name="20% - Accent1 2 2 2 2 2 2 2" xfId="26615"/>
    <cellStyle name="20% - Accent1 2 2 2 2 2 3" xfId="24319"/>
    <cellStyle name="20% - Accent1 2 2 2 2 20" xfId="14992"/>
    <cellStyle name="20% - Accent1 2 2 2 2 20 2" xfId="37767"/>
    <cellStyle name="20% - Accent1 2 2 2 2 21" xfId="15648"/>
    <cellStyle name="20% - Accent1 2 2 2 2 21 2" xfId="38423"/>
    <cellStyle name="20% - Accent1 2 2 2 2 22" xfId="16304"/>
    <cellStyle name="20% - Accent1 2 2 2 2 22 2" xfId="39079"/>
    <cellStyle name="20% - Accent1 2 2 2 2 23" xfId="16960"/>
    <cellStyle name="20% - Accent1 2 2 2 2 23 2" xfId="39735"/>
    <cellStyle name="20% - Accent1 2 2 2 2 24" xfId="17616"/>
    <cellStyle name="20% - Accent1 2 2 2 2 24 2" xfId="40391"/>
    <cellStyle name="20% - Accent1 2 2 2 2 25" xfId="18272"/>
    <cellStyle name="20% - Accent1 2 2 2 2 25 2" xfId="41047"/>
    <cellStyle name="20% - Accent1 2 2 2 2 26" xfId="18928"/>
    <cellStyle name="20% - Accent1 2 2 2 2 26 2" xfId="41703"/>
    <cellStyle name="20% - Accent1 2 2 2 2 27" xfId="19584"/>
    <cellStyle name="20% - Accent1 2 2 2 2 27 2" xfId="42359"/>
    <cellStyle name="20% - Accent1 2 2 2 2 28" xfId="20240"/>
    <cellStyle name="20% - Accent1 2 2 2 2 28 2" xfId="43015"/>
    <cellStyle name="20% - Accent1 2 2 2 2 29" xfId="20896"/>
    <cellStyle name="20% - Accent1 2 2 2 2 29 2" xfId="43671"/>
    <cellStyle name="20% - Accent1 2 2 2 2 3" xfId="2200"/>
    <cellStyle name="20% - Accent1 2 2 2 2 3 2" xfId="4496"/>
    <cellStyle name="20% - Accent1 2 2 2 2 3 2 2" xfId="27271"/>
    <cellStyle name="20% - Accent1 2 2 2 2 3 3" xfId="24975"/>
    <cellStyle name="20% - Accent1 2 2 2 2 30" xfId="21552"/>
    <cellStyle name="20% - Accent1 2 2 2 2 30 2" xfId="44327"/>
    <cellStyle name="20% - Accent1 2 2 2 2 31" xfId="22208"/>
    <cellStyle name="20% - Accent1 2 2 2 2 31 2" xfId="44983"/>
    <cellStyle name="20% - Accent1 2 2 2 2 32" xfId="22864"/>
    <cellStyle name="20% - Accent1 2 2 2 2 32 2" xfId="45639"/>
    <cellStyle name="20% - Accent1 2 2 2 2 33" xfId="23663"/>
    <cellStyle name="20% - Accent1 2 2 2 2 4" xfId="5152"/>
    <cellStyle name="20% - Accent1 2 2 2 2 4 2" xfId="27927"/>
    <cellStyle name="20% - Accent1 2 2 2 2 5" xfId="5808"/>
    <cellStyle name="20% - Accent1 2 2 2 2 5 2" xfId="28583"/>
    <cellStyle name="20% - Accent1 2 2 2 2 6" xfId="6464"/>
    <cellStyle name="20% - Accent1 2 2 2 2 6 2" xfId="29239"/>
    <cellStyle name="20% - Accent1 2 2 2 2 7" xfId="3184"/>
    <cellStyle name="20% - Accent1 2 2 2 2 7 2" xfId="25959"/>
    <cellStyle name="20% - Accent1 2 2 2 2 8" xfId="7120"/>
    <cellStyle name="20% - Accent1 2 2 2 2 8 2" xfId="29895"/>
    <cellStyle name="20% - Accent1 2 2 2 2 9" xfId="7776"/>
    <cellStyle name="20% - Accent1 2 2 2 2 9 2" xfId="30551"/>
    <cellStyle name="20% - Accent1 2 2 2 20" xfId="13352"/>
    <cellStyle name="20% - Accent1 2 2 2 20 2" xfId="36127"/>
    <cellStyle name="20% - Accent1 2 2 2 21" xfId="14008"/>
    <cellStyle name="20% - Accent1 2 2 2 21 2" xfId="36783"/>
    <cellStyle name="20% - Accent1 2 2 2 22" xfId="14664"/>
    <cellStyle name="20% - Accent1 2 2 2 22 2" xfId="37439"/>
    <cellStyle name="20% - Accent1 2 2 2 23" xfId="15320"/>
    <cellStyle name="20% - Accent1 2 2 2 23 2" xfId="38095"/>
    <cellStyle name="20% - Accent1 2 2 2 24" xfId="15976"/>
    <cellStyle name="20% - Accent1 2 2 2 24 2" xfId="38751"/>
    <cellStyle name="20% - Accent1 2 2 2 25" xfId="16632"/>
    <cellStyle name="20% - Accent1 2 2 2 25 2" xfId="39407"/>
    <cellStyle name="20% - Accent1 2 2 2 26" xfId="17288"/>
    <cellStyle name="20% - Accent1 2 2 2 26 2" xfId="40063"/>
    <cellStyle name="20% - Accent1 2 2 2 27" xfId="17944"/>
    <cellStyle name="20% - Accent1 2 2 2 27 2" xfId="40719"/>
    <cellStyle name="20% - Accent1 2 2 2 28" xfId="18600"/>
    <cellStyle name="20% - Accent1 2 2 2 28 2" xfId="41375"/>
    <cellStyle name="20% - Accent1 2 2 2 29" xfId="19256"/>
    <cellStyle name="20% - Accent1 2 2 2 29 2" xfId="42031"/>
    <cellStyle name="20% - Accent1 2 2 2 3" xfId="1216"/>
    <cellStyle name="20% - Accent1 2 2 2 3 2" xfId="2856"/>
    <cellStyle name="20% - Accent1 2 2 2 3 2 2" xfId="25631"/>
    <cellStyle name="20% - Accent1 2 2 2 3 3" xfId="23991"/>
    <cellStyle name="20% - Accent1 2 2 2 30" xfId="19912"/>
    <cellStyle name="20% - Accent1 2 2 2 30 2" xfId="42687"/>
    <cellStyle name="20% - Accent1 2 2 2 31" xfId="20568"/>
    <cellStyle name="20% - Accent1 2 2 2 31 2" xfId="43343"/>
    <cellStyle name="20% - Accent1 2 2 2 32" xfId="21224"/>
    <cellStyle name="20% - Accent1 2 2 2 32 2" xfId="43999"/>
    <cellStyle name="20% - Accent1 2 2 2 33" xfId="21880"/>
    <cellStyle name="20% - Accent1 2 2 2 33 2" xfId="44655"/>
    <cellStyle name="20% - Accent1 2 2 2 34" xfId="22536"/>
    <cellStyle name="20% - Accent1 2 2 2 34 2" xfId="45311"/>
    <cellStyle name="20% - Accent1 2 2 2 35" xfId="23335"/>
    <cellStyle name="20% - Accent1 2 2 2 4" xfId="1872"/>
    <cellStyle name="20% - Accent1 2 2 2 4 2" xfId="3512"/>
    <cellStyle name="20% - Accent1 2 2 2 4 2 2" xfId="26287"/>
    <cellStyle name="20% - Accent1 2 2 2 4 3" xfId="24647"/>
    <cellStyle name="20% - Accent1 2 2 2 5" xfId="4168"/>
    <cellStyle name="20% - Accent1 2 2 2 5 2" xfId="26943"/>
    <cellStyle name="20% - Accent1 2 2 2 6" xfId="4824"/>
    <cellStyle name="20% - Accent1 2 2 2 6 2" xfId="27599"/>
    <cellStyle name="20% - Accent1 2 2 2 7" xfId="5480"/>
    <cellStyle name="20% - Accent1 2 2 2 7 2" xfId="28255"/>
    <cellStyle name="20% - Accent1 2 2 2 8" xfId="6136"/>
    <cellStyle name="20% - Accent1 2 2 2 8 2" xfId="28911"/>
    <cellStyle name="20% - Accent1 2 2 2 9" xfId="2528"/>
    <cellStyle name="20% - Accent1 2 2 2 9 2" xfId="25303"/>
    <cellStyle name="20% - Accent1 2 2 20" xfId="12511"/>
    <cellStyle name="20% - Accent1 2 2 20 2" xfId="35286"/>
    <cellStyle name="20% - Accent1 2 2 21" xfId="13167"/>
    <cellStyle name="20% - Accent1 2 2 21 2" xfId="35942"/>
    <cellStyle name="20% - Accent1 2 2 22" xfId="13823"/>
    <cellStyle name="20% - Accent1 2 2 22 2" xfId="36598"/>
    <cellStyle name="20% - Accent1 2 2 23" xfId="14479"/>
    <cellStyle name="20% - Accent1 2 2 23 2" xfId="37254"/>
    <cellStyle name="20% - Accent1 2 2 24" xfId="15135"/>
    <cellStyle name="20% - Accent1 2 2 24 2" xfId="37910"/>
    <cellStyle name="20% - Accent1 2 2 25" xfId="15791"/>
    <cellStyle name="20% - Accent1 2 2 25 2" xfId="38566"/>
    <cellStyle name="20% - Accent1 2 2 26" xfId="16447"/>
    <cellStyle name="20% - Accent1 2 2 26 2" xfId="39222"/>
    <cellStyle name="20% - Accent1 2 2 27" xfId="17103"/>
    <cellStyle name="20% - Accent1 2 2 27 2" xfId="39878"/>
    <cellStyle name="20% - Accent1 2 2 28" xfId="17759"/>
    <cellStyle name="20% - Accent1 2 2 28 2" xfId="40534"/>
    <cellStyle name="20% - Accent1 2 2 29" xfId="18415"/>
    <cellStyle name="20% - Accent1 2 2 29 2" xfId="41190"/>
    <cellStyle name="20% - Accent1 2 2 3" xfId="703"/>
    <cellStyle name="20% - Accent1 2 2 3 10" xfId="8247"/>
    <cellStyle name="20% - Accent1 2 2 3 10 2" xfId="31022"/>
    <cellStyle name="20% - Accent1 2 2 3 11" xfId="8903"/>
    <cellStyle name="20% - Accent1 2 2 3 11 2" xfId="31678"/>
    <cellStyle name="20% - Accent1 2 2 3 12" xfId="9559"/>
    <cellStyle name="20% - Accent1 2 2 3 12 2" xfId="32334"/>
    <cellStyle name="20% - Accent1 2 2 3 13" xfId="10215"/>
    <cellStyle name="20% - Accent1 2 2 3 13 2" xfId="32990"/>
    <cellStyle name="20% - Accent1 2 2 3 14" xfId="10871"/>
    <cellStyle name="20% - Accent1 2 2 3 14 2" xfId="33646"/>
    <cellStyle name="20% - Accent1 2 2 3 15" xfId="11527"/>
    <cellStyle name="20% - Accent1 2 2 3 15 2" xfId="34302"/>
    <cellStyle name="20% - Accent1 2 2 3 16" xfId="12183"/>
    <cellStyle name="20% - Accent1 2 2 3 16 2" xfId="34958"/>
    <cellStyle name="20% - Accent1 2 2 3 17" xfId="12839"/>
    <cellStyle name="20% - Accent1 2 2 3 17 2" xfId="35614"/>
    <cellStyle name="20% - Accent1 2 2 3 18" xfId="13495"/>
    <cellStyle name="20% - Accent1 2 2 3 18 2" xfId="36270"/>
    <cellStyle name="20% - Accent1 2 2 3 19" xfId="14151"/>
    <cellStyle name="20% - Accent1 2 2 3 19 2" xfId="36926"/>
    <cellStyle name="20% - Accent1 2 2 3 2" xfId="1359"/>
    <cellStyle name="20% - Accent1 2 2 3 2 2" xfId="3655"/>
    <cellStyle name="20% - Accent1 2 2 3 2 2 2" xfId="26430"/>
    <cellStyle name="20% - Accent1 2 2 3 2 3" xfId="24134"/>
    <cellStyle name="20% - Accent1 2 2 3 20" xfId="14807"/>
    <cellStyle name="20% - Accent1 2 2 3 20 2" xfId="37582"/>
    <cellStyle name="20% - Accent1 2 2 3 21" xfId="15463"/>
    <cellStyle name="20% - Accent1 2 2 3 21 2" xfId="38238"/>
    <cellStyle name="20% - Accent1 2 2 3 22" xfId="16119"/>
    <cellStyle name="20% - Accent1 2 2 3 22 2" xfId="38894"/>
    <cellStyle name="20% - Accent1 2 2 3 23" xfId="16775"/>
    <cellStyle name="20% - Accent1 2 2 3 23 2" xfId="39550"/>
    <cellStyle name="20% - Accent1 2 2 3 24" xfId="17431"/>
    <cellStyle name="20% - Accent1 2 2 3 24 2" xfId="40206"/>
    <cellStyle name="20% - Accent1 2 2 3 25" xfId="18087"/>
    <cellStyle name="20% - Accent1 2 2 3 25 2" xfId="40862"/>
    <cellStyle name="20% - Accent1 2 2 3 26" xfId="18743"/>
    <cellStyle name="20% - Accent1 2 2 3 26 2" xfId="41518"/>
    <cellStyle name="20% - Accent1 2 2 3 27" xfId="19399"/>
    <cellStyle name="20% - Accent1 2 2 3 27 2" xfId="42174"/>
    <cellStyle name="20% - Accent1 2 2 3 28" xfId="20055"/>
    <cellStyle name="20% - Accent1 2 2 3 28 2" xfId="42830"/>
    <cellStyle name="20% - Accent1 2 2 3 29" xfId="20711"/>
    <cellStyle name="20% - Accent1 2 2 3 29 2" xfId="43486"/>
    <cellStyle name="20% - Accent1 2 2 3 3" xfId="2015"/>
    <cellStyle name="20% - Accent1 2 2 3 3 2" xfId="4311"/>
    <cellStyle name="20% - Accent1 2 2 3 3 2 2" xfId="27086"/>
    <cellStyle name="20% - Accent1 2 2 3 3 3" xfId="24790"/>
    <cellStyle name="20% - Accent1 2 2 3 30" xfId="21367"/>
    <cellStyle name="20% - Accent1 2 2 3 30 2" xfId="44142"/>
    <cellStyle name="20% - Accent1 2 2 3 31" xfId="22023"/>
    <cellStyle name="20% - Accent1 2 2 3 31 2" xfId="44798"/>
    <cellStyle name="20% - Accent1 2 2 3 32" xfId="22679"/>
    <cellStyle name="20% - Accent1 2 2 3 32 2" xfId="45454"/>
    <cellStyle name="20% - Accent1 2 2 3 33" xfId="23478"/>
    <cellStyle name="20% - Accent1 2 2 3 4" xfId="4967"/>
    <cellStyle name="20% - Accent1 2 2 3 4 2" xfId="27742"/>
    <cellStyle name="20% - Accent1 2 2 3 5" xfId="5623"/>
    <cellStyle name="20% - Accent1 2 2 3 5 2" xfId="28398"/>
    <cellStyle name="20% - Accent1 2 2 3 6" xfId="6279"/>
    <cellStyle name="20% - Accent1 2 2 3 6 2" xfId="29054"/>
    <cellStyle name="20% - Accent1 2 2 3 7" xfId="2999"/>
    <cellStyle name="20% - Accent1 2 2 3 7 2" xfId="25774"/>
    <cellStyle name="20% - Accent1 2 2 3 8" xfId="6935"/>
    <cellStyle name="20% - Accent1 2 2 3 8 2" xfId="29710"/>
    <cellStyle name="20% - Accent1 2 2 3 9" xfId="7591"/>
    <cellStyle name="20% - Accent1 2 2 3 9 2" xfId="30366"/>
    <cellStyle name="20% - Accent1 2 2 30" xfId="19071"/>
    <cellStyle name="20% - Accent1 2 2 30 2" xfId="41846"/>
    <cellStyle name="20% - Accent1 2 2 31" xfId="19727"/>
    <cellStyle name="20% - Accent1 2 2 31 2" xfId="42502"/>
    <cellStyle name="20% - Accent1 2 2 32" xfId="20383"/>
    <cellStyle name="20% - Accent1 2 2 32 2" xfId="43158"/>
    <cellStyle name="20% - Accent1 2 2 33" xfId="21039"/>
    <cellStyle name="20% - Accent1 2 2 33 2" xfId="43814"/>
    <cellStyle name="20% - Accent1 2 2 34" xfId="21695"/>
    <cellStyle name="20% - Accent1 2 2 34 2" xfId="44470"/>
    <cellStyle name="20% - Accent1 2 2 35" xfId="22351"/>
    <cellStyle name="20% - Accent1 2 2 35 2" xfId="45126"/>
    <cellStyle name="20% - Accent1 2 2 36" xfId="23007"/>
    <cellStyle name="20% - Accent1 2 2 4" xfId="376"/>
    <cellStyle name="20% - Accent1 2 2 4 2" xfId="2671"/>
    <cellStyle name="20% - Accent1 2 2 4 2 2" xfId="25446"/>
    <cellStyle name="20% - Accent1 2 2 4 3" xfId="23150"/>
    <cellStyle name="20% - Accent1 2 2 5" xfId="1031"/>
    <cellStyle name="20% - Accent1 2 2 5 2" xfId="3327"/>
    <cellStyle name="20% - Accent1 2 2 5 2 2" xfId="26102"/>
    <cellStyle name="20% - Accent1 2 2 5 3" xfId="23806"/>
    <cellStyle name="20% - Accent1 2 2 6" xfId="1687"/>
    <cellStyle name="20% - Accent1 2 2 6 2" xfId="3983"/>
    <cellStyle name="20% - Accent1 2 2 6 2 2" xfId="26758"/>
    <cellStyle name="20% - Accent1 2 2 6 3" xfId="24462"/>
    <cellStyle name="20% - Accent1 2 2 7" xfId="4639"/>
    <cellStyle name="20% - Accent1 2 2 7 2" xfId="27414"/>
    <cellStyle name="20% - Accent1 2 2 8" xfId="5295"/>
    <cellStyle name="20% - Accent1 2 2 8 2" xfId="28070"/>
    <cellStyle name="20% - Accent1 2 2 9" xfId="5951"/>
    <cellStyle name="20% - Accent1 2 2 9 2" xfId="28726"/>
    <cellStyle name="20% - Accent1 2 20" xfId="11769"/>
    <cellStyle name="20% - Accent1 2 20 2" xfId="34544"/>
    <cellStyle name="20% - Accent1 2 21" xfId="12425"/>
    <cellStyle name="20% - Accent1 2 21 2" xfId="35200"/>
    <cellStyle name="20% - Accent1 2 22" xfId="13081"/>
    <cellStyle name="20% - Accent1 2 22 2" xfId="35856"/>
    <cellStyle name="20% - Accent1 2 23" xfId="13737"/>
    <cellStyle name="20% - Accent1 2 23 2" xfId="36512"/>
    <cellStyle name="20% - Accent1 2 24" xfId="14393"/>
    <cellStyle name="20% - Accent1 2 24 2" xfId="37168"/>
    <cellStyle name="20% - Accent1 2 25" xfId="15049"/>
    <cellStyle name="20% - Accent1 2 25 2" xfId="37824"/>
    <cellStyle name="20% - Accent1 2 26" xfId="15705"/>
    <cellStyle name="20% - Accent1 2 26 2" xfId="38480"/>
    <cellStyle name="20% - Accent1 2 27" xfId="16361"/>
    <cellStyle name="20% - Accent1 2 27 2" xfId="39136"/>
    <cellStyle name="20% - Accent1 2 28" xfId="17017"/>
    <cellStyle name="20% - Accent1 2 28 2" xfId="39792"/>
    <cellStyle name="20% - Accent1 2 29" xfId="17673"/>
    <cellStyle name="20% - Accent1 2 29 2" xfId="40448"/>
    <cellStyle name="20% - Accent1 2 3" xfId="475"/>
    <cellStyle name="20% - Accent1 2 3 10" xfId="6706"/>
    <cellStyle name="20% - Accent1 2 3 10 2" xfId="29481"/>
    <cellStyle name="20% - Accent1 2 3 11" xfId="7362"/>
    <cellStyle name="20% - Accent1 2 3 11 2" xfId="30137"/>
    <cellStyle name="20% - Accent1 2 3 12" xfId="8018"/>
    <cellStyle name="20% - Accent1 2 3 12 2" xfId="30793"/>
    <cellStyle name="20% - Accent1 2 3 13" xfId="8674"/>
    <cellStyle name="20% - Accent1 2 3 13 2" xfId="31449"/>
    <cellStyle name="20% - Accent1 2 3 14" xfId="9330"/>
    <cellStyle name="20% - Accent1 2 3 14 2" xfId="32105"/>
    <cellStyle name="20% - Accent1 2 3 15" xfId="9986"/>
    <cellStyle name="20% - Accent1 2 3 15 2" xfId="32761"/>
    <cellStyle name="20% - Accent1 2 3 16" xfId="10642"/>
    <cellStyle name="20% - Accent1 2 3 16 2" xfId="33417"/>
    <cellStyle name="20% - Accent1 2 3 17" xfId="11298"/>
    <cellStyle name="20% - Accent1 2 3 17 2" xfId="34073"/>
    <cellStyle name="20% - Accent1 2 3 18" xfId="11954"/>
    <cellStyle name="20% - Accent1 2 3 18 2" xfId="34729"/>
    <cellStyle name="20% - Accent1 2 3 19" xfId="12610"/>
    <cellStyle name="20% - Accent1 2 3 19 2" xfId="35385"/>
    <cellStyle name="20% - Accent1 2 3 2" xfId="802"/>
    <cellStyle name="20% - Accent1 2 3 2 10" xfId="8346"/>
    <cellStyle name="20% - Accent1 2 3 2 10 2" xfId="31121"/>
    <cellStyle name="20% - Accent1 2 3 2 11" xfId="9002"/>
    <cellStyle name="20% - Accent1 2 3 2 11 2" xfId="31777"/>
    <cellStyle name="20% - Accent1 2 3 2 12" xfId="9658"/>
    <cellStyle name="20% - Accent1 2 3 2 12 2" xfId="32433"/>
    <cellStyle name="20% - Accent1 2 3 2 13" xfId="10314"/>
    <cellStyle name="20% - Accent1 2 3 2 13 2" xfId="33089"/>
    <cellStyle name="20% - Accent1 2 3 2 14" xfId="10970"/>
    <cellStyle name="20% - Accent1 2 3 2 14 2" xfId="33745"/>
    <cellStyle name="20% - Accent1 2 3 2 15" xfId="11626"/>
    <cellStyle name="20% - Accent1 2 3 2 15 2" xfId="34401"/>
    <cellStyle name="20% - Accent1 2 3 2 16" xfId="12282"/>
    <cellStyle name="20% - Accent1 2 3 2 16 2" xfId="35057"/>
    <cellStyle name="20% - Accent1 2 3 2 17" xfId="12938"/>
    <cellStyle name="20% - Accent1 2 3 2 17 2" xfId="35713"/>
    <cellStyle name="20% - Accent1 2 3 2 18" xfId="13594"/>
    <cellStyle name="20% - Accent1 2 3 2 18 2" xfId="36369"/>
    <cellStyle name="20% - Accent1 2 3 2 19" xfId="14250"/>
    <cellStyle name="20% - Accent1 2 3 2 19 2" xfId="37025"/>
    <cellStyle name="20% - Accent1 2 3 2 2" xfId="1458"/>
    <cellStyle name="20% - Accent1 2 3 2 2 2" xfId="3754"/>
    <cellStyle name="20% - Accent1 2 3 2 2 2 2" xfId="26529"/>
    <cellStyle name="20% - Accent1 2 3 2 2 3" xfId="24233"/>
    <cellStyle name="20% - Accent1 2 3 2 20" xfId="14906"/>
    <cellStyle name="20% - Accent1 2 3 2 20 2" xfId="37681"/>
    <cellStyle name="20% - Accent1 2 3 2 21" xfId="15562"/>
    <cellStyle name="20% - Accent1 2 3 2 21 2" xfId="38337"/>
    <cellStyle name="20% - Accent1 2 3 2 22" xfId="16218"/>
    <cellStyle name="20% - Accent1 2 3 2 22 2" xfId="38993"/>
    <cellStyle name="20% - Accent1 2 3 2 23" xfId="16874"/>
    <cellStyle name="20% - Accent1 2 3 2 23 2" xfId="39649"/>
    <cellStyle name="20% - Accent1 2 3 2 24" xfId="17530"/>
    <cellStyle name="20% - Accent1 2 3 2 24 2" xfId="40305"/>
    <cellStyle name="20% - Accent1 2 3 2 25" xfId="18186"/>
    <cellStyle name="20% - Accent1 2 3 2 25 2" xfId="40961"/>
    <cellStyle name="20% - Accent1 2 3 2 26" xfId="18842"/>
    <cellStyle name="20% - Accent1 2 3 2 26 2" xfId="41617"/>
    <cellStyle name="20% - Accent1 2 3 2 27" xfId="19498"/>
    <cellStyle name="20% - Accent1 2 3 2 27 2" xfId="42273"/>
    <cellStyle name="20% - Accent1 2 3 2 28" xfId="20154"/>
    <cellStyle name="20% - Accent1 2 3 2 28 2" xfId="42929"/>
    <cellStyle name="20% - Accent1 2 3 2 29" xfId="20810"/>
    <cellStyle name="20% - Accent1 2 3 2 29 2" xfId="43585"/>
    <cellStyle name="20% - Accent1 2 3 2 3" xfId="2114"/>
    <cellStyle name="20% - Accent1 2 3 2 3 2" xfId="4410"/>
    <cellStyle name="20% - Accent1 2 3 2 3 2 2" xfId="27185"/>
    <cellStyle name="20% - Accent1 2 3 2 3 3" xfId="24889"/>
    <cellStyle name="20% - Accent1 2 3 2 30" xfId="21466"/>
    <cellStyle name="20% - Accent1 2 3 2 30 2" xfId="44241"/>
    <cellStyle name="20% - Accent1 2 3 2 31" xfId="22122"/>
    <cellStyle name="20% - Accent1 2 3 2 31 2" xfId="44897"/>
    <cellStyle name="20% - Accent1 2 3 2 32" xfId="22778"/>
    <cellStyle name="20% - Accent1 2 3 2 32 2" xfId="45553"/>
    <cellStyle name="20% - Accent1 2 3 2 33" xfId="23577"/>
    <cellStyle name="20% - Accent1 2 3 2 4" xfId="5066"/>
    <cellStyle name="20% - Accent1 2 3 2 4 2" xfId="27841"/>
    <cellStyle name="20% - Accent1 2 3 2 5" xfId="5722"/>
    <cellStyle name="20% - Accent1 2 3 2 5 2" xfId="28497"/>
    <cellStyle name="20% - Accent1 2 3 2 6" xfId="6378"/>
    <cellStyle name="20% - Accent1 2 3 2 6 2" xfId="29153"/>
    <cellStyle name="20% - Accent1 2 3 2 7" xfId="3098"/>
    <cellStyle name="20% - Accent1 2 3 2 7 2" xfId="25873"/>
    <cellStyle name="20% - Accent1 2 3 2 8" xfId="7034"/>
    <cellStyle name="20% - Accent1 2 3 2 8 2" xfId="29809"/>
    <cellStyle name="20% - Accent1 2 3 2 9" xfId="7690"/>
    <cellStyle name="20% - Accent1 2 3 2 9 2" xfId="30465"/>
    <cellStyle name="20% - Accent1 2 3 20" xfId="13266"/>
    <cellStyle name="20% - Accent1 2 3 20 2" xfId="36041"/>
    <cellStyle name="20% - Accent1 2 3 21" xfId="13922"/>
    <cellStyle name="20% - Accent1 2 3 21 2" xfId="36697"/>
    <cellStyle name="20% - Accent1 2 3 22" xfId="14578"/>
    <cellStyle name="20% - Accent1 2 3 22 2" xfId="37353"/>
    <cellStyle name="20% - Accent1 2 3 23" xfId="15234"/>
    <cellStyle name="20% - Accent1 2 3 23 2" xfId="38009"/>
    <cellStyle name="20% - Accent1 2 3 24" xfId="15890"/>
    <cellStyle name="20% - Accent1 2 3 24 2" xfId="38665"/>
    <cellStyle name="20% - Accent1 2 3 25" xfId="16546"/>
    <cellStyle name="20% - Accent1 2 3 25 2" xfId="39321"/>
    <cellStyle name="20% - Accent1 2 3 26" xfId="17202"/>
    <cellStyle name="20% - Accent1 2 3 26 2" xfId="39977"/>
    <cellStyle name="20% - Accent1 2 3 27" xfId="17858"/>
    <cellStyle name="20% - Accent1 2 3 27 2" xfId="40633"/>
    <cellStyle name="20% - Accent1 2 3 28" xfId="18514"/>
    <cellStyle name="20% - Accent1 2 3 28 2" xfId="41289"/>
    <cellStyle name="20% - Accent1 2 3 29" xfId="19170"/>
    <cellStyle name="20% - Accent1 2 3 29 2" xfId="41945"/>
    <cellStyle name="20% - Accent1 2 3 3" xfId="1130"/>
    <cellStyle name="20% - Accent1 2 3 3 2" xfId="2770"/>
    <cellStyle name="20% - Accent1 2 3 3 2 2" xfId="25545"/>
    <cellStyle name="20% - Accent1 2 3 3 3" xfId="23905"/>
    <cellStyle name="20% - Accent1 2 3 30" xfId="19826"/>
    <cellStyle name="20% - Accent1 2 3 30 2" xfId="42601"/>
    <cellStyle name="20% - Accent1 2 3 31" xfId="20482"/>
    <cellStyle name="20% - Accent1 2 3 31 2" xfId="43257"/>
    <cellStyle name="20% - Accent1 2 3 32" xfId="21138"/>
    <cellStyle name="20% - Accent1 2 3 32 2" xfId="43913"/>
    <cellStyle name="20% - Accent1 2 3 33" xfId="21794"/>
    <cellStyle name="20% - Accent1 2 3 33 2" xfId="44569"/>
    <cellStyle name="20% - Accent1 2 3 34" xfId="22450"/>
    <cellStyle name="20% - Accent1 2 3 34 2" xfId="45225"/>
    <cellStyle name="20% - Accent1 2 3 35" xfId="23249"/>
    <cellStyle name="20% - Accent1 2 3 4" xfId="1786"/>
    <cellStyle name="20% - Accent1 2 3 4 2" xfId="3426"/>
    <cellStyle name="20% - Accent1 2 3 4 2 2" xfId="26201"/>
    <cellStyle name="20% - Accent1 2 3 4 3" xfId="24561"/>
    <cellStyle name="20% - Accent1 2 3 5" xfId="4082"/>
    <cellStyle name="20% - Accent1 2 3 5 2" xfId="26857"/>
    <cellStyle name="20% - Accent1 2 3 6" xfId="4738"/>
    <cellStyle name="20% - Accent1 2 3 6 2" xfId="27513"/>
    <cellStyle name="20% - Accent1 2 3 7" xfId="5394"/>
    <cellStyle name="20% - Accent1 2 3 7 2" xfId="28169"/>
    <cellStyle name="20% - Accent1 2 3 8" xfId="6050"/>
    <cellStyle name="20% - Accent1 2 3 8 2" xfId="28825"/>
    <cellStyle name="20% - Accent1 2 3 9" xfId="2442"/>
    <cellStyle name="20% - Accent1 2 3 9 2" xfId="25217"/>
    <cellStyle name="20% - Accent1 2 30" xfId="18329"/>
    <cellStyle name="20% - Accent1 2 30 2" xfId="41104"/>
    <cellStyle name="20% - Accent1 2 31" xfId="18985"/>
    <cellStyle name="20% - Accent1 2 31 2" xfId="41760"/>
    <cellStyle name="20% - Accent1 2 32" xfId="19641"/>
    <cellStyle name="20% - Accent1 2 32 2" xfId="42416"/>
    <cellStyle name="20% - Accent1 2 33" xfId="20297"/>
    <cellStyle name="20% - Accent1 2 33 2" xfId="43072"/>
    <cellStyle name="20% - Accent1 2 34" xfId="20953"/>
    <cellStyle name="20% - Accent1 2 34 2" xfId="43728"/>
    <cellStyle name="20% - Accent1 2 35" xfId="21609"/>
    <cellStyle name="20% - Accent1 2 35 2" xfId="44384"/>
    <cellStyle name="20% - Accent1 2 36" xfId="22265"/>
    <cellStyle name="20% - Accent1 2 36 2" xfId="45040"/>
    <cellStyle name="20% - Accent1 2 37" xfId="204"/>
    <cellStyle name="20% - Accent1 2 38" xfId="22921"/>
    <cellStyle name="20% - Accent1 2 4" xfId="617"/>
    <cellStyle name="20% - Accent1 2 4 10" xfId="8161"/>
    <cellStyle name="20% - Accent1 2 4 10 2" xfId="30936"/>
    <cellStyle name="20% - Accent1 2 4 11" xfId="8817"/>
    <cellStyle name="20% - Accent1 2 4 11 2" xfId="31592"/>
    <cellStyle name="20% - Accent1 2 4 12" xfId="9473"/>
    <cellStyle name="20% - Accent1 2 4 12 2" xfId="32248"/>
    <cellStyle name="20% - Accent1 2 4 13" xfId="10129"/>
    <cellStyle name="20% - Accent1 2 4 13 2" xfId="32904"/>
    <cellStyle name="20% - Accent1 2 4 14" xfId="10785"/>
    <cellStyle name="20% - Accent1 2 4 14 2" xfId="33560"/>
    <cellStyle name="20% - Accent1 2 4 15" xfId="11441"/>
    <cellStyle name="20% - Accent1 2 4 15 2" xfId="34216"/>
    <cellStyle name="20% - Accent1 2 4 16" xfId="12097"/>
    <cellStyle name="20% - Accent1 2 4 16 2" xfId="34872"/>
    <cellStyle name="20% - Accent1 2 4 17" xfId="12753"/>
    <cellStyle name="20% - Accent1 2 4 17 2" xfId="35528"/>
    <cellStyle name="20% - Accent1 2 4 18" xfId="13409"/>
    <cellStyle name="20% - Accent1 2 4 18 2" xfId="36184"/>
    <cellStyle name="20% - Accent1 2 4 19" xfId="14065"/>
    <cellStyle name="20% - Accent1 2 4 19 2" xfId="36840"/>
    <cellStyle name="20% - Accent1 2 4 2" xfId="1273"/>
    <cellStyle name="20% - Accent1 2 4 2 2" xfId="3569"/>
    <cellStyle name="20% - Accent1 2 4 2 2 2" xfId="26344"/>
    <cellStyle name="20% - Accent1 2 4 2 3" xfId="24048"/>
    <cellStyle name="20% - Accent1 2 4 20" xfId="14721"/>
    <cellStyle name="20% - Accent1 2 4 20 2" xfId="37496"/>
    <cellStyle name="20% - Accent1 2 4 21" xfId="15377"/>
    <cellStyle name="20% - Accent1 2 4 21 2" xfId="38152"/>
    <cellStyle name="20% - Accent1 2 4 22" xfId="16033"/>
    <cellStyle name="20% - Accent1 2 4 22 2" xfId="38808"/>
    <cellStyle name="20% - Accent1 2 4 23" xfId="16689"/>
    <cellStyle name="20% - Accent1 2 4 23 2" xfId="39464"/>
    <cellStyle name="20% - Accent1 2 4 24" xfId="17345"/>
    <cellStyle name="20% - Accent1 2 4 24 2" xfId="40120"/>
    <cellStyle name="20% - Accent1 2 4 25" xfId="18001"/>
    <cellStyle name="20% - Accent1 2 4 25 2" xfId="40776"/>
    <cellStyle name="20% - Accent1 2 4 26" xfId="18657"/>
    <cellStyle name="20% - Accent1 2 4 26 2" xfId="41432"/>
    <cellStyle name="20% - Accent1 2 4 27" xfId="19313"/>
    <cellStyle name="20% - Accent1 2 4 27 2" xfId="42088"/>
    <cellStyle name="20% - Accent1 2 4 28" xfId="19969"/>
    <cellStyle name="20% - Accent1 2 4 28 2" xfId="42744"/>
    <cellStyle name="20% - Accent1 2 4 29" xfId="20625"/>
    <cellStyle name="20% - Accent1 2 4 29 2" xfId="43400"/>
    <cellStyle name="20% - Accent1 2 4 3" xfId="1929"/>
    <cellStyle name="20% - Accent1 2 4 3 2" xfId="4225"/>
    <cellStyle name="20% - Accent1 2 4 3 2 2" xfId="27000"/>
    <cellStyle name="20% - Accent1 2 4 3 3" xfId="24704"/>
    <cellStyle name="20% - Accent1 2 4 30" xfId="21281"/>
    <cellStyle name="20% - Accent1 2 4 30 2" xfId="44056"/>
    <cellStyle name="20% - Accent1 2 4 31" xfId="21937"/>
    <cellStyle name="20% - Accent1 2 4 31 2" xfId="44712"/>
    <cellStyle name="20% - Accent1 2 4 32" xfId="22593"/>
    <cellStyle name="20% - Accent1 2 4 32 2" xfId="45368"/>
    <cellStyle name="20% - Accent1 2 4 33" xfId="23392"/>
    <cellStyle name="20% - Accent1 2 4 4" xfId="4881"/>
    <cellStyle name="20% - Accent1 2 4 4 2" xfId="27656"/>
    <cellStyle name="20% - Accent1 2 4 5" xfId="5537"/>
    <cellStyle name="20% - Accent1 2 4 5 2" xfId="28312"/>
    <cellStyle name="20% - Accent1 2 4 6" xfId="6193"/>
    <cellStyle name="20% - Accent1 2 4 6 2" xfId="28968"/>
    <cellStyle name="20% - Accent1 2 4 7" xfId="2913"/>
    <cellStyle name="20% - Accent1 2 4 7 2" xfId="25688"/>
    <cellStyle name="20% - Accent1 2 4 8" xfId="6849"/>
    <cellStyle name="20% - Accent1 2 4 8 2" xfId="29624"/>
    <cellStyle name="20% - Accent1 2 4 9" xfId="7505"/>
    <cellStyle name="20% - Accent1 2 4 9 2" xfId="30280"/>
    <cellStyle name="20% - Accent1 2 5" xfId="290"/>
    <cellStyle name="20% - Accent1 2 5 2" xfId="2585"/>
    <cellStyle name="20% - Accent1 2 5 2 2" xfId="25360"/>
    <cellStyle name="20% - Accent1 2 5 3" xfId="23064"/>
    <cellStyle name="20% - Accent1 2 6" xfId="945"/>
    <cellStyle name="20% - Accent1 2 6 2" xfId="3241"/>
    <cellStyle name="20% - Accent1 2 6 2 2" xfId="26016"/>
    <cellStyle name="20% - Accent1 2 6 3" xfId="23720"/>
    <cellStyle name="20% - Accent1 2 7" xfId="1601"/>
    <cellStyle name="20% - Accent1 2 7 2" xfId="3897"/>
    <cellStyle name="20% - Accent1 2 7 2 2" xfId="26672"/>
    <cellStyle name="20% - Accent1 2 7 3" xfId="24376"/>
    <cellStyle name="20% - Accent1 2 8" xfId="4553"/>
    <cellStyle name="20% - Accent1 2 8 2" xfId="27328"/>
    <cellStyle name="20% - Accent1 2 9" xfId="5209"/>
    <cellStyle name="20% - Accent1 2 9 2" xfId="27984"/>
    <cellStyle name="20% - Accent1 20" xfId="7161"/>
    <cellStyle name="20% - Accent1 20 2" xfId="29936"/>
    <cellStyle name="20% - Accent1 21" xfId="7817"/>
    <cellStyle name="20% - Accent1 21 2" xfId="30592"/>
    <cellStyle name="20% - Accent1 22" xfId="8473"/>
    <cellStyle name="20% - Accent1 22 2" xfId="31248"/>
    <cellStyle name="20% - Accent1 23" xfId="9129"/>
    <cellStyle name="20% - Accent1 23 2" xfId="31904"/>
    <cellStyle name="20% - Accent1 24" xfId="9785"/>
    <cellStyle name="20% - Accent1 24 2" xfId="32560"/>
    <cellStyle name="20% - Accent1 25" xfId="10441"/>
    <cellStyle name="20% - Accent1 25 2" xfId="33216"/>
    <cellStyle name="20% - Accent1 26" xfId="11097"/>
    <cellStyle name="20% - Accent1 26 2" xfId="33872"/>
    <cellStyle name="20% - Accent1 27" xfId="11753"/>
    <cellStyle name="20% - Accent1 27 2" xfId="34528"/>
    <cellStyle name="20% - Accent1 28" xfId="12409"/>
    <cellStyle name="20% - Accent1 28 2" xfId="35184"/>
    <cellStyle name="20% - Accent1 29" xfId="13065"/>
    <cellStyle name="20% - Accent1 29 2" xfId="35840"/>
    <cellStyle name="20% - Accent1 3" xfId="53"/>
    <cellStyle name="20% - Accent1 3 10" xfId="5880"/>
    <cellStyle name="20% - Accent1 3 10 2" xfId="28655"/>
    <cellStyle name="20% - Accent1 3 11" xfId="2272"/>
    <cellStyle name="20% - Accent1 3 11 2" xfId="25047"/>
    <cellStyle name="20% - Accent1 3 12" xfId="6536"/>
    <cellStyle name="20% - Accent1 3 12 2" xfId="29311"/>
    <cellStyle name="20% - Accent1 3 13" xfId="7192"/>
    <cellStyle name="20% - Accent1 3 13 2" xfId="29967"/>
    <cellStyle name="20% - Accent1 3 14" xfId="7848"/>
    <cellStyle name="20% - Accent1 3 14 2" xfId="30623"/>
    <cellStyle name="20% - Accent1 3 15" xfId="8504"/>
    <cellStyle name="20% - Accent1 3 15 2" xfId="31279"/>
    <cellStyle name="20% - Accent1 3 16" xfId="9160"/>
    <cellStyle name="20% - Accent1 3 16 2" xfId="31935"/>
    <cellStyle name="20% - Accent1 3 17" xfId="9816"/>
    <cellStyle name="20% - Accent1 3 17 2" xfId="32591"/>
    <cellStyle name="20% - Accent1 3 18" xfId="10472"/>
    <cellStyle name="20% - Accent1 3 18 2" xfId="33247"/>
    <cellStyle name="20% - Accent1 3 19" xfId="11128"/>
    <cellStyle name="20% - Accent1 3 19 2" xfId="33903"/>
    <cellStyle name="20% - Accent1 3 2" xfId="131"/>
    <cellStyle name="20% - Accent1 3 2 10" xfId="2327"/>
    <cellStyle name="20% - Accent1 3 2 10 2" xfId="25102"/>
    <cellStyle name="20% - Accent1 3 2 11" xfId="6591"/>
    <cellStyle name="20% - Accent1 3 2 11 2" xfId="29366"/>
    <cellStyle name="20% - Accent1 3 2 12" xfId="7247"/>
    <cellStyle name="20% - Accent1 3 2 12 2" xfId="30022"/>
    <cellStyle name="20% - Accent1 3 2 13" xfId="7903"/>
    <cellStyle name="20% - Accent1 3 2 13 2" xfId="30678"/>
    <cellStyle name="20% - Accent1 3 2 14" xfId="8559"/>
    <cellStyle name="20% - Accent1 3 2 14 2" xfId="31334"/>
    <cellStyle name="20% - Accent1 3 2 15" xfId="9215"/>
    <cellStyle name="20% - Accent1 3 2 15 2" xfId="31990"/>
    <cellStyle name="20% - Accent1 3 2 16" xfId="9871"/>
    <cellStyle name="20% - Accent1 3 2 16 2" xfId="32646"/>
    <cellStyle name="20% - Accent1 3 2 17" xfId="10527"/>
    <cellStyle name="20% - Accent1 3 2 17 2" xfId="33302"/>
    <cellStyle name="20% - Accent1 3 2 18" xfId="11183"/>
    <cellStyle name="20% - Accent1 3 2 18 2" xfId="33958"/>
    <cellStyle name="20% - Accent1 3 2 19" xfId="11839"/>
    <cellStyle name="20% - Accent1 3 2 19 2" xfId="34614"/>
    <cellStyle name="20% - Accent1 3 2 2" xfId="543"/>
    <cellStyle name="20% - Accent1 3 2 2 10" xfId="6776"/>
    <cellStyle name="20% - Accent1 3 2 2 10 2" xfId="29551"/>
    <cellStyle name="20% - Accent1 3 2 2 11" xfId="7432"/>
    <cellStyle name="20% - Accent1 3 2 2 11 2" xfId="30207"/>
    <cellStyle name="20% - Accent1 3 2 2 12" xfId="8088"/>
    <cellStyle name="20% - Accent1 3 2 2 12 2" xfId="30863"/>
    <cellStyle name="20% - Accent1 3 2 2 13" xfId="8744"/>
    <cellStyle name="20% - Accent1 3 2 2 13 2" xfId="31519"/>
    <cellStyle name="20% - Accent1 3 2 2 14" xfId="9400"/>
    <cellStyle name="20% - Accent1 3 2 2 14 2" xfId="32175"/>
    <cellStyle name="20% - Accent1 3 2 2 15" xfId="10056"/>
    <cellStyle name="20% - Accent1 3 2 2 15 2" xfId="32831"/>
    <cellStyle name="20% - Accent1 3 2 2 16" xfId="10712"/>
    <cellStyle name="20% - Accent1 3 2 2 16 2" xfId="33487"/>
    <cellStyle name="20% - Accent1 3 2 2 17" xfId="11368"/>
    <cellStyle name="20% - Accent1 3 2 2 17 2" xfId="34143"/>
    <cellStyle name="20% - Accent1 3 2 2 18" xfId="12024"/>
    <cellStyle name="20% - Accent1 3 2 2 18 2" xfId="34799"/>
    <cellStyle name="20% - Accent1 3 2 2 19" xfId="12680"/>
    <cellStyle name="20% - Accent1 3 2 2 19 2" xfId="35455"/>
    <cellStyle name="20% - Accent1 3 2 2 2" xfId="872"/>
    <cellStyle name="20% - Accent1 3 2 2 2 10" xfId="8416"/>
    <cellStyle name="20% - Accent1 3 2 2 2 10 2" xfId="31191"/>
    <cellStyle name="20% - Accent1 3 2 2 2 11" xfId="9072"/>
    <cellStyle name="20% - Accent1 3 2 2 2 11 2" xfId="31847"/>
    <cellStyle name="20% - Accent1 3 2 2 2 12" xfId="9728"/>
    <cellStyle name="20% - Accent1 3 2 2 2 12 2" xfId="32503"/>
    <cellStyle name="20% - Accent1 3 2 2 2 13" xfId="10384"/>
    <cellStyle name="20% - Accent1 3 2 2 2 13 2" xfId="33159"/>
    <cellStyle name="20% - Accent1 3 2 2 2 14" xfId="11040"/>
    <cellStyle name="20% - Accent1 3 2 2 2 14 2" xfId="33815"/>
    <cellStyle name="20% - Accent1 3 2 2 2 15" xfId="11696"/>
    <cellStyle name="20% - Accent1 3 2 2 2 15 2" xfId="34471"/>
    <cellStyle name="20% - Accent1 3 2 2 2 16" xfId="12352"/>
    <cellStyle name="20% - Accent1 3 2 2 2 16 2" xfId="35127"/>
    <cellStyle name="20% - Accent1 3 2 2 2 17" xfId="13008"/>
    <cellStyle name="20% - Accent1 3 2 2 2 17 2" xfId="35783"/>
    <cellStyle name="20% - Accent1 3 2 2 2 18" xfId="13664"/>
    <cellStyle name="20% - Accent1 3 2 2 2 18 2" xfId="36439"/>
    <cellStyle name="20% - Accent1 3 2 2 2 19" xfId="14320"/>
    <cellStyle name="20% - Accent1 3 2 2 2 19 2" xfId="37095"/>
    <cellStyle name="20% - Accent1 3 2 2 2 2" xfId="1528"/>
    <cellStyle name="20% - Accent1 3 2 2 2 2 2" xfId="3824"/>
    <cellStyle name="20% - Accent1 3 2 2 2 2 2 2" xfId="26599"/>
    <cellStyle name="20% - Accent1 3 2 2 2 2 3" xfId="24303"/>
    <cellStyle name="20% - Accent1 3 2 2 2 20" xfId="14976"/>
    <cellStyle name="20% - Accent1 3 2 2 2 20 2" xfId="37751"/>
    <cellStyle name="20% - Accent1 3 2 2 2 21" xfId="15632"/>
    <cellStyle name="20% - Accent1 3 2 2 2 21 2" xfId="38407"/>
    <cellStyle name="20% - Accent1 3 2 2 2 22" xfId="16288"/>
    <cellStyle name="20% - Accent1 3 2 2 2 22 2" xfId="39063"/>
    <cellStyle name="20% - Accent1 3 2 2 2 23" xfId="16944"/>
    <cellStyle name="20% - Accent1 3 2 2 2 23 2" xfId="39719"/>
    <cellStyle name="20% - Accent1 3 2 2 2 24" xfId="17600"/>
    <cellStyle name="20% - Accent1 3 2 2 2 24 2" xfId="40375"/>
    <cellStyle name="20% - Accent1 3 2 2 2 25" xfId="18256"/>
    <cellStyle name="20% - Accent1 3 2 2 2 25 2" xfId="41031"/>
    <cellStyle name="20% - Accent1 3 2 2 2 26" xfId="18912"/>
    <cellStyle name="20% - Accent1 3 2 2 2 26 2" xfId="41687"/>
    <cellStyle name="20% - Accent1 3 2 2 2 27" xfId="19568"/>
    <cellStyle name="20% - Accent1 3 2 2 2 27 2" xfId="42343"/>
    <cellStyle name="20% - Accent1 3 2 2 2 28" xfId="20224"/>
    <cellStyle name="20% - Accent1 3 2 2 2 28 2" xfId="42999"/>
    <cellStyle name="20% - Accent1 3 2 2 2 29" xfId="20880"/>
    <cellStyle name="20% - Accent1 3 2 2 2 29 2" xfId="43655"/>
    <cellStyle name="20% - Accent1 3 2 2 2 3" xfId="2184"/>
    <cellStyle name="20% - Accent1 3 2 2 2 3 2" xfId="4480"/>
    <cellStyle name="20% - Accent1 3 2 2 2 3 2 2" xfId="27255"/>
    <cellStyle name="20% - Accent1 3 2 2 2 3 3" xfId="24959"/>
    <cellStyle name="20% - Accent1 3 2 2 2 30" xfId="21536"/>
    <cellStyle name="20% - Accent1 3 2 2 2 30 2" xfId="44311"/>
    <cellStyle name="20% - Accent1 3 2 2 2 31" xfId="22192"/>
    <cellStyle name="20% - Accent1 3 2 2 2 31 2" xfId="44967"/>
    <cellStyle name="20% - Accent1 3 2 2 2 32" xfId="22848"/>
    <cellStyle name="20% - Accent1 3 2 2 2 32 2" xfId="45623"/>
    <cellStyle name="20% - Accent1 3 2 2 2 33" xfId="23647"/>
    <cellStyle name="20% - Accent1 3 2 2 2 4" xfId="5136"/>
    <cellStyle name="20% - Accent1 3 2 2 2 4 2" xfId="27911"/>
    <cellStyle name="20% - Accent1 3 2 2 2 5" xfId="5792"/>
    <cellStyle name="20% - Accent1 3 2 2 2 5 2" xfId="28567"/>
    <cellStyle name="20% - Accent1 3 2 2 2 6" xfId="6448"/>
    <cellStyle name="20% - Accent1 3 2 2 2 6 2" xfId="29223"/>
    <cellStyle name="20% - Accent1 3 2 2 2 7" xfId="3168"/>
    <cellStyle name="20% - Accent1 3 2 2 2 7 2" xfId="25943"/>
    <cellStyle name="20% - Accent1 3 2 2 2 8" xfId="7104"/>
    <cellStyle name="20% - Accent1 3 2 2 2 8 2" xfId="29879"/>
    <cellStyle name="20% - Accent1 3 2 2 2 9" xfId="7760"/>
    <cellStyle name="20% - Accent1 3 2 2 2 9 2" xfId="30535"/>
    <cellStyle name="20% - Accent1 3 2 2 20" xfId="13336"/>
    <cellStyle name="20% - Accent1 3 2 2 20 2" xfId="36111"/>
    <cellStyle name="20% - Accent1 3 2 2 21" xfId="13992"/>
    <cellStyle name="20% - Accent1 3 2 2 21 2" xfId="36767"/>
    <cellStyle name="20% - Accent1 3 2 2 22" xfId="14648"/>
    <cellStyle name="20% - Accent1 3 2 2 22 2" xfId="37423"/>
    <cellStyle name="20% - Accent1 3 2 2 23" xfId="15304"/>
    <cellStyle name="20% - Accent1 3 2 2 23 2" xfId="38079"/>
    <cellStyle name="20% - Accent1 3 2 2 24" xfId="15960"/>
    <cellStyle name="20% - Accent1 3 2 2 24 2" xfId="38735"/>
    <cellStyle name="20% - Accent1 3 2 2 25" xfId="16616"/>
    <cellStyle name="20% - Accent1 3 2 2 25 2" xfId="39391"/>
    <cellStyle name="20% - Accent1 3 2 2 26" xfId="17272"/>
    <cellStyle name="20% - Accent1 3 2 2 26 2" xfId="40047"/>
    <cellStyle name="20% - Accent1 3 2 2 27" xfId="17928"/>
    <cellStyle name="20% - Accent1 3 2 2 27 2" xfId="40703"/>
    <cellStyle name="20% - Accent1 3 2 2 28" xfId="18584"/>
    <cellStyle name="20% - Accent1 3 2 2 28 2" xfId="41359"/>
    <cellStyle name="20% - Accent1 3 2 2 29" xfId="19240"/>
    <cellStyle name="20% - Accent1 3 2 2 29 2" xfId="42015"/>
    <cellStyle name="20% - Accent1 3 2 2 3" xfId="1200"/>
    <cellStyle name="20% - Accent1 3 2 2 3 2" xfId="2840"/>
    <cellStyle name="20% - Accent1 3 2 2 3 2 2" xfId="25615"/>
    <cellStyle name="20% - Accent1 3 2 2 3 3" xfId="23975"/>
    <cellStyle name="20% - Accent1 3 2 2 30" xfId="19896"/>
    <cellStyle name="20% - Accent1 3 2 2 30 2" xfId="42671"/>
    <cellStyle name="20% - Accent1 3 2 2 31" xfId="20552"/>
    <cellStyle name="20% - Accent1 3 2 2 31 2" xfId="43327"/>
    <cellStyle name="20% - Accent1 3 2 2 32" xfId="21208"/>
    <cellStyle name="20% - Accent1 3 2 2 32 2" xfId="43983"/>
    <cellStyle name="20% - Accent1 3 2 2 33" xfId="21864"/>
    <cellStyle name="20% - Accent1 3 2 2 33 2" xfId="44639"/>
    <cellStyle name="20% - Accent1 3 2 2 34" xfId="22520"/>
    <cellStyle name="20% - Accent1 3 2 2 34 2" xfId="45295"/>
    <cellStyle name="20% - Accent1 3 2 2 35" xfId="23319"/>
    <cellStyle name="20% - Accent1 3 2 2 4" xfId="1856"/>
    <cellStyle name="20% - Accent1 3 2 2 4 2" xfId="3496"/>
    <cellStyle name="20% - Accent1 3 2 2 4 2 2" xfId="26271"/>
    <cellStyle name="20% - Accent1 3 2 2 4 3" xfId="24631"/>
    <cellStyle name="20% - Accent1 3 2 2 5" xfId="4152"/>
    <cellStyle name="20% - Accent1 3 2 2 5 2" xfId="26927"/>
    <cellStyle name="20% - Accent1 3 2 2 6" xfId="4808"/>
    <cellStyle name="20% - Accent1 3 2 2 6 2" xfId="27583"/>
    <cellStyle name="20% - Accent1 3 2 2 7" xfId="5464"/>
    <cellStyle name="20% - Accent1 3 2 2 7 2" xfId="28239"/>
    <cellStyle name="20% - Accent1 3 2 2 8" xfId="6120"/>
    <cellStyle name="20% - Accent1 3 2 2 8 2" xfId="28895"/>
    <cellStyle name="20% - Accent1 3 2 2 9" xfId="2512"/>
    <cellStyle name="20% - Accent1 3 2 2 9 2" xfId="25287"/>
    <cellStyle name="20% - Accent1 3 2 20" xfId="12495"/>
    <cellStyle name="20% - Accent1 3 2 20 2" xfId="35270"/>
    <cellStyle name="20% - Accent1 3 2 21" xfId="13151"/>
    <cellStyle name="20% - Accent1 3 2 21 2" xfId="35926"/>
    <cellStyle name="20% - Accent1 3 2 22" xfId="13807"/>
    <cellStyle name="20% - Accent1 3 2 22 2" xfId="36582"/>
    <cellStyle name="20% - Accent1 3 2 23" xfId="14463"/>
    <cellStyle name="20% - Accent1 3 2 23 2" xfId="37238"/>
    <cellStyle name="20% - Accent1 3 2 24" xfId="15119"/>
    <cellStyle name="20% - Accent1 3 2 24 2" xfId="37894"/>
    <cellStyle name="20% - Accent1 3 2 25" xfId="15775"/>
    <cellStyle name="20% - Accent1 3 2 25 2" xfId="38550"/>
    <cellStyle name="20% - Accent1 3 2 26" xfId="16431"/>
    <cellStyle name="20% - Accent1 3 2 26 2" xfId="39206"/>
    <cellStyle name="20% - Accent1 3 2 27" xfId="17087"/>
    <cellStyle name="20% - Accent1 3 2 27 2" xfId="39862"/>
    <cellStyle name="20% - Accent1 3 2 28" xfId="17743"/>
    <cellStyle name="20% - Accent1 3 2 28 2" xfId="40518"/>
    <cellStyle name="20% - Accent1 3 2 29" xfId="18399"/>
    <cellStyle name="20% - Accent1 3 2 29 2" xfId="41174"/>
    <cellStyle name="20% - Accent1 3 2 3" xfId="687"/>
    <cellStyle name="20% - Accent1 3 2 3 10" xfId="8231"/>
    <cellStyle name="20% - Accent1 3 2 3 10 2" xfId="31006"/>
    <cellStyle name="20% - Accent1 3 2 3 11" xfId="8887"/>
    <cellStyle name="20% - Accent1 3 2 3 11 2" xfId="31662"/>
    <cellStyle name="20% - Accent1 3 2 3 12" xfId="9543"/>
    <cellStyle name="20% - Accent1 3 2 3 12 2" xfId="32318"/>
    <cellStyle name="20% - Accent1 3 2 3 13" xfId="10199"/>
    <cellStyle name="20% - Accent1 3 2 3 13 2" xfId="32974"/>
    <cellStyle name="20% - Accent1 3 2 3 14" xfId="10855"/>
    <cellStyle name="20% - Accent1 3 2 3 14 2" xfId="33630"/>
    <cellStyle name="20% - Accent1 3 2 3 15" xfId="11511"/>
    <cellStyle name="20% - Accent1 3 2 3 15 2" xfId="34286"/>
    <cellStyle name="20% - Accent1 3 2 3 16" xfId="12167"/>
    <cellStyle name="20% - Accent1 3 2 3 16 2" xfId="34942"/>
    <cellStyle name="20% - Accent1 3 2 3 17" xfId="12823"/>
    <cellStyle name="20% - Accent1 3 2 3 17 2" xfId="35598"/>
    <cellStyle name="20% - Accent1 3 2 3 18" xfId="13479"/>
    <cellStyle name="20% - Accent1 3 2 3 18 2" xfId="36254"/>
    <cellStyle name="20% - Accent1 3 2 3 19" xfId="14135"/>
    <cellStyle name="20% - Accent1 3 2 3 19 2" xfId="36910"/>
    <cellStyle name="20% - Accent1 3 2 3 2" xfId="1343"/>
    <cellStyle name="20% - Accent1 3 2 3 2 2" xfId="3639"/>
    <cellStyle name="20% - Accent1 3 2 3 2 2 2" xfId="26414"/>
    <cellStyle name="20% - Accent1 3 2 3 2 3" xfId="24118"/>
    <cellStyle name="20% - Accent1 3 2 3 20" xfId="14791"/>
    <cellStyle name="20% - Accent1 3 2 3 20 2" xfId="37566"/>
    <cellStyle name="20% - Accent1 3 2 3 21" xfId="15447"/>
    <cellStyle name="20% - Accent1 3 2 3 21 2" xfId="38222"/>
    <cellStyle name="20% - Accent1 3 2 3 22" xfId="16103"/>
    <cellStyle name="20% - Accent1 3 2 3 22 2" xfId="38878"/>
    <cellStyle name="20% - Accent1 3 2 3 23" xfId="16759"/>
    <cellStyle name="20% - Accent1 3 2 3 23 2" xfId="39534"/>
    <cellStyle name="20% - Accent1 3 2 3 24" xfId="17415"/>
    <cellStyle name="20% - Accent1 3 2 3 24 2" xfId="40190"/>
    <cellStyle name="20% - Accent1 3 2 3 25" xfId="18071"/>
    <cellStyle name="20% - Accent1 3 2 3 25 2" xfId="40846"/>
    <cellStyle name="20% - Accent1 3 2 3 26" xfId="18727"/>
    <cellStyle name="20% - Accent1 3 2 3 26 2" xfId="41502"/>
    <cellStyle name="20% - Accent1 3 2 3 27" xfId="19383"/>
    <cellStyle name="20% - Accent1 3 2 3 27 2" xfId="42158"/>
    <cellStyle name="20% - Accent1 3 2 3 28" xfId="20039"/>
    <cellStyle name="20% - Accent1 3 2 3 28 2" xfId="42814"/>
    <cellStyle name="20% - Accent1 3 2 3 29" xfId="20695"/>
    <cellStyle name="20% - Accent1 3 2 3 29 2" xfId="43470"/>
    <cellStyle name="20% - Accent1 3 2 3 3" xfId="1999"/>
    <cellStyle name="20% - Accent1 3 2 3 3 2" xfId="4295"/>
    <cellStyle name="20% - Accent1 3 2 3 3 2 2" xfId="27070"/>
    <cellStyle name="20% - Accent1 3 2 3 3 3" xfId="24774"/>
    <cellStyle name="20% - Accent1 3 2 3 30" xfId="21351"/>
    <cellStyle name="20% - Accent1 3 2 3 30 2" xfId="44126"/>
    <cellStyle name="20% - Accent1 3 2 3 31" xfId="22007"/>
    <cellStyle name="20% - Accent1 3 2 3 31 2" xfId="44782"/>
    <cellStyle name="20% - Accent1 3 2 3 32" xfId="22663"/>
    <cellStyle name="20% - Accent1 3 2 3 32 2" xfId="45438"/>
    <cellStyle name="20% - Accent1 3 2 3 33" xfId="23462"/>
    <cellStyle name="20% - Accent1 3 2 3 4" xfId="4951"/>
    <cellStyle name="20% - Accent1 3 2 3 4 2" xfId="27726"/>
    <cellStyle name="20% - Accent1 3 2 3 5" xfId="5607"/>
    <cellStyle name="20% - Accent1 3 2 3 5 2" xfId="28382"/>
    <cellStyle name="20% - Accent1 3 2 3 6" xfId="6263"/>
    <cellStyle name="20% - Accent1 3 2 3 6 2" xfId="29038"/>
    <cellStyle name="20% - Accent1 3 2 3 7" xfId="2983"/>
    <cellStyle name="20% - Accent1 3 2 3 7 2" xfId="25758"/>
    <cellStyle name="20% - Accent1 3 2 3 8" xfId="6919"/>
    <cellStyle name="20% - Accent1 3 2 3 8 2" xfId="29694"/>
    <cellStyle name="20% - Accent1 3 2 3 9" xfId="7575"/>
    <cellStyle name="20% - Accent1 3 2 3 9 2" xfId="30350"/>
    <cellStyle name="20% - Accent1 3 2 30" xfId="19055"/>
    <cellStyle name="20% - Accent1 3 2 30 2" xfId="41830"/>
    <cellStyle name="20% - Accent1 3 2 31" xfId="19711"/>
    <cellStyle name="20% - Accent1 3 2 31 2" xfId="42486"/>
    <cellStyle name="20% - Accent1 3 2 32" xfId="20367"/>
    <cellStyle name="20% - Accent1 3 2 32 2" xfId="43142"/>
    <cellStyle name="20% - Accent1 3 2 33" xfId="21023"/>
    <cellStyle name="20% - Accent1 3 2 33 2" xfId="43798"/>
    <cellStyle name="20% - Accent1 3 2 34" xfId="21679"/>
    <cellStyle name="20% - Accent1 3 2 34 2" xfId="44454"/>
    <cellStyle name="20% - Accent1 3 2 35" xfId="22335"/>
    <cellStyle name="20% - Accent1 3 2 35 2" xfId="45110"/>
    <cellStyle name="20% - Accent1 3 2 36" xfId="22991"/>
    <cellStyle name="20% - Accent1 3 2 4" xfId="360"/>
    <cellStyle name="20% - Accent1 3 2 4 2" xfId="2655"/>
    <cellStyle name="20% - Accent1 3 2 4 2 2" xfId="25430"/>
    <cellStyle name="20% - Accent1 3 2 4 3" xfId="23134"/>
    <cellStyle name="20% - Accent1 3 2 5" xfId="1015"/>
    <cellStyle name="20% - Accent1 3 2 5 2" xfId="3311"/>
    <cellStyle name="20% - Accent1 3 2 5 2 2" xfId="26086"/>
    <cellStyle name="20% - Accent1 3 2 5 3" xfId="23790"/>
    <cellStyle name="20% - Accent1 3 2 6" xfId="1671"/>
    <cellStyle name="20% - Accent1 3 2 6 2" xfId="3967"/>
    <cellStyle name="20% - Accent1 3 2 6 2 2" xfId="26742"/>
    <cellStyle name="20% - Accent1 3 2 6 3" xfId="24446"/>
    <cellStyle name="20% - Accent1 3 2 7" xfId="4623"/>
    <cellStyle name="20% - Accent1 3 2 7 2" xfId="27398"/>
    <cellStyle name="20% - Accent1 3 2 8" xfId="5279"/>
    <cellStyle name="20% - Accent1 3 2 8 2" xfId="28054"/>
    <cellStyle name="20% - Accent1 3 2 9" xfId="5935"/>
    <cellStyle name="20% - Accent1 3 2 9 2" xfId="28710"/>
    <cellStyle name="20% - Accent1 3 20" xfId="11784"/>
    <cellStyle name="20% - Accent1 3 20 2" xfId="34559"/>
    <cellStyle name="20% - Accent1 3 21" xfId="12440"/>
    <cellStyle name="20% - Accent1 3 21 2" xfId="35215"/>
    <cellStyle name="20% - Accent1 3 22" xfId="13096"/>
    <cellStyle name="20% - Accent1 3 22 2" xfId="35871"/>
    <cellStyle name="20% - Accent1 3 23" xfId="13752"/>
    <cellStyle name="20% - Accent1 3 23 2" xfId="36527"/>
    <cellStyle name="20% - Accent1 3 24" xfId="14408"/>
    <cellStyle name="20% - Accent1 3 24 2" xfId="37183"/>
    <cellStyle name="20% - Accent1 3 25" xfId="15064"/>
    <cellStyle name="20% - Accent1 3 25 2" xfId="37839"/>
    <cellStyle name="20% - Accent1 3 26" xfId="15720"/>
    <cellStyle name="20% - Accent1 3 26 2" xfId="38495"/>
    <cellStyle name="20% - Accent1 3 27" xfId="16376"/>
    <cellStyle name="20% - Accent1 3 27 2" xfId="39151"/>
    <cellStyle name="20% - Accent1 3 28" xfId="17032"/>
    <cellStyle name="20% - Accent1 3 28 2" xfId="39807"/>
    <cellStyle name="20% - Accent1 3 29" xfId="17688"/>
    <cellStyle name="20% - Accent1 3 29 2" xfId="40463"/>
    <cellStyle name="20% - Accent1 3 3" xfId="489"/>
    <cellStyle name="20% - Accent1 3 3 10" xfId="6721"/>
    <cellStyle name="20% - Accent1 3 3 10 2" xfId="29496"/>
    <cellStyle name="20% - Accent1 3 3 11" xfId="7377"/>
    <cellStyle name="20% - Accent1 3 3 11 2" xfId="30152"/>
    <cellStyle name="20% - Accent1 3 3 12" xfId="8033"/>
    <cellStyle name="20% - Accent1 3 3 12 2" xfId="30808"/>
    <cellStyle name="20% - Accent1 3 3 13" xfId="8689"/>
    <cellStyle name="20% - Accent1 3 3 13 2" xfId="31464"/>
    <cellStyle name="20% - Accent1 3 3 14" xfId="9345"/>
    <cellStyle name="20% - Accent1 3 3 14 2" xfId="32120"/>
    <cellStyle name="20% - Accent1 3 3 15" xfId="10001"/>
    <cellStyle name="20% - Accent1 3 3 15 2" xfId="32776"/>
    <cellStyle name="20% - Accent1 3 3 16" xfId="10657"/>
    <cellStyle name="20% - Accent1 3 3 16 2" xfId="33432"/>
    <cellStyle name="20% - Accent1 3 3 17" xfId="11313"/>
    <cellStyle name="20% - Accent1 3 3 17 2" xfId="34088"/>
    <cellStyle name="20% - Accent1 3 3 18" xfId="11969"/>
    <cellStyle name="20% - Accent1 3 3 18 2" xfId="34744"/>
    <cellStyle name="20% - Accent1 3 3 19" xfId="12625"/>
    <cellStyle name="20% - Accent1 3 3 19 2" xfId="35400"/>
    <cellStyle name="20% - Accent1 3 3 2" xfId="817"/>
    <cellStyle name="20% - Accent1 3 3 2 10" xfId="8361"/>
    <cellStyle name="20% - Accent1 3 3 2 10 2" xfId="31136"/>
    <cellStyle name="20% - Accent1 3 3 2 11" xfId="9017"/>
    <cellStyle name="20% - Accent1 3 3 2 11 2" xfId="31792"/>
    <cellStyle name="20% - Accent1 3 3 2 12" xfId="9673"/>
    <cellStyle name="20% - Accent1 3 3 2 12 2" xfId="32448"/>
    <cellStyle name="20% - Accent1 3 3 2 13" xfId="10329"/>
    <cellStyle name="20% - Accent1 3 3 2 13 2" xfId="33104"/>
    <cellStyle name="20% - Accent1 3 3 2 14" xfId="10985"/>
    <cellStyle name="20% - Accent1 3 3 2 14 2" xfId="33760"/>
    <cellStyle name="20% - Accent1 3 3 2 15" xfId="11641"/>
    <cellStyle name="20% - Accent1 3 3 2 15 2" xfId="34416"/>
    <cellStyle name="20% - Accent1 3 3 2 16" xfId="12297"/>
    <cellStyle name="20% - Accent1 3 3 2 16 2" xfId="35072"/>
    <cellStyle name="20% - Accent1 3 3 2 17" xfId="12953"/>
    <cellStyle name="20% - Accent1 3 3 2 17 2" xfId="35728"/>
    <cellStyle name="20% - Accent1 3 3 2 18" xfId="13609"/>
    <cellStyle name="20% - Accent1 3 3 2 18 2" xfId="36384"/>
    <cellStyle name="20% - Accent1 3 3 2 19" xfId="14265"/>
    <cellStyle name="20% - Accent1 3 3 2 19 2" xfId="37040"/>
    <cellStyle name="20% - Accent1 3 3 2 2" xfId="1473"/>
    <cellStyle name="20% - Accent1 3 3 2 2 2" xfId="3769"/>
    <cellStyle name="20% - Accent1 3 3 2 2 2 2" xfId="26544"/>
    <cellStyle name="20% - Accent1 3 3 2 2 3" xfId="24248"/>
    <cellStyle name="20% - Accent1 3 3 2 20" xfId="14921"/>
    <cellStyle name="20% - Accent1 3 3 2 20 2" xfId="37696"/>
    <cellStyle name="20% - Accent1 3 3 2 21" xfId="15577"/>
    <cellStyle name="20% - Accent1 3 3 2 21 2" xfId="38352"/>
    <cellStyle name="20% - Accent1 3 3 2 22" xfId="16233"/>
    <cellStyle name="20% - Accent1 3 3 2 22 2" xfId="39008"/>
    <cellStyle name="20% - Accent1 3 3 2 23" xfId="16889"/>
    <cellStyle name="20% - Accent1 3 3 2 23 2" xfId="39664"/>
    <cellStyle name="20% - Accent1 3 3 2 24" xfId="17545"/>
    <cellStyle name="20% - Accent1 3 3 2 24 2" xfId="40320"/>
    <cellStyle name="20% - Accent1 3 3 2 25" xfId="18201"/>
    <cellStyle name="20% - Accent1 3 3 2 25 2" xfId="40976"/>
    <cellStyle name="20% - Accent1 3 3 2 26" xfId="18857"/>
    <cellStyle name="20% - Accent1 3 3 2 26 2" xfId="41632"/>
    <cellStyle name="20% - Accent1 3 3 2 27" xfId="19513"/>
    <cellStyle name="20% - Accent1 3 3 2 27 2" xfId="42288"/>
    <cellStyle name="20% - Accent1 3 3 2 28" xfId="20169"/>
    <cellStyle name="20% - Accent1 3 3 2 28 2" xfId="42944"/>
    <cellStyle name="20% - Accent1 3 3 2 29" xfId="20825"/>
    <cellStyle name="20% - Accent1 3 3 2 29 2" xfId="43600"/>
    <cellStyle name="20% - Accent1 3 3 2 3" xfId="2129"/>
    <cellStyle name="20% - Accent1 3 3 2 3 2" xfId="4425"/>
    <cellStyle name="20% - Accent1 3 3 2 3 2 2" xfId="27200"/>
    <cellStyle name="20% - Accent1 3 3 2 3 3" xfId="24904"/>
    <cellStyle name="20% - Accent1 3 3 2 30" xfId="21481"/>
    <cellStyle name="20% - Accent1 3 3 2 30 2" xfId="44256"/>
    <cellStyle name="20% - Accent1 3 3 2 31" xfId="22137"/>
    <cellStyle name="20% - Accent1 3 3 2 31 2" xfId="44912"/>
    <cellStyle name="20% - Accent1 3 3 2 32" xfId="22793"/>
    <cellStyle name="20% - Accent1 3 3 2 32 2" xfId="45568"/>
    <cellStyle name="20% - Accent1 3 3 2 33" xfId="23592"/>
    <cellStyle name="20% - Accent1 3 3 2 4" xfId="5081"/>
    <cellStyle name="20% - Accent1 3 3 2 4 2" xfId="27856"/>
    <cellStyle name="20% - Accent1 3 3 2 5" xfId="5737"/>
    <cellStyle name="20% - Accent1 3 3 2 5 2" xfId="28512"/>
    <cellStyle name="20% - Accent1 3 3 2 6" xfId="6393"/>
    <cellStyle name="20% - Accent1 3 3 2 6 2" xfId="29168"/>
    <cellStyle name="20% - Accent1 3 3 2 7" xfId="3113"/>
    <cellStyle name="20% - Accent1 3 3 2 7 2" xfId="25888"/>
    <cellStyle name="20% - Accent1 3 3 2 8" xfId="7049"/>
    <cellStyle name="20% - Accent1 3 3 2 8 2" xfId="29824"/>
    <cellStyle name="20% - Accent1 3 3 2 9" xfId="7705"/>
    <cellStyle name="20% - Accent1 3 3 2 9 2" xfId="30480"/>
    <cellStyle name="20% - Accent1 3 3 20" xfId="13281"/>
    <cellStyle name="20% - Accent1 3 3 20 2" xfId="36056"/>
    <cellStyle name="20% - Accent1 3 3 21" xfId="13937"/>
    <cellStyle name="20% - Accent1 3 3 21 2" xfId="36712"/>
    <cellStyle name="20% - Accent1 3 3 22" xfId="14593"/>
    <cellStyle name="20% - Accent1 3 3 22 2" xfId="37368"/>
    <cellStyle name="20% - Accent1 3 3 23" xfId="15249"/>
    <cellStyle name="20% - Accent1 3 3 23 2" xfId="38024"/>
    <cellStyle name="20% - Accent1 3 3 24" xfId="15905"/>
    <cellStyle name="20% - Accent1 3 3 24 2" xfId="38680"/>
    <cellStyle name="20% - Accent1 3 3 25" xfId="16561"/>
    <cellStyle name="20% - Accent1 3 3 25 2" xfId="39336"/>
    <cellStyle name="20% - Accent1 3 3 26" xfId="17217"/>
    <cellStyle name="20% - Accent1 3 3 26 2" xfId="39992"/>
    <cellStyle name="20% - Accent1 3 3 27" xfId="17873"/>
    <cellStyle name="20% - Accent1 3 3 27 2" xfId="40648"/>
    <cellStyle name="20% - Accent1 3 3 28" xfId="18529"/>
    <cellStyle name="20% - Accent1 3 3 28 2" xfId="41304"/>
    <cellStyle name="20% - Accent1 3 3 29" xfId="19185"/>
    <cellStyle name="20% - Accent1 3 3 29 2" xfId="41960"/>
    <cellStyle name="20% - Accent1 3 3 3" xfId="1145"/>
    <cellStyle name="20% - Accent1 3 3 3 2" xfId="2785"/>
    <cellStyle name="20% - Accent1 3 3 3 2 2" xfId="25560"/>
    <cellStyle name="20% - Accent1 3 3 3 3" xfId="23920"/>
    <cellStyle name="20% - Accent1 3 3 30" xfId="19841"/>
    <cellStyle name="20% - Accent1 3 3 30 2" xfId="42616"/>
    <cellStyle name="20% - Accent1 3 3 31" xfId="20497"/>
    <cellStyle name="20% - Accent1 3 3 31 2" xfId="43272"/>
    <cellStyle name="20% - Accent1 3 3 32" xfId="21153"/>
    <cellStyle name="20% - Accent1 3 3 32 2" xfId="43928"/>
    <cellStyle name="20% - Accent1 3 3 33" xfId="21809"/>
    <cellStyle name="20% - Accent1 3 3 33 2" xfId="44584"/>
    <cellStyle name="20% - Accent1 3 3 34" xfId="22465"/>
    <cellStyle name="20% - Accent1 3 3 34 2" xfId="45240"/>
    <cellStyle name="20% - Accent1 3 3 35" xfId="23264"/>
    <cellStyle name="20% - Accent1 3 3 4" xfId="1801"/>
    <cellStyle name="20% - Accent1 3 3 4 2" xfId="3441"/>
    <cellStyle name="20% - Accent1 3 3 4 2 2" xfId="26216"/>
    <cellStyle name="20% - Accent1 3 3 4 3" xfId="24576"/>
    <cellStyle name="20% - Accent1 3 3 5" xfId="4097"/>
    <cellStyle name="20% - Accent1 3 3 5 2" xfId="26872"/>
    <cellStyle name="20% - Accent1 3 3 6" xfId="4753"/>
    <cellStyle name="20% - Accent1 3 3 6 2" xfId="27528"/>
    <cellStyle name="20% - Accent1 3 3 7" xfId="5409"/>
    <cellStyle name="20% - Accent1 3 3 7 2" xfId="28184"/>
    <cellStyle name="20% - Accent1 3 3 8" xfId="6065"/>
    <cellStyle name="20% - Accent1 3 3 8 2" xfId="28840"/>
    <cellStyle name="20% - Accent1 3 3 9" xfId="2457"/>
    <cellStyle name="20% - Accent1 3 3 9 2" xfId="25232"/>
    <cellStyle name="20% - Accent1 3 30" xfId="18344"/>
    <cellStyle name="20% - Accent1 3 30 2" xfId="41119"/>
    <cellStyle name="20% - Accent1 3 31" xfId="19000"/>
    <cellStyle name="20% - Accent1 3 31 2" xfId="41775"/>
    <cellStyle name="20% - Accent1 3 32" xfId="19656"/>
    <cellStyle name="20% - Accent1 3 32 2" xfId="42431"/>
    <cellStyle name="20% - Accent1 3 33" xfId="20312"/>
    <cellStyle name="20% - Accent1 3 33 2" xfId="43087"/>
    <cellStyle name="20% - Accent1 3 34" xfId="20968"/>
    <cellStyle name="20% - Accent1 3 34 2" xfId="43743"/>
    <cellStyle name="20% - Accent1 3 35" xfId="21624"/>
    <cellStyle name="20% - Accent1 3 35 2" xfId="44399"/>
    <cellStyle name="20% - Accent1 3 36" xfId="22280"/>
    <cellStyle name="20% - Accent1 3 36 2" xfId="45055"/>
    <cellStyle name="20% - Accent1 3 37" xfId="219"/>
    <cellStyle name="20% - Accent1 3 38" xfId="22936"/>
    <cellStyle name="20% - Accent1 3 4" xfId="632"/>
    <cellStyle name="20% - Accent1 3 4 10" xfId="8176"/>
    <cellStyle name="20% - Accent1 3 4 10 2" xfId="30951"/>
    <cellStyle name="20% - Accent1 3 4 11" xfId="8832"/>
    <cellStyle name="20% - Accent1 3 4 11 2" xfId="31607"/>
    <cellStyle name="20% - Accent1 3 4 12" xfId="9488"/>
    <cellStyle name="20% - Accent1 3 4 12 2" xfId="32263"/>
    <cellStyle name="20% - Accent1 3 4 13" xfId="10144"/>
    <cellStyle name="20% - Accent1 3 4 13 2" xfId="32919"/>
    <cellStyle name="20% - Accent1 3 4 14" xfId="10800"/>
    <cellStyle name="20% - Accent1 3 4 14 2" xfId="33575"/>
    <cellStyle name="20% - Accent1 3 4 15" xfId="11456"/>
    <cellStyle name="20% - Accent1 3 4 15 2" xfId="34231"/>
    <cellStyle name="20% - Accent1 3 4 16" xfId="12112"/>
    <cellStyle name="20% - Accent1 3 4 16 2" xfId="34887"/>
    <cellStyle name="20% - Accent1 3 4 17" xfId="12768"/>
    <cellStyle name="20% - Accent1 3 4 17 2" xfId="35543"/>
    <cellStyle name="20% - Accent1 3 4 18" xfId="13424"/>
    <cellStyle name="20% - Accent1 3 4 18 2" xfId="36199"/>
    <cellStyle name="20% - Accent1 3 4 19" xfId="14080"/>
    <cellStyle name="20% - Accent1 3 4 19 2" xfId="36855"/>
    <cellStyle name="20% - Accent1 3 4 2" xfId="1288"/>
    <cellStyle name="20% - Accent1 3 4 2 2" xfId="3584"/>
    <cellStyle name="20% - Accent1 3 4 2 2 2" xfId="26359"/>
    <cellStyle name="20% - Accent1 3 4 2 3" xfId="24063"/>
    <cellStyle name="20% - Accent1 3 4 20" xfId="14736"/>
    <cellStyle name="20% - Accent1 3 4 20 2" xfId="37511"/>
    <cellStyle name="20% - Accent1 3 4 21" xfId="15392"/>
    <cellStyle name="20% - Accent1 3 4 21 2" xfId="38167"/>
    <cellStyle name="20% - Accent1 3 4 22" xfId="16048"/>
    <cellStyle name="20% - Accent1 3 4 22 2" xfId="38823"/>
    <cellStyle name="20% - Accent1 3 4 23" xfId="16704"/>
    <cellStyle name="20% - Accent1 3 4 23 2" xfId="39479"/>
    <cellStyle name="20% - Accent1 3 4 24" xfId="17360"/>
    <cellStyle name="20% - Accent1 3 4 24 2" xfId="40135"/>
    <cellStyle name="20% - Accent1 3 4 25" xfId="18016"/>
    <cellStyle name="20% - Accent1 3 4 25 2" xfId="40791"/>
    <cellStyle name="20% - Accent1 3 4 26" xfId="18672"/>
    <cellStyle name="20% - Accent1 3 4 26 2" xfId="41447"/>
    <cellStyle name="20% - Accent1 3 4 27" xfId="19328"/>
    <cellStyle name="20% - Accent1 3 4 27 2" xfId="42103"/>
    <cellStyle name="20% - Accent1 3 4 28" xfId="19984"/>
    <cellStyle name="20% - Accent1 3 4 28 2" xfId="42759"/>
    <cellStyle name="20% - Accent1 3 4 29" xfId="20640"/>
    <cellStyle name="20% - Accent1 3 4 29 2" xfId="43415"/>
    <cellStyle name="20% - Accent1 3 4 3" xfId="1944"/>
    <cellStyle name="20% - Accent1 3 4 3 2" xfId="4240"/>
    <cellStyle name="20% - Accent1 3 4 3 2 2" xfId="27015"/>
    <cellStyle name="20% - Accent1 3 4 3 3" xfId="24719"/>
    <cellStyle name="20% - Accent1 3 4 30" xfId="21296"/>
    <cellStyle name="20% - Accent1 3 4 30 2" xfId="44071"/>
    <cellStyle name="20% - Accent1 3 4 31" xfId="21952"/>
    <cellStyle name="20% - Accent1 3 4 31 2" xfId="44727"/>
    <cellStyle name="20% - Accent1 3 4 32" xfId="22608"/>
    <cellStyle name="20% - Accent1 3 4 32 2" xfId="45383"/>
    <cellStyle name="20% - Accent1 3 4 33" xfId="23407"/>
    <cellStyle name="20% - Accent1 3 4 4" xfId="4896"/>
    <cellStyle name="20% - Accent1 3 4 4 2" xfId="27671"/>
    <cellStyle name="20% - Accent1 3 4 5" xfId="5552"/>
    <cellStyle name="20% - Accent1 3 4 5 2" xfId="28327"/>
    <cellStyle name="20% - Accent1 3 4 6" xfId="6208"/>
    <cellStyle name="20% - Accent1 3 4 6 2" xfId="28983"/>
    <cellStyle name="20% - Accent1 3 4 7" xfId="2928"/>
    <cellStyle name="20% - Accent1 3 4 7 2" xfId="25703"/>
    <cellStyle name="20% - Accent1 3 4 8" xfId="6864"/>
    <cellStyle name="20% - Accent1 3 4 8 2" xfId="29639"/>
    <cellStyle name="20% - Accent1 3 4 9" xfId="7520"/>
    <cellStyle name="20% - Accent1 3 4 9 2" xfId="30295"/>
    <cellStyle name="20% - Accent1 3 5" xfId="305"/>
    <cellStyle name="20% - Accent1 3 5 2" xfId="2600"/>
    <cellStyle name="20% - Accent1 3 5 2 2" xfId="25375"/>
    <cellStyle name="20% - Accent1 3 5 3" xfId="23079"/>
    <cellStyle name="20% - Accent1 3 6" xfId="960"/>
    <cellStyle name="20% - Accent1 3 6 2" xfId="3256"/>
    <cellStyle name="20% - Accent1 3 6 2 2" xfId="26031"/>
    <cellStyle name="20% - Accent1 3 6 3" xfId="23735"/>
    <cellStyle name="20% - Accent1 3 7" xfId="1616"/>
    <cellStyle name="20% - Accent1 3 7 2" xfId="3912"/>
    <cellStyle name="20% - Accent1 3 7 2 2" xfId="26687"/>
    <cellStyle name="20% - Accent1 3 7 3" xfId="24391"/>
    <cellStyle name="20% - Accent1 3 8" xfId="4568"/>
    <cellStyle name="20% - Accent1 3 8 2" xfId="27343"/>
    <cellStyle name="20% - Accent1 3 9" xfId="5224"/>
    <cellStyle name="20% - Accent1 3 9 2" xfId="27999"/>
    <cellStyle name="20% - Accent1 30" xfId="13721"/>
    <cellStyle name="20% - Accent1 30 2" xfId="36496"/>
    <cellStyle name="20% - Accent1 31" xfId="14377"/>
    <cellStyle name="20% - Accent1 31 2" xfId="37152"/>
    <cellStyle name="20% - Accent1 32" xfId="15033"/>
    <cellStyle name="20% - Accent1 32 2" xfId="37808"/>
    <cellStyle name="20% - Accent1 33" xfId="15689"/>
    <cellStyle name="20% - Accent1 33 2" xfId="38464"/>
    <cellStyle name="20% - Accent1 34" xfId="16345"/>
    <cellStyle name="20% - Accent1 34 2" xfId="39120"/>
    <cellStyle name="20% - Accent1 35" xfId="17001"/>
    <cellStyle name="20% - Accent1 35 2" xfId="39776"/>
    <cellStyle name="20% - Accent1 36" xfId="17657"/>
    <cellStyle name="20% - Accent1 36 2" xfId="40432"/>
    <cellStyle name="20% - Accent1 37" xfId="18313"/>
    <cellStyle name="20% - Accent1 37 2" xfId="41088"/>
    <cellStyle name="20% - Accent1 38" xfId="18969"/>
    <cellStyle name="20% - Accent1 38 2" xfId="41744"/>
    <cellStyle name="20% - Accent1 39" xfId="19625"/>
    <cellStyle name="20% - Accent1 39 2" xfId="42400"/>
    <cellStyle name="20% - Accent1 4" xfId="88"/>
    <cellStyle name="20% - Accent1 4 10" xfId="5894"/>
    <cellStyle name="20% - Accent1 4 10 2" xfId="28669"/>
    <cellStyle name="20% - Accent1 4 11" xfId="2286"/>
    <cellStyle name="20% - Accent1 4 11 2" xfId="25061"/>
    <cellStyle name="20% - Accent1 4 12" xfId="6550"/>
    <cellStyle name="20% - Accent1 4 12 2" xfId="29325"/>
    <cellStyle name="20% - Accent1 4 13" xfId="7206"/>
    <cellStyle name="20% - Accent1 4 13 2" xfId="29981"/>
    <cellStyle name="20% - Accent1 4 14" xfId="7862"/>
    <cellStyle name="20% - Accent1 4 14 2" xfId="30637"/>
    <cellStyle name="20% - Accent1 4 15" xfId="8518"/>
    <cellStyle name="20% - Accent1 4 15 2" xfId="31293"/>
    <cellStyle name="20% - Accent1 4 16" xfId="9174"/>
    <cellStyle name="20% - Accent1 4 16 2" xfId="31949"/>
    <cellStyle name="20% - Accent1 4 17" xfId="9830"/>
    <cellStyle name="20% - Accent1 4 17 2" xfId="32605"/>
    <cellStyle name="20% - Accent1 4 18" xfId="10486"/>
    <cellStyle name="20% - Accent1 4 18 2" xfId="33261"/>
    <cellStyle name="20% - Accent1 4 19" xfId="11142"/>
    <cellStyle name="20% - Accent1 4 19 2" xfId="33917"/>
    <cellStyle name="20% - Accent1 4 2" xfId="159"/>
    <cellStyle name="20% - Accent1 4 2 10" xfId="2357"/>
    <cellStyle name="20% - Accent1 4 2 10 2" xfId="25132"/>
    <cellStyle name="20% - Accent1 4 2 11" xfId="6621"/>
    <cellStyle name="20% - Accent1 4 2 11 2" xfId="29396"/>
    <cellStyle name="20% - Accent1 4 2 12" xfId="7277"/>
    <cellStyle name="20% - Accent1 4 2 12 2" xfId="30052"/>
    <cellStyle name="20% - Accent1 4 2 13" xfId="7933"/>
    <cellStyle name="20% - Accent1 4 2 13 2" xfId="30708"/>
    <cellStyle name="20% - Accent1 4 2 14" xfId="8589"/>
    <cellStyle name="20% - Accent1 4 2 14 2" xfId="31364"/>
    <cellStyle name="20% - Accent1 4 2 15" xfId="9245"/>
    <cellStyle name="20% - Accent1 4 2 15 2" xfId="32020"/>
    <cellStyle name="20% - Accent1 4 2 16" xfId="9901"/>
    <cellStyle name="20% - Accent1 4 2 16 2" xfId="32676"/>
    <cellStyle name="20% - Accent1 4 2 17" xfId="10557"/>
    <cellStyle name="20% - Accent1 4 2 17 2" xfId="33332"/>
    <cellStyle name="20% - Accent1 4 2 18" xfId="11213"/>
    <cellStyle name="20% - Accent1 4 2 18 2" xfId="33988"/>
    <cellStyle name="20% - Accent1 4 2 19" xfId="11869"/>
    <cellStyle name="20% - Accent1 4 2 19 2" xfId="34644"/>
    <cellStyle name="20% - Accent1 4 2 2" xfId="573"/>
    <cellStyle name="20% - Accent1 4 2 2 10" xfId="6806"/>
    <cellStyle name="20% - Accent1 4 2 2 10 2" xfId="29581"/>
    <cellStyle name="20% - Accent1 4 2 2 11" xfId="7462"/>
    <cellStyle name="20% - Accent1 4 2 2 11 2" xfId="30237"/>
    <cellStyle name="20% - Accent1 4 2 2 12" xfId="8118"/>
    <cellStyle name="20% - Accent1 4 2 2 12 2" xfId="30893"/>
    <cellStyle name="20% - Accent1 4 2 2 13" xfId="8774"/>
    <cellStyle name="20% - Accent1 4 2 2 13 2" xfId="31549"/>
    <cellStyle name="20% - Accent1 4 2 2 14" xfId="9430"/>
    <cellStyle name="20% - Accent1 4 2 2 14 2" xfId="32205"/>
    <cellStyle name="20% - Accent1 4 2 2 15" xfId="10086"/>
    <cellStyle name="20% - Accent1 4 2 2 15 2" xfId="32861"/>
    <cellStyle name="20% - Accent1 4 2 2 16" xfId="10742"/>
    <cellStyle name="20% - Accent1 4 2 2 16 2" xfId="33517"/>
    <cellStyle name="20% - Accent1 4 2 2 17" xfId="11398"/>
    <cellStyle name="20% - Accent1 4 2 2 17 2" xfId="34173"/>
    <cellStyle name="20% - Accent1 4 2 2 18" xfId="12054"/>
    <cellStyle name="20% - Accent1 4 2 2 18 2" xfId="34829"/>
    <cellStyle name="20% - Accent1 4 2 2 19" xfId="12710"/>
    <cellStyle name="20% - Accent1 4 2 2 19 2" xfId="35485"/>
    <cellStyle name="20% - Accent1 4 2 2 2" xfId="902"/>
    <cellStyle name="20% - Accent1 4 2 2 2 10" xfId="8446"/>
    <cellStyle name="20% - Accent1 4 2 2 2 10 2" xfId="31221"/>
    <cellStyle name="20% - Accent1 4 2 2 2 11" xfId="9102"/>
    <cellStyle name="20% - Accent1 4 2 2 2 11 2" xfId="31877"/>
    <cellStyle name="20% - Accent1 4 2 2 2 12" xfId="9758"/>
    <cellStyle name="20% - Accent1 4 2 2 2 12 2" xfId="32533"/>
    <cellStyle name="20% - Accent1 4 2 2 2 13" xfId="10414"/>
    <cellStyle name="20% - Accent1 4 2 2 2 13 2" xfId="33189"/>
    <cellStyle name="20% - Accent1 4 2 2 2 14" xfId="11070"/>
    <cellStyle name="20% - Accent1 4 2 2 2 14 2" xfId="33845"/>
    <cellStyle name="20% - Accent1 4 2 2 2 15" xfId="11726"/>
    <cellStyle name="20% - Accent1 4 2 2 2 15 2" xfId="34501"/>
    <cellStyle name="20% - Accent1 4 2 2 2 16" xfId="12382"/>
    <cellStyle name="20% - Accent1 4 2 2 2 16 2" xfId="35157"/>
    <cellStyle name="20% - Accent1 4 2 2 2 17" xfId="13038"/>
    <cellStyle name="20% - Accent1 4 2 2 2 17 2" xfId="35813"/>
    <cellStyle name="20% - Accent1 4 2 2 2 18" xfId="13694"/>
    <cellStyle name="20% - Accent1 4 2 2 2 18 2" xfId="36469"/>
    <cellStyle name="20% - Accent1 4 2 2 2 19" xfId="14350"/>
    <cellStyle name="20% - Accent1 4 2 2 2 19 2" xfId="37125"/>
    <cellStyle name="20% - Accent1 4 2 2 2 2" xfId="1558"/>
    <cellStyle name="20% - Accent1 4 2 2 2 2 2" xfId="3854"/>
    <cellStyle name="20% - Accent1 4 2 2 2 2 2 2" xfId="26629"/>
    <cellStyle name="20% - Accent1 4 2 2 2 2 3" xfId="24333"/>
    <cellStyle name="20% - Accent1 4 2 2 2 20" xfId="15006"/>
    <cellStyle name="20% - Accent1 4 2 2 2 20 2" xfId="37781"/>
    <cellStyle name="20% - Accent1 4 2 2 2 21" xfId="15662"/>
    <cellStyle name="20% - Accent1 4 2 2 2 21 2" xfId="38437"/>
    <cellStyle name="20% - Accent1 4 2 2 2 22" xfId="16318"/>
    <cellStyle name="20% - Accent1 4 2 2 2 22 2" xfId="39093"/>
    <cellStyle name="20% - Accent1 4 2 2 2 23" xfId="16974"/>
    <cellStyle name="20% - Accent1 4 2 2 2 23 2" xfId="39749"/>
    <cellStyle name="20% - Accent1 4 2 2 2 24" xfId="17630"/>
    <cellStyle name="20% - Accent1 4 2 2 2 24 2" xfId="40405"/>
    <cellStyle name="20% - Accent1 4 2 2 2 25" xfId="18286"/>
    <cellStyle name="20% - Accent1 4 2 2 2 25 2" xfId="41061"/>
    <cellStyle name="20% - Accent1 4 2 2 2 26" xfId="18942"/>
    <cellStyle name="20% - Accent1 4 2 2 2 26 2" xfId="41717"/>
    <cellStyle name="20% - Accent1 4 2 2 2 27" xfId="19598"/>
    <cellStyle name="20% - Accent1 4 2 2 2 27 2" xfId="42373"/>
    <cellStyle name="20% - Accent1 4 2 2 2 28" xfId="20254"/>
    <cellStyle name="20% - Accent1 4 2 2 2 28 2" xfId="43029"/>
    <cellStyle name="20% - Accent1 4 2 2 2 29" xfId="20910"/>
    <cellStyle name="20% - Accent1 4 2 2 2 29 2" xfId="43685"/>
    <cellStyle name="20% - Accent1 4 2 2 2 3" xfId="2214"/>
    <cellStyle name="20% - Accent1 4 2 2 2 3 2" xfId="4510"/>
    <cellStyle name="20% - Accent1 4 2 2 2 3 2 2" xfId="27285"/>
    <cellStyle name="20% - Accent1 4 2 2 2 3 3" xfId="24989"/>
    <cellStyle name="20% - Accent1 4 2 2 2 30" xfId="21566"/>
    <cellStyle name="20% - Accent1 4 2 2 2 30 2" xfId="44341"/>
    <cellStyle name="20% - Accent1 4 2 2 2 31" xfId="22222"/>
    <cellStyle name="20% - Accent1 4 2 2 2 31 2" xfId="44997"/>
    <cellStyle name="20% - Accent1 4 2 2 2 32" xfId="22878"/>
    <cellStyle name="20% - Accent1 4 2 2 2 32 2" xfId="45653"/>
    <cellStyle name="20% - Accent1 4 2 2 2 33" xfId="23677"/>
    <cellStyle name="20% - Accent1 4 2 2 2 4" xfId="5166"/>
    <cellStyle name="20% - Accent1 4 2 2 2 4 2" xfId="27941"/>
    <cellStyle name="20% - Accent1 4 2 2 2 5" xfId="5822"/>
    <cellStyle name="20% - Accent1 4 2 2 2 5 2" xfId="28597"/>
    <cellStyle name="20% - Accent1 4 2 2 2 6" xfId="6478"/>
    <cellStyle name="20% - Accent1 4 2 2 2 6 2" xfId="29253"/>
    <cellStyle name="20% - Accent1 4 2 2 2 7" xfId="3198"/>
    <cellStyle name="20% - Accent1 4 2 2 2 7 2" xfId="25973"/>
    <cellStyle name="20% - Accent1 4 2 2 2 8" xfId="7134"/>
    <cellStyle name="20% - Accent1 4 2 2 2 8 2" xfId="29909"/>
    <cellStyle name="20% - Accent1 4 2 2 2 9" xfId="7790"/>
    <cellStyle name="20% - Accent1 4 2 2 2 9 2" xfId="30565"/>
    <cellStyle name="20% - Accent1 4 2 2 20" xfId="13366"/>
    <cellStyle name="20% - Accent1 4 2 2 20 2" xfId="36141"/>
    <cellStyle name="20% - Accent1 4 2 2 21" xfId="14022"/>
    <cellStyle name="20% - Accent1 4 2 2 21 2" xfId="36797"/>
    <cellStyle name="20% - Accent1 4 2 2 22" xfId="14678"/>
    <cellStyle name="20% - Accent1 4 2 2 22 2" xfId="37453"/>
    <cellStyle name="20% - Accent1 4 2 2 23" xfId="15334"/>
    <cellStyle name="20% - Accent1 4 2 2 23 2" xfId="38109"/>
    <cellStyle name="20% - Accent1 4 2 2 24" xfId="15990"/>
    <cellStyle name="20% - Accent1 4 2 2 24 2" xfId="38765"/>
    <cellStyle name="20% - Accent1 4 2 2 25" xfId="16646"/>
    <cellStyle name="20% - Accent1 4 2 2 25 2" xfId="39421"/>
    <cellStyle name="20% - Accent1 4 2 2 26" xfId="17302"/>
    <cellStyle name="20% - Accent1 4 2 2 26 2" xfId="40077"/>
    <cellStyle name="20% - Accent1 4 2 2 27" xfId="17958"/>
    <cellStyle name="20% - Accent1 4 2 2 27 2" xfId="40733"/>
    <cellStyle name="20% - Accent1 4 2 2 28" xfId="18614"/>
    <cellStyle name="20% - Accent1 4 2 2 28 2" xfId="41389"/>
    <cellStyle name="20% - Accent1 4 2 2 29" xfId="19270"/>
    <cellStyle name="20% - Accent1 4 2 2 29 2" xfId="42045"/>
    <cellStyle name="20% - Accent1 4 2 2 3" xfId="1230"/>
    <cellStyle name="20% - Accent1 4 2 2 3 2" xfId="2870"/>
    <cellStyle name="20% - Accent1 4 2 2 3 2 2" xfId="25645"/>
    <cellStyle name="20% - Accent1 4 2 2 3 3" xfId="24005"/>
    <cellStyle name="20% - Accent1 4 2 2 30" xfId="19926"/>
    <cellStyle name="20% - Accent1 4 2 2 30 2" xfId="42701"/>
    <cellStyle name="20% - Accent1 4 2 2 31" xfId="20582"/>
    <cellStyle name="20% - Accent1 4 2 2 31 2" xfId="43357"/>
    <cellStyle name="20% - Accent1 4 2 2 32" xfId="21238"/>
    <cellStyle name="20% - Accent1 4 2 2 32 2" xfId="44013"/>
    <cellStyle name="20% - Accent1 4 2 2 33" xfId="21894"/>
    <cellStyle name="20% - Accent1 4 2 2 33 2" xfId="44669"/>
    <cellStyle name="20% - Accent1 4 2 2 34" xfId="22550"/>
    <cellStyle name="20% - Accent1 4 2 2 34 2" xfId="45325"/>
    <cellStyle name="20% - Accent1 4 2 2 35" xfId="23349"/>
    <cellStyle name="20% - Accent1 4 2 2 4" xfId="1886"/>
    <cellStyle name="20% - Accent1 4 2 2 4 2" xfId="3526"/>
    <cellStyle name="20% - Accent1 4 2 2 4 2 2" xfId="26301"/>
    <cellStyle name="20% - Accent1 4 2 2 4 3" xfId="24661"/>
    <cellStyle name="20% - Accent1 4 2 2 5" xfId="4182"/>
    <cellStyle name="20% - Accent1 4 2 2 5 2" xfId="26957"/>
    <cellStyle name="20% - Accent1 4 2 2 6" xfId="4838"/>
    <cellStyle name="20% - Accent1 4 2 2 6 2" xfId="27613"/>
    <cellStyle name="20% - Accent1 4 2 2 7" xfId="5494"/>
    <cellStyle name="20% - Accent1 4 2 2 7 2" xfId="28269"/>
    <cellStyle name="20% - Accent1 4 2 2 8" xfId="6150"/>
    <cellStyle name="20% - Accent1 4 2 2 8 2" xfId="28925"/>
    <cellStyle name="20% - Accent1 4 2 2 9" xfId="2542"/>
    <cellStyle name="20% - Accent1 4 2 2 9 2" xfId="25317"/>
    <cellStyle name="20% - Accent1 4 2 20" xfId="12525"/>
    <cellStyle name="20% - Accent1 4 2 20 2" xfId="35300"/>
    <cellStyle name="20% - Accent1 4 2 21" xfId="13181"/>
    <cellStyle name="20% - Accent1 4 2 21 2" xfId="35956"/>
    <cellStyle name="20% - Accent1 4 2 22" xfId="13837"/>
    <cellStyle name="20% - Accent1 4 2 22 2" xfId="36612"/>
    <cellStyle name="20% - Accent1 4 2 23" xfId="14493"/>
    <cellStyle name="20% - Accent1 4 2 23 2" xfId="37268"/>
    <cellStyle name="20% - Accent1 4 2 24" xfId="15149"/>
    <cellStyle name="20% - Accent1 4 2 24 2" xfId="37924"/>
    <cellStyle name="20% - Accent1 4 2 25" xfId="15805"/>
    <cellStyle name="20% - Accent1 4 2 25 2" xfId="38580"/>
    <cellStyle name="20% - Accent1 4 2 26" xfId="16461"/>
    <cellStyle name="20% - Accent1 4 2 26 2" xfId="39236"/>
    <cellStyle name="20% - Accent1 4 2 27" xfId="17117"/>
    <cellStyle name="20% - Accent1 4 2 27 2" xfId="39892"/>
    <cellStyle name="20% - Accent1 4 2 28" xfId="17773"/>
    <cellStyle name="20% - Accent1 4 2 28 2" xfId="40548"/>
    <cellStyle name="20% - Accent1 4 2 29" xfId="18429"/>
    <cellStyle name="20% - Accent1 4 2 29 2" xfId="41204"/>
    <cellStyle name="20% - Accent1 4 2 3" xfId="717"/>
    <cellStyle name="20% - Accent1 4 2 3 10" xfId="8261"/>
    <cellStyle name="20% - Accent1 4 2 3 10 2" xfId="31036"/>
    <cellStyle name="20% - Accent1 4 2 3 11" xfId="8917"/>
    <cellStyle name="20% - Accent1 4 2 3 11 2" xfId="31692"/>
    <cellStyle name="20% - Accent1 4 2 3 12" xfId="9573"/>
    <cellStyle name="20% - Accent1 4 2 3 12 2" xfId="32348"/>
    <cellStyle name="20% - Accent1 4 2 3 13" xfId="10229"/>
    <cellStyle name="20% - Accent1 4 2 3 13 2" xfId="33004"/>
    <cellStyle name="20% - Accent1 4 2 3 14" xfId="10885"/>
    <cellStyle name="20% - Accent1 4 2 3 14 2" xfId="33660"/>
    <cellStyle name="20% - Accent1 4 2 3 15" xfId="11541"/>
    <cellStyle name="20% - Accent1 4 2 3 15 2" xfId="34316"/>
    <cellStyle name="20% - Accent1 4 2 3 16" xfId="12197"/>
    <cellStyle name="20% - Accent1 4 2 3 16 2" xfId="34972"/>
    <cellStyle name="20% - Accent1 4 2 3 17" xfId="12853"/>
    <cellStyle name="20% - Accent1 4 2 3 17 2" xfId="35628"/>
    <cellStyle name="20% - Accent1 4 2 3 18" xfId="13509"/>
    <cellStyle name="20% - Accent1 4 2 3 18 2" xfId="36284"/>
    <cellStyle name="20% - Accent1 4 2 3 19" xfId="14165"/>
    <cellStyle name="20% - Accent1 4 2 3 19 2" xfId="36940"/>
    <cellStyle name="20% - Accent1 4 2 3 2" xfId="1373"/>
    <cellStyle name="20% - Accent1 4 2 3 2 2" xfId="3669"/>
    <cellStyle name="20% - Accent1 4 2 3 2 2 2" xfId="26444"/>
    <cellStyle name="20% - Accent1 4 2 3 2 3" xfId="24148"/>
    <cellStyle name="20% - Accent1 4 2 3 20" xfId="14821"/>
    <cellStyle name="20% - Accent1 4 2 3 20 2" xfId="37596"/>
    <cellStyle name="20% - Accent1 4 2 3 21" xfId="15477"/>
    <cellStyle name="20% - Accent1 4 2 3 21 2" xfId="38252"/>
    <cellStyle name="20% - Accent1 4 2 3 22" xfId="16133"/>
    <cellStyle name="20% - Accent1 4 2 3 22 2" xfId="38908"/>
    <cellStyle name="20% - Accent1 4 2 3 23" xfId="16789"/>
    <cellStyle name="20% - Accent1 4 2 3 23 2" xfId="39564"/>
    <cellStyle name="20% - Accent1 4 2 3 24" xfId="17445"/>
    <cellStyle name="20% - Accent1 4 2 3 24 2" xfId="40220"/>
    <cellStyle name="20% - Accent1 4 2 3 25" xfId="18101"/>
    <cellStyle name="20% - Accent1 4 2 3 25 2" xfId="40876"/>
    <cellStyle name="20% - Accent1 4 2 3 26" xfId="18757"/>
    <cellStyle name="20% - Accent1 4 2 3 26 2" xfId="41532"/>
    <cellStyle name="20% - Accent1 4 2 3 27" xfId="19413"/>
    <cellStyle name="20% - Accent1 4 2 3 27 2" xfId="42188"/>
    <cellStyle name="20% - Accent1 4 2 3 28" xfId="20069"/>
    <cellStyle name="20% - Accent1 4 2 3 28 2" xfId="42844"/>
    <cellStyle name="20% - Accent1 4 2 3 29" xfId="20725"/>
    <cellStyle name="20% - Accent1 4 2 3 29 2" xfId="43500"/>
    <cellStyle name="20% - Accent1 4 2 3 3" xfId="2029"/>
    <cellStyle name="20% - Accent1 4 2 3 3 2" xfId="4325"/>
    <cellStyle name="20% - Accent1 4 2 3 3 2 2" xfId="27100"/>
    <cellStyle name="20% - Accent1 4 2 3 3 3" xfId="24804"/>
    <cellStyle name="20% - Accent1 4 2 3 30" xfId="21381"/>
    <cellStyle name="20% - Accent1 4 2 3 30 2" xfId="44156"/>
    <cellStyle name="20% - Accent1 4 2 3 31" xfId="22037"/>
    <cellStyle name="20% - Accent1 4 2 3 31 2" xfId="44812"/>
    <cellStyle name="20% - Accent1 4 2 3 32" xfId="22693"/>
    <cellStyle name="20% - Accent1 4 2 3 32 2" xfId="45468"/>
    <cellStyle name="20% - Accent1 4 2 3 33" xfId="23492"/>
    <cellStyle name="20% - Accent1 4 2 3 4" xfId="4981"/>
    <cellStyle name="20% - Accent1 4 2 3 4 2" xfId="27756"/>
    <cellStyle name="20% - Accent1 4 2 3 5" xfId="5637"/>
    <cellStyle name="20% - Accent1 4 2 3 5 2" xfId="28412"/>
    <cellStyle name="20% - Accent1 4 2 3 6" xfId="6293"/>
    <cellStyle name="20% - Accent1 4 2 3 6 2" xfId="29068"/>
    <cellStyle name="20% - Accent1 4 2 3 7" xfId="3013"/>
    <cellStyle name="20% - Accent1 4 2 3 7 2" xfId="25788"/>
    <cellStyle name="20% - Accent1 4 2 3 8" xfId="6949"/>
    <cellStyle name="20% - Accent1 4 2 3 8 2" xfId="29724"/>
    <cellStyle name="20% - Accent1 4 2 3 9" xfId="7605"/>
    <cellStyle name="20% - Accent1 4 2 3 9 2" xfId="30380"/>
    <cellStyle name="20% - Accent1 4 2 30" xfId="19085"/>
    <cellStyle name="20% - Accent1 4 2 30 2" xfId="41860"/>
    <cellStyle name="20% - Accent1 4 2 31" xfId="19741"/>
    <cellStyle name="20% - Accent1 4 2 31 2" xfId="42516"/>
    <cellStyle name="20% - Accent1 4 2 32" xfId="20397"/>
    <cellStyle name="20% - Accent1 4 2 32 2" xfId="43172"/>
    <cellStyle name="20% - Accent1 4 2 33" xfId="21053"/>
    <cellStyle name="20% - Accent1 4 2 33 2" xfId="43828"/>
    <cellStyle name="20% - Accent1 4 2 34" xfId="21709"/>
    <cellStyle name="20% - Accent1 4 2 34 2" xfId="44484"/>
    <cellStyle name="20% - Accent1 4 2 35" xfId="22365"/>
    <cellStyle name="20% - Accent1 4 2 35 2" xfId="45140"/>
    <cellStyle name="20% - Accent1 4 2 36" xfId="23021"/>
    <cellStyle name="20% - Accent1 4 2 4" xfId="390"/>
    <cellStyle name="20% - Accent1 4 2 4 2" xfId="2685"/>
    <cellStyle name="20% - Accent1 4 2 4 2 2" xfId="25460"/>
    <cellStyle name="20% - Accent1 4 2 4 3" xfId="23164"/>
    <cellStyle name="20% - Accent1 4 2 5" xfId="1045"/>
    <cellStyle name="20% - Accent1 4 2 5 2" xfId="3341"/>
    <cellStyle name="20% - Accent1 4 2 5 2 2" xfId="26116"/>
    <cellStyle name="20% - Accent1 4 2 5 3" xfId="23820"/>
    <cellStyle name="20% - Accent1 4 2 6" xfId="1701"/>
    <cellStyle name="20% - Accent1 4 2 6 2" xfId="3997"/>
    <cellStyle name="20% - Accent1 4 2 6 2 2" xfId="26772"/>
    <cellStyle name="20% - Accent1 4 2 6 3" xfId="24476"/>
    <cellStyle name="20% - Accent1 4 2 7" xfId="4653"/>
    <cellStyle name="20% - Accent1 4 2 7 2" xfId="27428"/>
    <cellStyle name="20% - Accent1 4 2 8" xfId="5309"/>
    <cellStyle name="20% - Accent1 4 2 8 2" xfId="28084"/>
    <cellStyle name="20% - Accent1 4 2 9" xfId="5965"/>
    <cellStyle name="20% - Accent1 4 2 9 2" xfId="28740"/>
    <cellStyle name="20% - Accent1 4 20" xfId="11798"/>
    <cellStyle name="20% - Accent1 4 20 2" xfId="34573"/>
    <cellStyle name="20% - Accent1 4 21" xfId="12454"/>
    <cellStyle name="20% - Accent1 4 21 2" xfId="35229"/>
    <cellStyle name="20% - Accent1 4 22" xfId="13110"/>
    <cellStyle name="20% - Accent1 4 22 2" xfId="35885"/>
    <cellStyle name="20% - Accent1 4 23" xfId="13766"/>
    <cellStyle name="20% - Accent1 4 23 2" xfId="36541"/>
    <cellStyle name="20% - Accent1 4 24" xfId="14422"/>
    <cellStyle name="20% - Accent1 4 24 2" xfId="37197"/>
    <cellStyle name="20% - Accent1 4 25" xfId="15078"/>
    <cellStyle name="20% - Accent1 4 25 2" xfId="37853"/>
    <cellStyle name="20% - Accent1 4 26" xfId="15734"/>
    <cellStyle name="20% - Accent1 4 26 2" xfId="38509"/>
    <cellStyle name="20% - Accent1 4 27" xfId="16390"/>
    <cellStyle name="20% - Accent1 4 27 2" xfId="39165"/>
    <cellStyle name="20% - Accent1 4 28" xfId="17046"/>
    <cellStyle name="20% - Accent1 4 28 2" xfId="39821"/>
    <cellStyle name="20% - Accent1 4 29" xfId="17702"/>
    <cellStyle name="20% - Accent1 4 29 2" xfId="40477"/>
    <cellStyle name="20% - Accent1 4 3" xfId="503"/>
    <cellStyle name="20% - Accent1 4 3 10" xfId="6735"/>
    <cellStyle name="20% - Accent1 4 3 10 2" xfId="29510"/>
    <cellStyle name="20% - Accent1 4 3 11" xfId="7391"/>
    <cellStyle name="20% - Accent1 4 3 11 2" xfId="30166"/>
    <cellStyle name="20% - Accent1 4 3 12" xfId="8047"/>
    <cellStyle name="20% - Accent1 4 3 12 2" xfId="30822"/>
    <cellStyle name="20% - Accent1 4 3 13" xfId="8703"/>
    <cellStyle name="20% - Accent1 4 3 13 2" xfId="31478"/>
    <cellStyle name="20% - Accent1 4 3 14" xfId="9359"/>
    <cellStyle name="20% - Accent1 4 3 14 2" xfId="32134"/>
    <cellStyle name="20% - Accent1 4 3 15" xfId="10015"/>
    <cellStyle name="20% - Accent1 4 3 15 2" xfId="32790"/>
    <cellStyle name="20% - Accent1 4 3 16" xfId="10671"/>
    <cellStyle name="20% - Accent1 4 3 16 2" xfId="33446"/>
    <cellStyle name="20% - Accent1 4 3 17" xfId="11327"/>
    <cellStyle name="20% - Accent1 4 3 17 2" xfId="34102"/>
    <cellStyle name="20% - Accent1 4 3 18" xfId="11983"/>
    <cellStyle name="20% - Accent1 4 3 18 2" xfId="34758"/>
    <cellStyle name="20% - Accent1 4 3 19" xfId="12639"/>
    <cellStyle name="20% - Accent1 4 3 19 2" xfId="35414"/>
    <cellStyle name="20% - Accent1 4 3 2" xfId="831"/>
    <cellStyle name="20% - Accent1 4 3 2 10" xfId="8375"/>
    <cellStyle name="20% - Accent1 4 3 2 10 2" xfId="31150"/>
    <cellStyle name="20% - Accent1 4 3 2 11" xfId="9031"/>
    <cellStyle name="20% - Accent1 4 3 2 11 2" xfId="31806"/>
    <cellStyle name="20% - Accent1 4 3 2 12" xfId="9687"/>
    <cellStyle name="20% - Accent1 4 3 2 12 2" xfId="32462"/>
    <cellStyle name="20% - Accent1 4 3 2 13" xfId="10343"/>
    <cellStyle name="20% - Accent1 4 3 2 13 2" xfId="33118"/>
    <cellStyle name="20% - Accent1 4 3 2 14" xfId="10999"/>
    <cellStyle name="20% - Accent1 4 3 2 14 2" xfId="33774"/>
    <cellStyle name="20% - Accent1 4 3 2 15" xfId="11655"/>
    <cellStyle name="20% - Accent1 4 3 2 15 2" xfId="34430"/>
    <cellStyle name="20% - Accent1 4 3 2 16" xfId="12311"/>
    <cellStyle name="20% - Accent1 4 3 2 16 2" xfId="35086"/>
    <cellStyle name="20% - Accent1 4 3 2 17" xfId="12967"/>
    <cellStyle name="20% - Accent1 4 3 2 17 2" xfId="35742"/>
    <cellStyle name="20% - Accent1 4 3 2 18" xfId="13623"/>
    <cellStyle name="20% - Accent1 4 3 2 18 2" xfId="36398"/>
    <cellStyle name="20% - Accent1 4 3 2 19" xfId="14279"/>
    <cellStyle name="20% - Accent1 4 3 2 19 2" xfId="37054"/>
    <cellStyle name="20% - Accent1 4 3 2 2" xfId="1487"/>
    <cellStyle name="20% - Accent1 4 3 2 2 2" xfId="3783"/>
    <cellStyle name="20% - Accent1 4 3 2 2 2 2" xfId="26558"/>
    <cellStyle name="20% - Accent1 4 3 2 2 3" xfId="24262"/>
    <cellStyle name="20% - Accent1 4 3 2 20" xfId="14935"/>
    <cellStyle name="20% - Accent1 4 3 2 20 2" xfId="37710"/>
    <cellStyle name="20% - Accent1 4 3 2 21" xfId="15591"/>
    <cellStyle name="20% - Accent1 4 3 2 21 2" xfId="38366"/>
    <cellStyle name="20% - Accent1 4 3 2 22" xfId="16247"/>
    <cellStyle name="20% - Accent1 4 3 2 22 2" xfId="39022"/>
    <cellStyle name="20% - Accent1 4 3 2 23" xfId="16903"/>
    <cellStyle name="20% - Accent1 4 3 2 23 2" xfId="39678"/>
    <cellStyle name="20% - Accent1 4 3 2 24" xfId="17559"/>
    <cellStyle name="20% - Accent1 4 3 2 24 2" xfId="40334"/>
    <cellStyle name="20% - Accent1 4 3 2 25" xfId="18215"/>
    <cellStyle name="20% - Accent1 4 3 2 25 2" xfId="40990"/>
    <cellStyle name="20% - Accent1 4 3 2 26" xfId="18871"/>
    <cellStyle name="20% - Accent1 4 3 2 26 2" xfId="41646"/>
    <cellStyle name="20% - Accent1 4 3 2 27" xfId="19527"/>
    <cellStyle name="20% - Accent1 4 3 2 27 2" xfId="42302"/>
    <cellStyle name="20% - Accent1 4 3 2 28" xfId="20183"/>
    <cellStyle name="20% - Accent1 4 3 2 28 2" xfId="42958"/>
    <cellStyle name="20% - Accent1 4 3 2 29" xfId="20839"/>
    <cellStyle name="20% - Accent1 4 3 2 29 2" xfId="43614"/>
    <cellStyle name="20% - Accent1 4 3 2 3" xfId="2143"/>
    <cellStyle name="20% - Accent1 4 3 2 3 2" xfId="4439"/>
    <cellStyle name="20% - Accent1 4 3 2 3 2 2" xfId="27214"/>
    <cellStyle name="20% - Accent1 4 3 2 3 3" xfId="24918"/>
    <cellStyle name="20% - Accent1 4 3 2 30" xfId="21495"/>
    <cellStyle name="20% - Accent1 4 3 2 30 2" xfId="44270"/>
    <cellStyle name="20% - Accent1 4 3 2 31" xfId="22151"/>
    <cellStyle name="20% - Accent1 4 3 2 31 2" xfId="44926"/>
    <cellStyle name="20% - Accent1 4 3 2 32" xfId="22807"/>
    <cellStyle name="20% - Accent1 4 3 2 32 2" xfId="45582"/>
    <cellStyle name="20% - Accent1 4 3 2 33" xfId="23606"/>
    <cellStyle name="20% - Accent1 4 3 2 4" xfId="5095"/>
    <cellStyle name="20% - Accent1 4 3 2 4 2" xfId="27870"/>
    <cellStyle name="20% - Accent1 4 3 2 5" xfId="5751"/>
    <cellStyle name="20% - Accent1 4 3 2 5 2" xfId="28526"/>
    <cellStyle name="20% - Accent1 4 3 2 6" xfId="6407"/>
    <cellStyle name="20% - Accent1 4 3 2 6 2" xfId="29182"/>
    <cellStyle name="20% - Accent1 4 3 2 7" xfId="3127"/>
    <cellStyle name="20% - Accent1 4 3 2 7 2" xfId="25902"/>
    <cellStyle name="20% - Accent1 4 3 2 8" xfId="7063"/>
    <cellStyle name="20% - Accent1 4 3 2 8 2" xfId="29838"/>
    <cellStyle name="20% - Accent1 4 3 2 9" xfId="7719"/>
    <cellStyle name="20% - Accent1 4 3 2 9 2" xfId="30494"/>
    <cellStyle name="20% - Accent1 4 3 20" xfId="13295"/>
    <cellStyle name="20% - Accent1 4 3 20 2" xfId="36070"/>
    <cellStyle name="20% - Accent1 4 3 21" xfId="13951"/>
    <cellStyle name="20% - Accent1 4 3 21 2" xfId="36726"/>
    <cellStyle name="20% - Accent1 4 3 22" xfId="14607"/>
    <cellStyle name="20% - Accent1 4 3 22 2" xfId="37382"/>
    <cellStyle name="20% - Accent1 4 3 23" xfId="15263"/>
    <cellStyle name="20% - Accent1 4 3 23 2" xfId="38038"/>
    <cellStyle name="20% - Accent1 4 3 24" xfId="15919"/>
    <cellStyle name="20% - Accent1 4 3 24 2" xfId="38694"/>
    <cellStyle name="20% - Accent1 4 3 25" xfId="16575"/>
    <cellStyle name="20% - Accent1 4 3 25 2" xfId="39350"/>
    <cellStyle name="20% - Accent1 4 3 26" xfId="17231"/>
    <cellStyle name="20% - Accent1 4 3 26 2" xfId="40006"/>
    <cellStyle name="20% - Accent1 4 3 27" xfId="17887"/>
    <cellStyle name="20% - Accent1 4 3 27 2" xfId="40662"/>
    <cellStyle name="20% - Accent1 4 3 28" xfId="18543"/>
    <cellStyle name="20% - Accent1 4 3 28 2" xfId="41318"/>
    <cellStyle name="20% - Accent1 4 3 29" xfId="19199"/>
    <cellStyle name="20% - Accent1 4 3 29 2" xfId="41974"/>
    <cellStyle name="20% - Accent1 4 3 3" xfId="1159"/>
    <cellStyle name="20% - Accent1 4 3 3 2" xfId="2799"/>
    <cellStyle name="20% - Accent1 4 3 3 2 2" xfId="25574"/>
    <cellStyle name="20% - Accent1 4 3 3 3" xfId="23934"/>
    <cellStyle name="20% - Accent1 4 3 30" xfId="19855"/>
    <cellStyle name="20% - Accent1 4 3 30 2" xfId="42630"/>
    <cellStyle name="20% - Accent1 4 3 31" xfId="20511"/>
    <cellStyle name="20% - Accent1 4 3 31 2" xfId="43286"/>
    <cellStyle name="20% - Accent1 4 3 32" xfId="21167"/>
    <cellStyle name="20% - Accent1 4 3 32 2" xfId="43942"/>
    <cellStyle name="20% - Accent1 4 3 33" xfId="21823"/>
    <cellStyle name="20% - Accent1 4 3 33 2" xfId="44598"/>
    <cellStyle name="20% - Accent1 4 3 34" xfId="22479"/>
    <cellStyle name="20% - Accent1 4 3 34 2" xfId="45254"/>
    <cellStyle name="20% - Accent1 4 3 35" xfId="23278"/>
    <cellStyle name="20% - Accent1 4 3 4" xfId="1815"/>
    <cellStyle name="20% - Accent1 4 3 4 2" xfId="3455"/>
    <cellStyle name="20% - Accent1 4 3 4 2 2" xfId="26230"/>
    <cellStyle name="20% - Accent1 4 3 4 3" xfId="24590"/>
    <cellStyle name="20% - Accent1 4 3 5" xfId="4111"/>
    <cellStyle name="20% - Accent1 4 3 5 2" xfId="26886"/>
    <cellStyle name="20% - Accent1 4 3 6" xfId="4767"/>
    <cellStyle name="20% - Accent1 4 3 6 2" xfId="27542"/>
    <cellStyle name="20% - Accent1 4 3 7" xfId="5423"/>
    <cellStyle name="20% - Accent1 4 3 7 2" xfId="28198"/>
    <cellStyle name="20% - Accent1 4 3 8" xfId="6079"/>
    <cellStyle name="20% - Accent1 4 3 8 2" xfId="28854"/>
    <cellStyle name="20% - Accent1 4 3 9" xfId="2471"/>
    <cellStyle name="20% - Accent1 4 3 9 2" xfId="25246"/>
    <cellStyle name="20% - Accent1 4 30" xfId="18358"/>
    <cellStyle name="20% - Accent1 4 30 2" xfId="41133"/>
    <cellStyle name="20% - Accent1 4 31" xfId="19014"/>
    <cellStyle name="20% - Accent1 4 31 2" xfId="41789"/>
    <cellStyle name="20% - Accent1 4 32" xfId="19670"/>
    <cellStyle name="20% - Accent1 4 32 2" xfId="42445"/>
    <cellStyle name="20% - Accent1 4 33" xfId="20326"/>
    <cellStyle name="20% - Accent1 4 33 2" xfId="43101"/>
    <cellStyle name="20% - Accent1 4 34" xfId="20982"/>
    <cellStyle name="20% - Accent1 4 34 2" xfId="43757"/>
    <cellStyle name="20% - Accent1 4 35" xfId="21638"/>
    <cellStyle name="20% - Accent1 4 35 2" xfId="44413"/>
    <cellStyle name="20% - Accent1 4 36" xfId="22294"/>
    <cellStyle name="20% - Accent1 4 36 2" xfId="45069"/>
    <cellStyle name="20% - Accent1 4 37" xfId="233"/>
    <cellStyle name="20% - Accent1 4 38" xfId="22950"/>
    <cellStyle name="20% - Accent1 4 4" xfId="646"/>
    <cellStyle name="20% - Accent1 4 4 10" xfId="8190"/>
    <cellStyle name="20% - Accent1 4 4 10 2" xfId="30965"/>
    <cellStyle name="20% - Accent1 4 4 11" xfId="8846"/>
    <cellStyle name="20% - Accent1 4 4 11 2" xfId="31621"/>
    <cellStyle name="20% - Accent1 4 4 12" xfId="9502"/>
    <cellStyle name="20% - Accent1 4 4 12 2" xfId="32277"/>
    <cellStyle name="20% - Accent1 4 4 13" xfId="10158"/>
    <cellStyle name="20% - Accent1 4 4 13 2" xfId="32933"/>
    <cellStyle name="20% - Accent1 4 4 14" xfId="10814"/>
    <cellStyle name="20% - Accent1 4 4 14 2" xfId="33589"/>
    <cellStyle name="20% - Accent1 4 4 15" xfId="11470"/>
    <cellStyle name="20% - Accent1 4 4 15 2" xfId="34245"/>
    <cellStyle name="20% - Accent1 4 4 16" xfId="12126"/>
    <cellStyle name="20% - Accent1 4 4 16 2" xfId="34901"/>
    <cellStyle name="20% - Accent1 4 4 17" xfId="12782"/>
    <cellStyle name="20% - Accent1 4 4 17 2" xfId="35557"/>
    <cellStyle name="20% - Accent1 4 4 18" xfId="13438"/>
    <cellStyle name="20% - Accent1 4 4 18 2" xfId="36213"/>
    <cellStyle name="20% - Accent1 4 4 19" xfId="14094"/>
    <cellStyle name="20% - Accent1 4 4 19 2" xfId="36869"/>
    <cellStyle name="20% - Accent1 4 4 2" xfId="1302"/>
    <cellStyle name="20% - Accent1 4 4 2 2" xfId="3598"/>
    <cellStyle name="20% - Accent1 4 4 2 2 2" xfId="26373"/>
    <cellStyle name="20% - Accent1 4 4 2 3" xfId="24077"/>
    <cellStyle name="20% - Accent1 4 4 20" xfId="14750"/>
    <cellStyle name="20% - Accent1 4 4 20 2" xfId="37525"/>
    <cellStyle name="20% - Accent1 4 4 21" xfId="15406"/>
    <cellStyle name="20% - Accent1 4 4 21 2" xfId="38181"/>
    <cellStyle name="20% - Accent1 4 4 22" xfId="16062"/>
    <cellStyle name="20% - Accent1 4 4 22 2" xfId="38837"/>
    <cellStyle name="20% - Accent1 4 4 23" xfId="16718"/>
    <cellStyle name="20% - Accent1 4 4 23 2" xfId="39493"/>
    <cellStyle name="20% - Accent1 4 4 24" xfId="17374"/>
    <cellStyle name="20% - Accent1 4 4 24 2" xfId="40149"/>
    <cellStyle name="20% - Accent1 4 4 25" xfId="18030"/>
    <cellStyle name="20% - Accent1 4 4 25 2" xfId="40805"/>
    <cellStyle name="20% - Accent1 4 4 26" xfId="18686"/>
    <cellStyle name="20% - Accent1 4 4 26 2" xfId="41461"/>
    <cellStyle name="20% - Accent1 4 4 27" xfId="19342"/>
    <cellStyle name="20% - Accent1 4 4 27 2" xfId="42117"/>
    <cellStyle name="20% - Accent1 4 4 28" xfId="19998"/>
    <cellStyle name="20% - Accent1 4 4 28 2" xfId="42773"/>
    <cellStyle name="20% - Accent1 4 4 29" xfId="20654"/>
    <cellStyle name="20% - Accent1 4 4 29 2" xfId="43429"/>
    <cellStyle name="20% - Accent1 4 4 3" xfId="1958"/>
    <cellStyle name="20% - Accent1 4 4 3 2" xfId="4254"/>
    <cellStyle name="20% - Accent1 4 4 3 2 2" xfId="27029"/>
    <cellStyle name="20% - Accent1 4 4 3 3" xfId="24733"/>
    <cellStyle name="20% - Accent1 4 4 30" xfId="21310"/>
    <cellStyle name="20% - Accent1 4 4 30 2" xfId="44085"/>
    <cellStyle name="20% - Accent1 4 4 31" xfId="21966"/>
    <cellStyle name="20% - Accent1 4 4 31 2" xfId="44741"/>
    <cellStyle name="20% - Accent1 4 4 32" xfId="22622"/>
    <cellStyle name="20% - Accent1 4 4 32 2" xfId="45397"/>
    <cellStyle name="20% - Accent1 4 4 33" xfId="23421"/>
    <cellStyle name="20% - Accent1 4 4 4" xfId="4910"/>
    <cellStyle name="20% - Accent1 4 4 4 2" xfId="27685"/>
    <cellStyle name="20% - Accent1 4 4 5" xfId="5566"/>
    <cellStyle name="20% - Accent1 4 4 5 2" xfId="28341"/>
    <cellStyle name="20% - Accent1 4 4 6" xfId="6222"/>
    <cellStyle name="20% - Accent1 4 4 6 2" xfId="28997"/>
    <cellStyle name="20% - Accent1 4 4 7" xfId="2942"/>
    <cellStyle name="20% - Accent1 4 4 7 2" xfId="25717"/>
    <cellStyle name="20% - Accent1 4 4 8" xfId="6878"/>
    <cellStyle name="20% - Accent1 4 4 8 2" xfId="29653"/>
    <cellStyle name="20% - Accent1 4 4 9" xfId="7534"/>
    <cellStyle name="20% - Accent1 4 4 9 2" xfId="30309"/>
    <cellStyle name="20% - Accent1 4 5" xfId="319"/>
    <cellStyle name="20% - Accent1 4 5 2" xfId="2614"/>
    <cellStyle name="20% - Accent1 4 5 2 2" xfId="25389"/>
    <cellStyle name="20% - Accent1 4 5 3" xfId="23093"/>
    <cellStyle name="20% - Accent1 4 6" xfId="974"/>
    <cellStyle name="20% - Accent1 4 6 2" xfId="3270"/>
    <cellStyle name="20% - Accent1 4 6 2 2" xfId="26045"/>
    <cellStyle name="20% - Accent1 4 6 3" xfId="23749"/>
    <cellStyle name="20% - Accent1 4 7" xfId="1630"/>
    <cellStyle name="20% - Accent1 4 7 2" xfId="3926"/>
    <cellStyle name="20% - Accent1 4 7 2 2" xfId="26701"/>
    <cellStyle name="20% - Accent1 4 7 3" xfId="24405"/>
    <cellStyle name="20% - Accent1 4 8" xfId="4582"/>
    <cellStyle name="20% - Accent1 4 8 2" xfId="27357"/>
    <cellStyle name="20% - Accent1 4 9" xfId="5238"/>
    <cellStyle name="20% - Accent1 4 9 2" xfId="28013"/>
    <cellStyle name="20% - Accent1 40" xfId="20281"/>
    <cellStyle name="20% - Accent1 40 2" xfId="43056"/>
    <cellStyle name="20% - Accent1 41" xfId="20937"/>
    <cellStyle name="20% - Accent1 41 2" xfId="43712"/>
    <cellStyle name="20% - Accent1 42" xfId="21593"/>
    <cellStyle name="20% - Accent1 42 2" xfId="44368"/>
    <cellStyle name="20% - Accent1 43" xfId="22249"/>
    <cellStyle name="20% - Accent1 43 2" xfId="45024"/>
    <cellStyle name="20% - Accent1 44" xfId="188"/>
    <cellStyle name="20% - Accent1 45" xfId="22905"/>
    <cellStyle name="20% - Accent1 5" xfId="102"/>
    <cellStyle name="20% - Accent1 5 10" xfId="5908"/>
    <cellStyle name="20% - Accent1 5 10 2" xfId="28683"/>
    <cellStyle name="20% - Accent1 5 11" xfId="2300"/>
    <cellStyle name="20% - Accent1 5 11 2" xfId="25075"/>
    <cellStyle name="20% - Accent1 5 12" xfId="6564"/>
    <cellStyle name="20% - Accent1 5 12 2" xfId="29339"/>
    <cellStyle name="20% - Accent1 5 13" xfId="7220"/>
    <cellStyle name="20% - Accent1 5 13 2" xfId="29995"/>
    <cellStyle name="20% - Accent1 5 14" xfId="7876"/>
    <cellStyle name="20% - Accent1 5 14 2" xfId="30651"/>
    <cellStyle name="20% - Accent1 5 15" xfId="8532"/>
    <cellStyle name="20% - Accent1 5 15 2" xfId="31307"/>
    <cellStyle name="20% - Accent1 5 16" xfId="9188"/>
    <cellStyle name="20% - Accent1 5 16 2" xfId="31963"/>
    <cellStyle name="20% - Accent1 5 17" xfId="9844"/>
    <cellStyle name="20% - Accent1 5 17 2" xfId="32619"/>
    <cellStyle name="20% - Accent1 5 18" xfId="10500"/>
    <cellStyle name="20% - Accent1 5 18 2" xfId="33275"/>
    <cellStyle name="20% - Accent1 5 19" xfId="11156"/>
    <cellStyle name="20% - Accent1 5 19 2" xfId="33931"/>
    <cellStyle name="20% - Accent1 5 2" xfId="173"/>
    <cellStyle name="20% - Accent1 5 2 10" xfId="2371"/>
    <cellStyle name="20% - Accent1 5 2 10 2" xfId="25146"/>
    <cellStyle name="20% - Accent1 5 2 11" xfId="6635"/>
    <cellStyle name="20% - Accent1 5 2 11 2" xfId="29410"/>
    <cellStyle name="20% - Accent1 5 2 12" xfId="7291"/>
    <cellStyle name="20% - Accent1 5 2 12 2" xfId="30066"/>
    <cellStyle name="20% - Accent1 5 2 13" xfId="7947"/>
    <cellStyle name="20% - Accent1 5 2 13 2" xfId="30722"/>
    <cellStyle name="20% - Accent1 5 2 14" xfId="8603"/>
    <cellStyle name="20% - Accent1 5 2 14 2" xfId="31378"/>
    <cellStyle name="20% - Accent1 5 2 15" xfId="9259"/>
    <cellStyle name="20% - Accent1 5 2 15 2" xfId="32034"/>
    <cellStyle name="20% - Accent1 5 2 16" xfId="9915"/>
    <cellStyle name="20% - Accent1 5 2 16 2" xfId="32690"/>
    <cellStyle name="20% - Accent1 5 2 17" xfId="10571"/>
    <cellStyle name="20% - Accent1 5 2 17 2" xfId="33346"/>
    <cellStyle name="20% - Accent1 5 2 18" xfId="11227"/>
    <cellStyle name="20% - Accent1 5 2 18 2" xfId="34002"/>
    <cellStyle name="20% - Accent1 5 2 19" xfId="11883"/>
    <cellStyle name="20% - Accent1 5 2 19 2" xfId="34658"/>
    <cellStyle name="20% - Accent1 5 2 2" xfId="587"/>
    <cellStyle name="20% - Accent1 5 2 2 10" xfId="6820"/>
    <cellStyle name="20% - Accent1 5 2 2 10 2" xfId="29595"/>
    <cellStyle name="20% - Accent1 5 2 2 11" xfId="7476"/>
    <cellStyle name="20% - Accent1 5 2 2 11 2" xfId="30251"/>
    <cellStyle name="20% - Accent1 5 2 2 12" xfId="8132"/>
    <cellStyle name="20% - Accent1 5 2 2 12 2" xfId="30907"/>
    <cellStyle name="20% - Accent1 5 2 2 13" xfId="8788"/>
    <cellStyle name="20% - Accent1 5 2 2 13 2" xfId="31563"/>
    <cellStyle name="20% - Accent1 5 2 2 14" xfId="9444"/>
    <cellStyle name="20% - Accent1 5 2 2 14 2" xfId="32219"/>
    <cellStyle name="20% - Accent1 5 2 2 15" xfId="10100"/>
    <cellStyle name="20% - Accent1 5 2 2 15 2" xfId="32875"/>
    <cellStyle name="20% - Accent1 5 2 2 16" xfId="10756"/>
    <cellStyle name="20% - Accent1 5 2 2 16 2" xfId="33531"/>
    <cellStyle name="20% - Accent1 5 2 2 17" xfId="11412"/>
    <cellStyle name="20% - Accent1 5 2 2 17 2" xfId="34187"/>
    <cellStyle name="20% - Accent1 5 2 2 18" xfId="12068"/>
    <cellStyle name="20% - Accent1 5 2 2 18 2" xfId="34843"/>
    <cellStyle name="20% - Accent1 5 2 2 19" xfId="12724"/>
    <cellStyle name="20% - Accent1 5 2 2 19 2" xfId="35499"/>
    <cellStyle name="20% - Accent1 5 2 2 2" xfId="916"/>
    <cellStyle name="20% - Accent1 5 2 2 2 10" xfId="8460"/>
    <cellStyle name="20% - Accent1 5 2 2 2 10 2" xfId="31235"/>
    <cellStyle name="20% - Accent1 5 2 2 2 11" xfId="9116"/>
    <cellStyle name="20% - Accent1 5 2 2 2 11 2" xfId="31891"/>
    <cellStyle name="20% - Accent1 5 2 2 2 12" xfId="9772"/>
    <cellStyle name="20% - Accent1 5 2 2 2 12 2" xfId="32547"/>
    <cellStyle name="20% - Accent1 5 2 2 2 13" xfId="10428"/>
    <cellStyle name="20% - Accent1 5 2 2 2 13 2" xfId="33203"/>
    <cellStyle name="20% - Accent1 5 2 2 2 14" xfId="11084"/>
    <cellStyle name="20% - Accent1 5 2 2 2 14 2" xfId="33859"/>
    <cellStyle name="20% - Accent1 5 2 2 2 15" xfId="11740"/>
    <cellStyle name="20% - Accent1 5 2 2 2 15 2" xfId="34515"/>
    <cellStyle name="20% - Accent1 5 2 2 2 16" xfId="12396"/>
    <cellStyle name="20% - Accent1 5 2 2 2 16 2" xfId="35171"/>
    <cellStyle name="20% - Accent1 5 2 2 2 17" xfId="13052"/>
    <cellStyle name="20% - Accent1 5 2 2 2 17 2" xfId="35827"/>
    <cellStyle name="20% - Accent1 5 2 2 2 18" xfId="13708"/>
    <cellStyle name="20% - Accent1 5 2 2 2 18 2" xfId="36483"/>
    <cellStyle name="20% - Accent1 5 2 2 2 19" xfId="14364"/>
    <cellStyle name="20% - Accent1 5 2 2 2 19 2" xfId="37139"/>
    <cellStyle name="20% - Accent1 5 2 2 2 2" xfId="1572"/>
    <cellStyle name="20% - Accent1 5 2 2 2 2 2" xfId="3868"/>
    <cellStyle name="20% - Accent1 5 2 2 2 2 2 2" xfId="26643"/>
    <cellStyle name="20% - Accent1 5 2 2 2 2 3" xfId="24347"/>
    <cellStyle name="20% - Accent1 5 2 2 2 20" xfId="15020"/>
    <cellStyle name="20% - Accent1 5 2 2 2 20 2" xfId="37795"/>
    <cellStyle name="20% - Accent1 5 2 2 2 21" xfId="15676"/>
    <cellStyle name="20% - Accent1 5 2 2 2 21 2" xfId="38451"/>
    <cellStyle name="20% - Accent1 5 2 2 2 22" xfId="16332"/>
    <cellStyle name="20% - Accent1 5 2 2 2 22 2" xfId="39107"/>
    <cellStyle name="20% - Accent1 5 2 2 2 23" xfId="16988"/>
    <cellStyle name="20% - Accent1 5 2 2 2 23 2" xfId="39763"/>
    <cellStyle name="20% - Accent1 5 2 2 2 24" xfId="17644"/>
    <cellStyle name="20% - Accent1 5 2 2 2 24 2" xfId="40419"/>
    <cellStyle name="20% - Accent1 5 2 2 2 25" xfId="18300"/>
    <cellStyle name="20% - Accent1 5 2 2 2 25 2" xfId="41075"/>
    <cellStyle name="20% - Accent1 5 2 2 2 26" xfId="18956"/>
    <cellStyle name="20% - Accent1 5 2 2 2 26 2" xfId="41731"/>
    <cellStyle name="20% - Accent1 5 2 2 2 27" xfId="19612"/>
    <cellStyle name="20% - Accent1 5 2 2 2 27 2" xfId="42387"/>
    <cellStyle name="20% - Accent1 5 2 2 2 28" xfId="20268"/>
    <cellStyle name="20% - Accent1 5 2 2 2 28 2" xfId="43043"/>
    <cellStyle name="20% - Accent1 5 2 2 2 29" xfId="20924"/>
    <cellStyle name="20% - Accent1 5 2 2 2 29 2" xfId="43699"/>
    <cellStyle name="20% - Accent1 5 2 2 2 3" xfId="2228"/>
    <cellStyle name="20% - Accent1 5 2 2 2 3 2" xfId="4524"/>
    <cellStyle name="20% - Accent1 5 2 2 2 3 2 2" xfId="27299"/>
    <cellStyle name="20% - Accent1 5 2 2 2 3 3" xfId="25003"/>
    <cellStyle name="20% - Accent1 5 2 2 2 30" xfId="21580"/>
    <cellStyle name="20% - Accent1 5 2 2 2 30 2" xfId="44355"/>
    <cellStyle name="20% - Accent1 5 2 2 2 31" xfId="22236"/>
    <cellStyle name="20% - Accent1 5 2 2 2 31 2" xfId="45011"/>
    <cellStyle name="20% - Accent1 5 2 2 2 32" xfId="22892"/>
    <cellStyle name="20% - Accent1 5 2 2 2 32 2" xfId="45667"/>
    <cellStyle name="20% - Accent1 5 2 2 2 33" xfId="23691"/>
    <cellStyle name="20% - Accent1 5 2 2 2 4" xfId="5180"/>
    <cellStyle name="20% - Accent1 5 2 2 2 4 2" xfId="27955"/>
    <cellStyle name="20% - Accent1 5 2 2 2 5" xfId="5836"/>
    <cellStyle name="20% - Accent1 5 2 2 2 5 2" xfId="28611"/>
    <cellStyle name="20% - Accent1 5 2 2 2 6" xfId="6492"/>
    <cellStyle name="20% - Accent1 5 2 2 2 6 2" xfId="29267"/>
    <cellStyle name="20% - Accent1 5 2 2 2 7" xfId="3212"/>
    <cellStyle name="20% - Accent1 5 2 2 2 7 2" xfId="25987"/>
    <cellStyle name="20% - Accent1 5 2 2 2 8" xfId="7148"/>
    <cellStyle name="20% - Accent1 5 2 2 2 8 2" xfId="29923"/>
    <cellStyle name="20% - Accent1 5 2 2 2 9" xfId="7804"/>
    <cellStyle name="20% - Accent1 5 2 2 2 9 2" xfId="30579"/>
    <cellStyle name="20% - Accent1 5 2 2 20" xfId="13380"/>
    <cellStyle name="20% - Accent1 5 2 2 20 2" xfId="36155"/>
    <cellStyle name="20% - Accent1 5 2 2 21" xfId="14036"/>
    <cellStyle name="20% - Accent1 5 2 2 21 2" xfId="36811"/>
    <cellStyle name="20% - Accent1 5 2 2 22" xfId="14692"/>
    <cellStyle name="20% - Accent1 5 2 2 22 2" xfId="37467"/>
    <cellStyle name="20% - Accent1 5 2 2 23" xfId="15348"/>
    <cellStyle name="20% - Accent1 5 2 2 23 2" xfId="38123"/>
    <cellStyle name="20% - Accent1 5 2 2 24" xfId="16004"/>
    <cellStyle name="20% - Accent1 5 2 2 24 2" xfId="38779"/>
    <cellStyle name="20% - Accent1 5 2 2 25" xfId="16660"/>
    <cellStyle name="20% - Accent1 5 2 2 25 2" xfId="39435"/>
    <cellStyle name="20% - Accent1 5 2 2 26" xfId="17316"/>
    <cellStyle name="20% - Accent1 5 2 2 26 2" xfId="40091"/>
    <cellStyle name="20% - Accent1 5 2 2 27" xfId="17972"/>
    <cellStyle name="20% - Accent1 5 2 2 27 2" xfId="40747"/>
    <cellStyle name="20% - Accent1 5 2 2 28" xfId="18628"/>
    <cellStyle name="20% - Accent1 5 2 2 28 2" xfId="41403"/>
    <cellStyle name="20% - Accent1 5 2 2 29" xfId="19284"/>
    <cellStyle name="20% - Accent1 5 2 2 29 2" xfId="42059"/>
    <cellStyle name="20% - Accent1 5 2 2 3" xfId="1244"/>
    <cellStyle name="20% - Accent1 5 2 2 3 2" xfId="2884"/>
    <cellStyle name="20% - Accent1 5 2 2 3 2 2" xfId="25659"/>
    <cellStyle name="20% - Accent1 5 2 2 3 3" xfId="24019"/>
    <cellStyle name="20% - Accent1 5 2 2 30" xfId="19940"/>
    <cellStyle name="20% - Accent1 5 2 2 30 2" xfId="42715"/>
    <cellStyle name="20% - Accent1 5 2 2 31" xfId="20596"/>
    <cellStyle name="20% - Accent1 5 2 2 31 2" xfId="43371"/>
    <cellStyle name="20% - Accent1 5 2 2 32" xfId="21252"/>
    <cellStyle name="20% - Accent1 5 2 2 32 2" xfId="44027"/>
    <cellStyle name="20% - Accent1 5 2 2 33" xfId="21908"/>
    <cellStyle name="20% - Accent1 5 2 2 33 2" xfId="44683"/>
    <cellStyle name="20% - Accent1 5 2 2 34" xfId="22564"/>
    <cellStyle name="20% - Accent1 5 2 2 34 2" xfId="45339"/>
    <cellStyle name="20% - Accent1 5 2 2 35" xfId="23363"/>
    <cellStyle name="20% - Accent1 5 2 2 4" xfId="1900"/>
    <cellStyle name="20% - Accent1 5 2 2 4 2" xfId="3540"/>
    <cellStyle name="20% - Accent1 5 2 2 4 2 2" xfId="26315"/>
    <cellStyle name="20% - Accent1 5 2 2 4 3" xfId="24675"/>
    <cellStyle name="20% - Accent1 5 2 2 5" xfId="4196"/>
    <cellStyle name="20% - Accent1 5 2 2 5 2" xfId="26971"/>
    <cellStyle name="20% - Accent1 5 2 2 6" xfId="4852"/>
    <cellStyle name="20% - Accent1 5 2 2 6 2" xfId="27627"/>
    <cellStyle name="20% - Accent1 5 2 2 7" xfId="5508"/>
    <cellStyle name="20% - Accent1 5 2 2 7 2" xfId="28283"/>
    <cellStyle name="20% - Accent1 5 2 2 8" xfId="6164"/>
    <cellStyle name="20% - Accent1 5 2 2 8 2" xfId="28939"/>
    <cellStyle name="20% - Accent1 5 2 2 9" xfId="2556"/>
    <cellStyle name="20% - Accent1 5 2 2 9 2" xfId="25331"/>
    <cellStyle name="20% - Accent1 5 2 20" xfId="12539"/>
    <cellStyle name="20% - Accent1 5 2 20 2" xfId="35314"/>
    <cellStyle name="20% - Accent1 5 2 21" xfId="13195"/>
    <cellStyle name="20% - Accent1 5 2 21 2" xfId="35970"/>
    <cellStyle name="20% - Accent1 5 2 22" xfId="13851"/>
    <cellStyle name="20% - Accent1 5 2 22 2" xfId="36626"/>
    <cellStyle name="20% - Accent1 5 2 23" xfId="14507"/>
    <cellStyle name="20% - Accent1 5 2 23 2" xfId="37282"/>
    <cellStyle name="20% - Accent1 5 2 24" xfId="15163"/>
    <cellStyle name="20% - Accent1 5 2 24 2" xfId="37938"/>
    <cellStyle name="20% - Accent1 5 2 25" xfId="15819"/>
    <cellStyle name="20% - Accent1 5 2 25 2" xfId="38594"/>
    <cellStyle name="20% - Accent1 5 2 26" xfId="16475"/>
    <cellStyle name="20% - Accent1 5 2 26 2" xfId="39250"/>
    <cellStyle name="20% - Accent1 5 2 27" xfId="17131"/>
    <cellStyle name="20% - Accent1 5 2 27 2" xfId="39906"/>
    <cellStyle name="20% - Accent1 5 2 28" xfId="17787"/>
    <cellStyle name="20% - Accent1 5 2 28 2" xfId="40562"/>
    <cellStyle name="20% - Accent1 5 2 29" xfId="18443"/>
    <cellStyle name="20% - Accent1 5 2 29 2" xfId="41218"/>
    <cellStyle name="20% - Accent1 5 2 3" xfId="731"/>
    <cellStyle name="20% - Accent1 5 2 3 10" xfId="8275"/>
    <cellStyle name="20% - Accent1 5 2 3 10 2" xfId="31050"/>
    <cellStyle name="20% - Accent1 5 2 3 11" xfId="8931"/>
    <cellStyle name="20% - Accent1 5 2 3 11 2" xfId="31706"/>
    <cellStyle name="20% - Accent1 5 2 3 12" xfId="9587"/>
    <cellStyle name="20% - Accent1 5 2 3 12 2" xfId="32362"/>
    <cellStyle name="20% - Accent1 5 2 3 13" xfId="10243"/>
    <cellStyle name="20% - Accent1 5 2 3 13 2" xfId="33018"/>
    <cellStyle name="20% - Accent1 5 2 3 14" xfId="10899"/>
    <cellStyle name="20% - Accent1 5 2 3 14 2" xfId="33674"/>
    <cellStyle name="20% - Accent1 5 2 3 15" xfId="11555"/>
    <cellStyle name="20% - Accent1 5 2 3 15 2" xfId="34330"/>
    <cellStyle name="20% - Accent1 5 2 3 16" xfId="12211"/>
    <cellStyle name="20% - Accent1 5 2 3 16 2" xfId="34986"/>
    <cellStyle name="20% - Accent1 5 2 3 17" xfId="12867"/>
    <cellStyle name="20% - Accent1 5 2 3 17 2" xfId="35642"/>
    <cellStyle name="20% - Accent1 5 2 3 18" xfId="13523"/>
    <cellStyle name="20% - Accent1 5 2 3 18 2" xfId="36298"/>
    <cellStyle name="20% - Accent1 5 2 3 19" xfId="14179"/>
    <cellStyle name="20% - Accent1 5 2 3 19 2" xfId="36954"/>
    <cellStyle name="20% - Accent1 5 2 3 2" xfId="1387"/>
    <cellStyle name="20% - Accent1 5 2 3 2 2" xfId="3683"/>
    <cellStyle name="20% - Accent1 5 2 3 2 2 2" xfId="26458"/>
    <cellStyle name="20% - Accent1 5 2 3 2 3" xfId="24162"/>
    <cellStyle name="20% - Accent1 5 2 3 20" xfId="14835"/>
    <cellStyle name="20% - Accent1 5 2 3 20 2" xfId="37610"/>
    <cellStyle name="20% - Accent1 5 2 3 21" xfId="15491"/>
    <cellStyle name="20% - Accent1 5 2 3 21 2" xfId="38266"/>
    <cellStyle name="20% - Accent1 5 2 3 22" xfId="16147"/>
    <cellStyle name="20% - Accent1 5 2 3 22 2" xfId="38922"/>
    <cellStyle name="20% - Accent1 5 2 3 23" xfId="16803"/>
    <cellStyle name="20% - Accent1 5 2 3 23 2" xfId="39578"/>
    <cellStyle name="20% - Accent1 5 2 3 24" xfId="17459"/>
    <cellStyle name="20% - Accent1 5 2 3 24 2" xfId="40234"/>
    <cellStyle name="20% - Accent1 5 2 3 25" xfId="18115"/>
    <cellStyle name="20% - Accent1 5 2 3 25 2" xfId="40890"/>
    <cellStyle name="20% - Accent1 5 2 3 26" xfId="18771"/>
    <cellStyle name="20% - Accent1 5 2 3 26 2" xfId="41546"/>
    <cellStyle name="20% - Accent1 5 2 3 27" xfId="19427"/>
    <cellStyle name="20% - Accent1 5 2 3 27 2" xfId="42202"/>
    <cellStyle name="20% - Accent1 5 2 3 28" xfId="20083"/>
    <cellStyle name="20% - Accent1 5 2 3 28 2" xfId="42858"/>
    <cellStyle name="20% - Accent1 5 2 3 29" xfId="20739"/>
    <cellStyle name="20% - Accent1 5 2 3 29 2" xfId="43514"/>
    <cellStyle name="20% - Accent1 5 2 3 3" xfId="2043"/>
    <cellStyle name="20% - Accent1 5 2 3 3 2" xfId="4339"/>
    <cellStyle name="20% - Accent1 5 2 3 3 2 2" xfId="27114"/>
    <cellStyle name="20% - Accent1 5 2 3 3 3" xfId="24818"/>
    <cellStyle name="20% - Accent1 5 2 3 30" xfId="21395"/>
    <cellStyle name="20% - Accent1 5 2 3 30 2" xfId="44170"/>
    <cellStyle name="20% - Accent1 5 2 3 31" xfId="22051"/>
    <cellStyle name="20% - Accent1 5 2 3 31 2" xfId="44826"/>
    <cellStyle name="20% - Accent1 5 2 3 32" xfId="22707"/>
    <cellStyle name="20% - Accent1 5 2 3 32 2" xfId="45482"/>
    <cellStyle name="20% - Accent1 5 2 3 33" xfId="23506"/>
    <cellStyle name="20% - Accent1 5 2 3 4" xfId="4995"/>
    <cellStyle name="20% - Accent1 5 2 3 4 2" xfId="27770"/>
    <cellStyle name="20% - Accent1 5 2 3 5" xfId="5651"/>
    <cellStyle name="20% - Accent1 5 2 3 5 2" xfId="28426"/>
    <cellStyle name="20% - Accent1 5 2 3 6" xfId="6307"/>
    <cellStyle name="20% - Accent1 5 2 3 6 2" xfId="29082"/>
    <cellStyle name="20% - Accent1 5 2 3 7" xfId="3027"/>
    <cellStyle name="20% - Accent1 5 2 3 7 2" xfId="25802"/>
    <cellStyle name="20% - Accent1 5 2 3 8" xfId="6963"/>
    <cellStyle name="20% - Accent1 5 2 3 8 2" xfId="29738"/>
    <cellStyle name="20% - Accent1 5 2 3 9" xfId="7619"/>
    <cellStyle name="20% - Accent1 5 2 3 9 2" xfId="30394"/>
    <cellStyle name="20% - Accent1 5 2 30" xfId="19099"/>
    <cellStyle name="20% - Accent1 5 2 30 2" xfId="41874"/>
    <cellStyle name="20% - Accent1 5 2 31" xfId="19755"/>
    <cellStyle name="20% - Accent1 5 2 31 2" xfId="42530"/>
    <cellStyle name="20% - Accent1 5 2 32" xfId="20411"/>
    <cellStyle name="20% - Accent1 5 2 32 2" xfId="43186"/>
    <cellStyle name="20% - Accent1 5 2 33" xfId="21067"/>
    <cellStyle name="20% - Accent1 5 2 33 2" xfId="43842"/>
    <cellStyle name="20% - Accent1 5 2 34" xfId="21723"/>
    <cellStyle name="20% - Accent1 5 2 34 2" xfId="44498"/>
    <cellStyle name="20% - Accent1 5 2 35" xfId="22379"/>
    <cellStyle name="20% - Accent1 5 2 35 2" xfId="45154"/>
    <cellStyle name="20% - Accent1 5 2 36" xfId="23035"/>
    <cellStyle name="20% - Accent1 5 2 4" xfId="404"/>
    <cellStyle name="20% - Accent1 5 2 4 2" xfId="2699"/>
    <cellStyle name="20% - Accent1 5 2 4 2 2" xfId="25474"/>
    <cellStyle name="20% - Accent1 5 2 4 3" xfId="23178"/>
    <cellStyle name="20% - Accent1 5 2 5" xfId="1059"/>
    <cellStyle name="20% - Accent1 5 2 5 2" xfId="3355"/>
    <cellStyle name="20% - Accent1 5 2 5 2 2" xfId="26130"/>
    <cellStyle name="20% - Accent1 5 2 5 3" xfId="23834"/>
    <cellStyle name="20% - Accent1 5 2 6" xfId="1715"/>
    <cellStyle name="20% - Accent1 5 2 6 2" xfId="4011"/>
    <cellStyle name="20% - Accent1 5 2 6 2 2" xfId="26786"/>
    <cellStyle name="20% - Accent1 5 2 6 3" xfId="24490"/>
    <cellStyle name="20% - Accent1 5 2 7" xfId="4667"/>
    <cellStyle name="20% - Accent1 5 2 7 2" xfId="27442"/>
    <cellStyle name="20% - Accent1 5 2 8" xfId="5323"/>
    <cellStyle name="20% - Accent1 5 2 8 2" xfId="28098"/>
    <cellStyle name="20% - Accent1 5 2 9" xfId="5979"/>
    <cellStyle name="20% - Accent1 5 2 9 2" xfId="28754"/>
    <cellStyle name="20% - Accent1 5 20" xfId="11812"/>
    <cellStyle name="20% - Accent1 5 20 2" xfId="34587"/>
    <cellStyle name="20% - Accent1 5 21" xfId="12468"/>
    <cellStyle name="20% - Accent1 5 21 2" xfId="35243"/>
    <cellStyle name="20% - Accent1 5 22" xfId="13124"/>
    <cellStyle name="20% - Accent1 5 22 2" xfId="35899"/>
    <cellStyle name="20% - Accent1 5 23" xfId="13780"/>
    <cellStyle name="20% - Accent1 5 23 2" xfId="36555"/>
    <cellStyle name="20% - Accent1 5 24" xfId="14436"/>
    <cellStyle name="20% - Accent1 5 24 2" xfId="37211"/>
    <cellStyle name="20% - Accent1 5 25" xfId="15092"/>
    <cellStyle name="20% - Accent1 5 25 2" xfId="37867"/>
    <cellStyle name="20% - Accent1 5 26" xfId="15748"/>
    <cellStyle name="20% - Accent1 5 26 2" xfId="38523"/>
    <cellStyle name="20% - Accent1 5 27" xfId="16404"/>
    <cellStyle name="20% - Accent1 5 27 2" xfId="39179"/>
    <cellStyle name="20% - Accent1 5 28" xfId="17060"/>
    <cellStyle name="20% - Accent1 5 28 2" xfId="39835"/>
    <cellStyle name="20% - Accent1 5 29" xfId="17716"/>
    <cellStyle name="20% - Accent1 5 29 2" xfId="40491"/>
    <cellStyle name="20% - Accent1 5 3" xfId="517"/>
    <cellStyle name="20% - Accent1 5 3 10" xfId="6749"/>
    <cellStyle name="20% - Accent1 5 3 10 2" xfId="29524"/>
    <cellStyle name="20% - Accent1 5 3 11" xfId="7405"/>
    <cellStyle name="20% - Accent1 5 3 11 2" xfId="30180"/>
    <cellStyle name="20% - Accent1 5 3 12" xfId="8061"/>
    <cellStyle name="20% - Accent1 5 3 12 2" xfId="30836"/>
    <cellStyle name="20% - Accent1 5 3 13" xfId="8717"/>
    <cellStyle name="20% - Accent1 5 3 13 2" xfId="31492"/>
    <cellStyle name="20% - Accent1 5 3 14" xfId="9373"/>
    <cellStyle name="20% - Accent1 5 3 14 2" xfId="32148"/>
    <cellStyle name="20% - Accent1 5 3 15" xfId="10029"/>
    <cellStyle name="20% - Accent1 5 3 15 2" xfId="32804"/>
    <cellStyle name="20% - Accent1 5 3 16" xfId="10685"/>
    <cellStyle name="20% - Accent1 5 3 16 2" xfId="33460"/>
    <cellStyle name="20% - Accent1 5 3 17" xfId="11341"/>
    <cellStyle name="20% - Accent1 5 3 17 2" xfId="34116"/>
    <cellStyle name="20% - Accent1 5 3 18" xfId="11997"/>
    <cellStyle name="20% - Accent1 5 3 18 2" xfId="34772"/>
    <cellStyle name="20% - Accent1 5 3 19" xfId="12653"/>
    <cellStyle name="20% - Accent1 5 3 19 2" xfId="35428"/>
    <cellStyle name="20% - Accent1 5 3 2" xfId="845"/>
    <cellStyle name="20% - Accent1 5 3 2 10" xfId="8389"/>
    <cellStyle name="20% - Accent1 5 3 2 10 2" xfId="31164"/>
    <cellStyle name="20% - Accent1 5 3 2 11" xfId="9045"/>
    <cellStyle name="20% - Accent1 5 3 2 11 2" xfId="31820"/>
    <cellStyle name="20% - Accent1 5 3 2 12" xfId="9701"/>
    <cellStyle name="20% - Accent1 5 3 2 12 2" xfId="32476"/>
    <cellStyle name="20% - Accent1 5 3 2 13" xfId="10357"/>
    <cellStyle name="20% - Accent1 5 3 2 13 2" xfId="33132"/>
    <cellStyle name="20% - Accent1 5 3 2 14" xfId="11013"/>
    <cellStyle name="20% - Accent1 5 3 2 14 2" xfId="33788"/>
    <cellStyle name="20% - Accent1 5 3 2 15" xfId="11669"/>
    <cellStyle name="20% - Accent1 5 3 2 15 2" xfId="34444"/>
    <cellStyle name="20% - Accent1 5 3 2 16" xfId="12325"/>
    <cellStyle name="20% - Accent1 5 3 2 16 2" xfId="35100"/>
    <cellStyle name="20% - Accent1 5 3 2 17" xfId="12981"/>
    <cellStyle name="20% - Accent1 5 3 2 17 2" xfId="35756"/>
    <cellStyle name="20% - Accent1 5 3 2 18" xfId="13637"/>
    <cellStyle name="20% - Accent1 5 3 2 18 2" xfId="36412"/>
    <cellStyle name="20% - Accent1 5 3 2 19" xfId="14293"/>
    <cellStyle name="20% - Accent1 5 3 2 19 2" xfId="37068"/>
    <cellStyle name="20% - Accent1 5 3 2 2" xfId="1501"/>
    <cellStyle name="20% - Accent1 5 3 2 2 2" xfId="3797"/>
    <cellStyle name="20% - Accent1 5 3 2 2 2 2" xfId="26572"/>
    <cellStyle name="20% - Accent1 5 3 2 2 3" xfId="24276"/>
    <cellStyle name="20% - Accent1 5 3 2 20" xfId="14949"/>
    <cellStyle name="20% - Accent1 5 3 2 20 2" xfId="37724"/>
    <cellStyle name="20% - Accent1 5 3 2 21" xfId="15605"/>
    <cellStyle name="20% - Accent1 5 3 2 21 2" xfId="38380"/>
    <cellStyle name="20% - Accent1 5 3 2 22" xfId="16261"/>
    <cellStyle name="20% - Accent1 5 3 2 22 2" xfId="39036"/>
    <cellStyle name="20% - Accent1 5 3 2 23" xfId="16917"/>
    <cellStyle name="20% - Accent1 5 3 2 23 2" xfId="39692"/>
    <cellStyle name="20% - Accent1 5 3 2 24" xfId="17573"/>
    <cellStyle name="20% - Accent1 5 3 2 24 2" xfId="40348"/>
    <cellStyle name="20% - Accent1 5 3 2 25" xfId="18229"/>
    <cellStyle name="20% - Accent1 5 3 2 25 2" xfId="41004"/>
    <cellStyle name="20% - Accent1 5 3 2 26" xfId="18885"/>
    <cellStyle name="20% - Accent1 5 3 2 26 2" xfId="41660"/>
    <cellStyle name="20% - Accent1 5 3 2 27" xfId="19541"/>
    <cellStyle name="20% - Accent1 5 3 2 27 2" xfId="42316"/>
    <cellStyle name="20% - Accent1 5 3 2 28" xfId="20197"/>
    <cellStyle name="20% - Accent1 5 3 2 28 2" xfId="42972"/>
    <cellStyle name="20% - Accent1 5 3 2 29" xfId="20853"/>
    <cellStyle name="20% - Accent1 5 3 2 29 2" xfId="43628"/>
    <cellStyle name="20% - Accent1 5 3 2 3" xfId="2157"/>
    <cellStyle name="20% - Accent1 5 3 2 3 2" xfId="4453"/>
    <cellStyle name="20% - Accent1 5 3 2 3 2 2" xfId="27228"/>
    <cellStyle name="20% - Accent1 5 3 2 3 3" xfId="24932"/>
    <cellStyle name="20% - Accent1 5 3 2 30" xfId="21509"/>
    <cellStyle name="20% - Accent1 5 3 2 30 2" xfId="44284"/>
    <cellStyle name="20% - Accent1 5 3 2 31" xfId="22165"/>
    <cellStyle name="20% - Accent1 5 3 2 31 2" xfId="44940"/>
    <cellStyle name="20% - Accent1 5 3 2 32" xfId="22821"/>
    <cellStyle name="20% - Accent1 5 3 2 32 2" xfId="45596"/>
    <cellStyle name="20% - Accent1 5 3 2 33" xfId="23620"/>
    <cellStyle name="20% - Accent1 5 3 2 4" xfId="5109"/>
    <cellStyle name="20% - Accent1 5 3 2 4 2" xfId="27884"/>
    <cellStyle name="20% - Accent1 5 3 2 5" xfId="5765"/>
    <cellStyle name="20% - Accent1 5 3 2 5 2" xfId="28540"/>
    <cellStyle name="20% - Accent1 5 3 2 6" xfId="6421"/>
    <cellStyle name="20% - Accent1 5 3 2 6 2" xfId="29196"/>
    <cellStyle name="20% - Accent1 5 3 2 7" xfId="3141"/>
    <cellStyle name="20% - Accent1 5 3 2 7 2" xfId="25916"/>
    <cellStyle name="20% - Accent1 5 3 2 8" xfId="7077"/>
    <cellStyle name="20% - Accent1 5 3 2 8 2" xfId="29852"/>
    <cellStyle name="20% - Accent1 5 3 2 9" xfId="7733"/>
    <cellStyle name="20% - Accent1 5 3 2 9 2" xfId="30508"/>
    <cellStyle name="20% - Accent1 5 3 20" xfId="13309"/>
    <cellStyle name="20% - Accent1 5 3 20 2" xfId="36084"/>
    <cellStyle name="20% - Accent1 5 3 21" xfId="13965"/>
    <cellStyle name="20% - Accent1 5 3 21 2" xfId="36740"/>
    <cellStyle name="20% - Accent1 5 3 22" xfId="14621"/>
    <cellStyle name="20% - Accent1 5 3 22 2" xfId="37396"/>
    <cellStyle name="20% - Accent1 5 3 23" xfId="15277"/>
    <cellStyle name="20% - Accent1 5 3 23 2" xfId="38052"/>
    <cellStyle name="20% - Accent1 5 3 24" xfId="15933"/>
    <cellStyle name="20% - Accent1 5 3 24 2" xfId="38708"/>
    <cellStyle name="20% - Accent1 5 3 25" xfId="16589"/>
    <cellStyle name="20% - Accent1 5 3 25 2" xfId="39364"/>
    <cellStyle name="20% - Accent1 5 3 26" xfId="17245"/>
    <cellStyle name="20% - Accent1 5 3 26 2" xfId="40020"/>
    <cellStyle name="20% - Accent1 5 3 27" xfId="17901"/>
    <cellStyle name="20% - Accent1 5 3 27 2" xfId="40676"/>
    <cellStyle name="20% - Accent1 5 3 28" xfId="18557"/>
    <cellStyle name="20% - Accent1 5 3 28 2" xfId="41332"/>
    <cellStyle name="20% - Accent1 5 3 29" xfId="19213"/>
    <cellStyle name="20% - Accent1 5 3 29 2" xfId="41988"/>
    <cellStyle name="20% - Accent1 5 3 3" xfId="1173"/>
    <cellStyle name="20% - Accent1 5 3 3 2" xfId="2813"/>
    <cellStyle name="20% - Accent1 5 3 3 2 2" xfId="25588"/>
    <cellStyle name="20% - Accent1 5 3 3 3" xfId="23948"/>
    <cellStyle name="20% - Accent1 5 3 30" xfId="19869"/>
    <cellStyle name="20% - Accent1 5 3 30 2" xfId="42644"/>
    <cellStyle name="20% - Accent1 5 3 31" xfId="20525"/>
    <cellStyle name="20% - Accent1 5 3 31 2" xfId="43300"/>
    <cellStyle name="20% - Accent1 5 3 32" xfId="21181"/>
    <cellStyle name="20% - Accent1 5 3 32 2" xfId="43956"/>
    <cellStyle name="20% - Accent1 5 3 33" xfId="21837"/>
    <cellStyle name="20% - Accent1 5 3 33 2" xfId="44612"/>
    <cellStyle name="20% - Accent1 5 3 34" xfId="22493"/>
    <cellStyle name="20% - Accent1 5 3 34 2" xfId="45268"/>
    <cellStyle name="20% - Accent1 5 3 35" xfId="23292"/>
    <cellStyle name="20% - Accent1 5 3 4" xfId="1829"/>
    <cellStyle name="20% - Accent1 5 3 4 2" xfId="3469"/>
    <cellStyle name="20% - Accent1 5 3 4 2 2" xfId="26244"/>
    <cellStyle name="20% - Accent1 5 3 4 3" xfId="24604"/>
    <cellStyle name="20% - Accent1 5 3 5" xfId="4125"/>
    <cellStyle name="20% - Accent1 5 3 5 2" xfId="26900"/>
    <cellStyle name="20% - Accent1 5 3 6" xfId="4781"/>
    <cellStyle name="20% - Accent1 5 3 6 2" xfId="27556"/>
    <cellStyle name="20% - Accent1 5 3 7" xfId="5437"/>
    <cellStyle name="20% - Accent1 5 3 7 2" xfId="28212"/>
    <cellStyle name="20% - Accent1 5 3 8" xfId="6093"/>
    <cellStyle name="20% - Accent1 5 3 8 2" xfId="28868"/>
    <cellStyle name="20% - Accent1 5 3 9" xfId="2485"/>
    <cellStyle name="20% - Accent1 5 3 9 2" xfId="25260"/>
    <cellStyle name="20% - Accent1 5 30" xfId="18372"/>
    <cellStyle name="20% - Accent1 5 30 2" xfId="41147"/>
    <cellStyle name="20% - Accent1 5 31" xfId="19028"/>
    <cellStyle name="20% - Accent1 5 31 2" xfId="41803"/>
    <cellStyle name="20% - Accent1 5 32" xfId="19684"/>
    <cellStyle name="20% - Accent1 5 32 2" xfId="42459"/>
    <cellStyle name="20% - Accent1 5 33" xfId="20340"/>
    <cellStyle name="20% - Accent1 5 33 2" xfId="43115"/>
    <cellStyle name="20% - Accent1 5 34" xfId="20996"/>
    <cellStyle name="20% - Accent1 5 34 2" xfId="43771"/>
    <cellStyle name="20% - Accent1 5 35" xfId="21652"/>
    <cellStyle name="20% - Accent1 5 35 2" xfId="44427"/>
    <cellStyle name="20% - Accent1 5 36" xfId="22308"/>
    <cellStyle name="20% - Accent1 5 36 2" xfId="45083"/>
    <cellStyle name="20% - Accent1 5 37" xfId="247"/>
    <cellStyle name="20% - Accent1 5 38" xfId="22964"/>
    <cellStyle name="20% - Accent1 5 4" xfId="660"/>
    <cellStyle name="20% - Accent1 5 4 10" xfId="8204"/>
    <cellStyle name="20% - Accent1 5 4 10 2" xfId="30979"/>
    <cellStyle name="20% - Accent1 5 4 11" xfId="8860"/>
    <cellStyle name="20% - Accent1 5 4 11 2" xfId="31635"/>
    <cellStyle name="20% - Accent1 5 4 12" xfId="9516"/>
    <cellStyle name="20% - Accent1 5 4 12 2" xfId="32291"/>
    <cellStyle name="20% - Accent1 5 4 13" xfId="10172"/>
    <cellStyle name="20% - Accent1 5 4 13 2" xfId="32947"/>
    <cellStyle name="20% - Accent1 5 4 14" xfId="10828"/>
    <cellStyle name="20% - Accent1 5 4 14 2" xfId="33603"/>
    <cellStyle name="20% - Accent1 5 4 15" xfId="11484"/>
    <cellStyle name="20% - Accent1 5 4 15 2" xfId="34259"/>
    <cellStyle name="20% - Accent1 5 4 16" xfId="12140"/>
    <cellStyle name="20% - Accent1 5 4 16 2" xfId="34915"/>
    <cellStyle name="20% - Accent1 5 4 17" xfId="12796"/>
    <cellStyle name="20% - Accent1 5 4 17 2" xfId="35571"/>
    <cellStyle name="20% - Accent1 5 4 18" xfId="13452"/>
    <cellStyle name="20% - Accent1 5 4 18 2" xfId="36227"/>
    <cellStyle name="20% - Accent1 5 4 19" xfId="14108"/>
    <cellStyle name="20% - Accent1 5 4 19 2" xfId="36883"/>
    <cellStyle name="20% - Accent1 5 4 2" xfId="1316"/>
    <cellStyle name="20% - Accent1 5 4 2 2" xfId="3612"/>
    <cellStyle name="20% - Accent1 5 4 2 2 2" xfId="26387"/>
    <cellStyle name="20% - Accent1 5 4 2 3" xfId="24091"/>
    <cellStyle name="20% - Accent1 5 4 20" xfId="14764"/>
    <cellStyle name="20% - Accent1 5 4 20 2" xfId="37539"/>
    <cellStyle name="20% - Accent1 5 4 21" xfId="15420"/>
    <cellStyle name="20% - Accent1 5 4 21 2" xfId="38195"/>
    <cellStyle name="20% - Accent1 5 4 22" xfId="16076"/>
    <cellStyle name="20% - Accent1 5 4 22 2" xfId="38851"/>
    <cellStyle name="20% - Accent1 5 4 23" xfId="16732"/>
    <cellStyle name="20% - Accent1 5 4 23 2" xfId="39507"/>
    <cellStyle name="20% - Accent1 5 4 24" xfId="17388"/>
    <cellStyle name="20% - Accent1 5 4 24 2" xfId="40163"/>
    <cellStyle name="20% - Accent1 5 4 25" xfId="18044"/>
    <cellStyle name="20% - Accent1 5 4 25 2" xfId="40819"/>
    <cellStyle name="20% - Accent1 5 4 26" xfId="18700"/>
    <cellStyle name="20% - Accent1 5 4 26 2" xfId="41475"/>
    <cellStyle name="20% - Accent1 5 4 27" xfId="19356"/>
    <cellStyle name="20% - Accent1 5 4 27 2" xfId="42131"/>
    <cellStyle name="20% - Accent1 5 4 28" xfId="20012"/>
    <cellStyle name="20% - Accent1 5 4 28 2" xfId="42787"/>
    <cellStyle name="20% - Accent1 5 4 29" xfId="20668"/>
    <cellStyle name="20% - Accent1 5 4 29 2" xfId="43443"/>
    <cellStyle name="20% - Accent1 5 4 3" xfId="1972"/>
    <cellStyle name="20% - Accent1 5 4 3 2" xfId="4268"/>
    <cellStyle name="20% - Accent1 5 4 3 2 2" xfId="27043"/>
    <cellStyle name="20% - Accent1 5 4 3 3" xfId="24747"/>
    <cellStyle name="20% - Accent1 5 4 30" xfId="21324"/>
    <cellStyle name="20% - Accent1 5 4 30 2" xfId="44099"/>
    <cellStyle name="20% - Accent1 5 4 31" xfId="21980"/>
    <cellStyle name="20% - Accent1 5 4 31 2" xfId="44755"/>
    <cellStyle name="20% - Accent1 5 4 32" xfId="22636"/>
    <cellStyle name="20% - Accent1 5 4 32 2" xfId="45411"/>
    <cellStyle name="20% - Accent1 5 4 33" xfId="23435"/>
    <cellStyle name="20% - Accent1 5 4 4" xfId="4924"/>
    <cellStyle name="20% - Accent1 5 4 4 2" xfId="27699"/>
    <cellStyle name="20% - Accent1 5 4 5" xfId="5580"/>
    <cellStyle name="20% - Accent1 5 4 5 2" xfId="28355"/>
    <cellStyle name="20% - Accent1 5 4 6" xfId="6236"/>
    <cellStyle name="20% - Accent1 5 4 6 2" xfId="29011"/>
    <cellStyle name="20% - Accent1 5 4 7" xfId="2956"/>
    <cellStyle name="20% - Accent1 5 4 7 2" xfId="25731"/>
    <cellStyle name="20% - Accent1 5 4 8" xfId="6892"/>
    <cellStyle name="20% - Accent1 5 4 8 2" xfId="29667"/>
    <cellStyle name="20% - Accent1 5 4 9" xfId="7548"/>
    <cellStyle name="20% - Accent1 5 4 9 2" xfId="30323"/>
    <cellStyle name="20% - Accent1 5 5" xfId="333"/>
    <cellStyle name="20% - Accent1 5 5 2" xfId="2628"/>
    <cellStyle name="20% - Accent1 5 5 2 2" xfId="25403"/>
    <cellStyle name="20% - Accent1 5 5 3" xfId="23107"/>
    <cellStyle name="20% - Accent1 5 6" xfId="988"/>
    <cellStyle name="20% - Accent1 5 6 2" xfId="3284"/>
    <cellStyle name="20% - Accent1 5 6 2 2" xfId="26059"/>
    <cellStyle name="20% - Accent1 5 6 3" xfId="23763"/>
    <cellStyle name="20% - Accent1 5 7" xfId="1644"/>
    <cellStyle name="20% - Accent1 5 7 2" xfId="3940"/>
    <cellStyle name="20% - Accent1 5 7 2 2" xfId="26715"/>
    <cellStyle name="20% - Accent1 5 7 3" xfId="24419"/>
    <cellStyle name="20% - Accent1 5 8" xfId="4596"/>
    <cellStyle name="20% - Accent1 5 8 2" xfId="27371"/>
    <cellStyle name="20% - Accent1 5 9" xfId="5252"/>
    <cellStyle name="20% - Accent1 5 9 2" xfId="28027"/>
    <cellStyle name="20% - Accent1 6" xfId="115"/>
    <cellStyle name="20% - Accent1 6 10" xfId="2313"/>
    <cellStyle name="20% - Accent1 6 10 2" xfId="25088"/>
    <cellStyle name="20% - Accent1 6 11" xfId="6577"/>
    <cellStyle name="20% - Accent1 6 11 2" xfId="29352"/>
    <cellStyle name="20% - Accent1 6 12" xfId="7233"/>
    <cellStyle name="20% - Accent1 6 12 2" xfId="30008"/>
    <cellStyle name="20% - Accent1 6 13" xfId="7889"/>
    <cellStyle name="20% - Accent1 6 13 2" xfId="30664"/>
    <cellStyle name="20% - Accent1 6 14" xfId="8545"/>
    <cellStyle name="20% - Accent1 6 14 2" xfId="31320"/>
    <cellStyle name="20% - Accent1 6 15" xfId="9201"/>
    <cellStyle name="20% - Accent1 6 15 2" xfId="31976"/>
    <cellStyle name="20% - Accent1 6 16" xfId="9857"/>
    <cellStyle name="20% - Accent1 6 16 2" xfId="32632"/>
    <cellStyle name="20% - Accent1 6 17" xfId="10513"/>
    <cellStyle name="20% - Accent1 6 17 2" xfId="33288"/>
    <cellStyle name="20% - Accent1 6 18" xfId="11169"/>
    <cellStyle name="20% - Accent1 6 18 2" xfId="33944"/>
    <cellStyle name="20% - Accent1 6 19" xfId="11825"/>
    <cellStyle name="20% - Accent1 6 19 2" xfId="34600"/>
    <cellStyle name="20% - Accent1 6 2" xfId="529"/>
    <cellStyle name="20% - Accent1 6 2 10" xfId="6762"/>
    <cellStyle name="20% - Accent1 6 2 10 2" xfId="29537"/>
    <cellStyle name="20% - Accent1 6 2 11" xfId="7418"/>
    <cellStyle name="20% - Accent1 6 2 11 2" xfId="30193"/>
    <cellStyle name="20% - Accent1 6 2 12" xfId="8074"/>
    <cellStyle name="20% - Accent1 6 2 12 2" xfId="30849"/>
    <cellStyle name="20% - Accent1 6 2 13" xfId="8730"/>
    <cellStyle name="20% - Accent1 6 2 13 2" xfId="31505"/>
    <cellStyle name="20% - Accent1 6 2 14" xfId="9386"/>
    <cellStyle name="20% - Accent1 6 2 14 2" xfId="32161"/>
    <cellStyle name="20% - Accent1 6 2 15" xfId="10042"/>
    <cellStyle name="20% - Accent1 6 2 15 2" xfId="32817"/>
    <cellStyle name="20% - Accent1 6 2 16" xfId="10698"/>
    <cellStyle name="20% - Accent1 6 2 16 2" xfId="33473"/>
    <cellStyle name="20% - Accent1 6 2 17" xfId="11354"/>
    <cellStyle name="20% - Accent1 6 2 17 2" xfId="34129"/>
    <cellStyle name="20% - Accent1 6 2 18" xfId="12010"/>
    <cellStyle name="20% - Accent1 6 2 18 2" xfId="34785"/>
    <cellStyle name="20% - Accent1 6 2 19" xfId="12666"/>
    <cellStyle name="20% - Accent1 6 2 19 2" xfId="35441"/>
    <cellStyle name="20% - Accent1 6 2 2" xfId="858"/>
    <cellStyle name="20% - Accent1 6 2 2 10" xfId="8402"/>
    <cellStyle name="20% - Accent1 6 2 2 10 2" xfId="31177"/>
    <cellStyle name="20% - Accent1 6 2 2 11" xfId="9058"/>
    <cellStyle name="20% - Accent1 6 2 2 11 2" xfId="31833"/>
    <cellStyle name="20% - Accent1 6 2 2 12" xfId="9714"/>
    <cellStyle name="20% - Accent1 6 2 2 12 2" xfId="32489"/>
    <cellStyle name="20% - Accent1 6 2 2 13" xfId="10370"/>
    <cellStyle name="20% - Accent1 6 2 2 13 2" xfId="33145"/>
    <cellStyle name="20% - Accent1 6 2 2 14" xfId="11026"/>
    <cellStyle name="20% - Accent1 6 2 2 14 2" xfId="33801"/>
    <cellStyle name="20% - Accent1 6 2 2 15" xfId="11682"/>
    <cellStyle name="20% - Accent1 6 2 2 15 2" xfId="34457"/>
    <cellStyle name="20% - Accent1 6 2 2 16" xfId="12338"/>
    <cellStyle name="20% - Accent1 6 2 2 16 2" xfId="35113"/>
    <cellStyle name="20% - Accent1 6 2 2 17" xfId="12994"/>
    <cellStyle name="20% - Accent1 6 2 2 17 2" xfId="35769"/>
    <cellStyle name="20% - Accent1 6 2 2 18" xfId="13650"/>
    <cellStyle name="20% - Accent1 6 2 2 18 2" xfId="36425"/>
    <cellStyle name="20% - Accent1 6 2 2 19" xfId="14306"/>
    <cellStyle name="20% - Accent1 6 2 2 19 2" xfId="37081"/>
    <cellStyle name="20% - Accent1 6 2 2 2" xfId="1514"/>
    <cellStyle name="20% - Accent1 6 2 2 2 2" xfId="3810"/>
    <cellStyle name="20% - Accent1 6 2 2 2 2 2" xfId="26585"/>
    <cellStyle name="20% - Accent1 6 2 2 2 3" xfId="24289"/>
    <cellStyle name="20% - Accent1 6 2 2 20" xfId="14962"/>
    <cellStyle name="20% - Accent1 6 2 2 20 2" xfId="37737"/>
    <cellStyle name="20% - Accent1 6 2 2 21" xfId="15618"/>
    <cellStyle name="20% - Accent1 6 2 2 21 2" xfId="38393"/>
    <cellStyle name="20% - Accent1 6 2 2 22" xfId="16274"/>
    <cellStyle name="20% - Accent1 6 2 2 22 2" xfId="39049"/>
    <cellStyle name="20% - Accent1 6 2 2 23" xfId="16930"/>
    <cellStyle name="20% - Accent1 6 2 2 23 2" xfId="39705"/>
    <cellStyle name="20% - Accent1 6 2 2 24" xfId="17586"/>
    <cellStyle name="20% - Accent1 6 2 2 24 2" xfId="40361"/>
    <cellStyle name="20% - Accent1 6 2 2 25" xfId="18242"/>
    <cellStyle name="20% - Accent1 6 2 2 25 2" xfId="41017"/>
    <cellStyle name="20% - Accent1 6 2 2 26" xfId="18898"/>
    <cellStyle name="20% - Accent1 6 2 2 26 2" xfId="41673"/>
    <cellStyle name="20% - Accent1 6 2 2 27" xfId="19554"/>
    <cellStyle name="20% - Accent1 6 2 2 27 2" xfId="42329"/>
    <cellStyle name="20% - Accent1 6 2 2 28" xfId="20210"/>
    <cellStyle name="20% - Accent1 6 2 2 28 2" xfId="42985"/>
    <cellStyle name="20% - Accent1 6 2 2 29" xfId="20866"/>
    <cellStyle name="20% - Accent1 6 2 2 29 2" xfId="43641"/>
    <cellStyle name="20% - Accent1 6 2 2 3" xfId="2170"/>
    <cellStyle name="20% - Accent1 6 2 2 3 2" xfId="4466"/>
    <cellStyle name="20% - Accent1 6 2 2 3 2 2" xfId="27241"/>
    <cellStyle name="20% - Accent1 6 2 2 3 3" xfId="24945"/>
    <cellStyle name="20% - Accent1 6 2 2 30" xfId="21522"/>
    <cellStyle name="20% - Accent1 6 2 2 30 2" xfId="44297"/>
    <cellStyle name="20% - Accent1 6 2 2 31" xfId="22178"/>
    <cellStyle name="20% - Accent1 6 2 2 31 2" xfId="44953"/>
    <cellStyle name="20% - Accent1 6 2 2 32" xfId="22834"/>
    <cellStyle name="20% - Accent1 6 2 2 32 2" xfId="45609"/>
    <cellStyle name="20% - Accent1 6 2 2 33" xfId="23633"/>
    <cellStyle name="20% - Accent1 6 2 2 4" xfId="5122"/>
    <cellStyle name="20% - Accent1 6 2 2 4 2" xfId="27897"/>
    <cellStyle name="20% - Accent1 6 2 2 5" xfId="5778"/>
    <cellStyle name="20% - Accent1 6 2 2 5 2" xfId="28553"/>
    <cellStyle name="20% - Accent1 6 2 2 6" xfId="6434"/>
    <cellStyle name="20% - Accent1 6 2 2 6 2" xfId="29209"/>
    <cellStyle name="20% - Accent1 6 2 2 7" xfId="3154"/>
    <cellStyle name="20% - Accent1 6 2 2 7 2" xfId="25929"/>
    <cellStyle name="20% - Accent1 6 2 2 8" xfId="7090"/>
    <cellStyle name="20% - Accent1 6 2 2 8 2" xfId="29865"/>
    <cellStyle name="20% - Accent1 6 2 2 9" xfId="7746"/>
    <cellStyle name="20% - Accent1 6 2 2 9 2" xfId="30521"/>
    <cellStyle name="20% - Accent1 6 2 20" xfId="13322"/>
    <cellStyle name="20% - Accent1 6 2 20 2" xfId="36097"/>
    <cellStyle name="20% - Accent1 6 2 21" xfId="13978"/>
    <cellStyle name="20% - Accent1 6 2 21 2" xfId="36753"/>
    <cellStyle name="20% - Accent1 6 2 22" xfId="14634"/>
    <cellStyle name="20% - Accent1 6 2 22 2" xfId="37409"/>
    <cellStyle name="20% - Accent1 6 2 23" xfId="15290"/>
    <cellStyle name="20% - Accent1 6 2 23 2" xfId="38065"/>
    <cellStyle name="20% - Accent1 6 2 24" xfId="15946"/>
    <cellStyle name="20% - Accent1 6 2 24 2" xfId="38721"/>
    <cellStyle name="20% - Accent1 6 2 25" xfId="16602"/>
    <cellStyle name="20% - Accent1 6 2 25 2" xfId="39377"/>
    <cellStyle name="20% - Accent1 6 2 26" xfId="17258"/>
    <cellStyle name="20% - Accent1 6 2 26 2" xfId="40033"/>
    <cellStyle name="20% - Accent1 6 2 27" xfId="17914"/>
    <cellStyle name="20% - Accent1 6 2 27 2" xfId="40689"/>
    <cellStyle name="20% - Accent1 6 2 28" xfId="18570"/>
    <cellStyle name="20% - Accent1 6 2 28 2" xfId="41345"/>
    <cellStyle name="20% - Accent1 6 2 29" xfId="19226"/>
    <cellStyle name="20% - Accent1 6 2 29 2" xfId="42001"/>
    <cellStyle name="20% - Accent1 6 2 3" xfId="1186"/>
    <cellStyle name="20% - Accent1 6 2 3 2" xfId="2826"/>
    <cellStyle name="20% - Accent1 6 2 3 2 2" xfId="25601"/>
    <cellStyle name="20% - Accent1 6 2 3 3" xfId="23961"/>
    <cellStyle name="20% - Accent1 6 2 30" xfId="19882"/>
    <cellStyle name="20% - Accent1 6 2 30 2" xfId="42657"/>
    <cellStyle name="20% - Accent1 6 2 31" xfId="20538"/>
    <cellStyle name="20% - Accent1 6 2 31 2" xfId="43313"/>
    <cellStyle name="20% - Accent1 6 2 32" xfId="21194"/>
    <cellStyle name="20% - Accent1 6 2 32 2" xfId="43969"/>
    <cellStyle name="20% - Accent1 6 2 33" xfId="21850"/>
    <cellStyle name="20% - Accent1 6 2 33 2" xfId="44625"/>
    <cellStyle name="20% - Accent1 6 2 34" xfId="22506"/>
    <cellStyle name="20% - Accent1 6 2 34 2" xfId="45281"/>
    <cellStyle name="20% - Accent1 6 2 35" xfId="23305"/>
    <cellStyle name="20% - Accent1 6 2 4" xfId="1842"/>
    <cellStyle name="20% - Accent1 6 2 4 2" xfId="3482"/>
    <cellStyle name="20% - Accent1 6 2 4 2 2" xfId="26257"/>
    <cellStyle name="20% - Accent1 6 2 4 3" xfId="24617"/>
    <cellStyle name="20% - Accent1 6 2 5" xfId="4138"/>
    <cellStyle name="20% - Accent1 6 2 5 2" xfId="26913"/>
    <cellStyle name="20% - Accent1 6 2 6" xfId="4794"/>
    <cellStyle name="20% - Accent1 6 2 6 2" xfId="27569"/>
    <cellStyle name="20% - Accent1 6 2 7" xfId="5450"/>
    <cellStyle name="20% - Accent1 6 2 7 2" xfId="28225"/>
    <cellStyle name="20% - Accent1 6 2 8" xfId="6106"/>
    <cellStyle name="20% - Accent1 6 2 8 2" xfId="28881"/>
    <cellStyle name="20% - Accent1 6 2 9" xfId="2498"/>
    <cellStyle name="20% - Accent1 6 2 9 2" xfId="25273"/>
    <cellStyle name="20% - Accent1 6 20" xfId="12481"/>
    <cellStyle name="20% - Accent1 6 20 2" xfId="35256"/>
    <cellStyle name="20% - Accent1 6 21" xfId="13137"/>
    <cellStyle name="20% - Accent1 6 21 2" xfId="35912"/>
    <cellStyle name="20% - Accent1 6 22" xfId="13793"/>
    <cellStyle name="20% - Accent1 6 22 2" xfId="36568"/>
    <cellStyle name="20% - Accent1 6 23" xfId="14449"/>
    <cellStyle name="20% - Accent1 6 23 2" xfId="37224"/>
    <cellStyle name="20% - Accent1 6 24" xfId="15105"/>
    <cellStyle name="20% - Accent1 6 24 2" xfId="37880"/>
    <cellStyle name="20% - Accent1 6 25" xfId="15761"/>
    <cellStyle name="20% - Accent1 6 25 2" xfId="38536"/>
    <cellStyle name="20% - Accent1 6 26" xfId="16417"/>
    <cellStyle name="20% - Accent1 6 26 2" xfId="39192"/>
    <cellStyle name="20% - Accent1 6 27" xfId="17073"/>
    <cellStyle name="20% - Accent1 6 27 2" xfId="39848"/>
    <cellStyle name="20% - Accent1 6 28" xfId="17729"/>
    <cellStyle name="20% - Accent1 6 28 2" xfId="40504"/>
    <cellStyle name="20% - Accent1 6 29" xfId="18385"/>
    <cellStyle name="20% - Accent1 6 29 2" xfId="41160"/>
    <cellStyle name="20% - Accent1 6 3" xfId="673"/>
    <cellStyle name="20% - Accent1 6 3 10" xfId="8217"/>
    <cellStyle name="20% - Accent1 6 3 10 2" xfId="30992"/>
    <cellStyle name="20% - Accent1 6 3 11" xfId="8873"/>
    <cellStyle name="20% - Accent1 6 3 11 2" xfId="31648"/>
    <cellStyle name="20% - Accent1 6 3 12" xfId="9529"/>
    <cellStyle name="20% - Accent1 6 3 12 2" xfId="32304"/>
    <cellStyle name="20% - Accent1 6 3 13" xfId="10185"/>
    <cellStyle name="20% - Accent1 6 3 13 2" xfId="32960"/>
    <cellStyle name="20% - Accent1 6 3 14" xfId="10841"/>
    <cellStyle name="20% - Accent1 6 3 14 2" xfId="33616"/>
    <cellStyle name="20% - Accent1 6 3 15" xfId="11497"/>
    <cellStyle name="20% - Accent1 6 3 15 2" xfId="34272"/>
    <cellStyle name="20% - Accent1 6 3 16" xfId="12153"/>
    <cellStyle name="20% - Accent1 6 3 16 2" xfId="34928"/>
    <cellStyle name="20% - Accent1 6 3 17" xfId="12809"/>
    <cellStyle name="20% - Accent1 6 3 17 2" xfId="35584"/>
    <cellStyle name="20% - Accent1 6 3 18" xfId="13465"/>
    <cellStyle name="20% - Accent1 6 3 18 2" xfId="36240"/>
    <cellStyle name="20% - Accent1 6 3 19" xfId="14121"/>
    <cellStyle name="20% - Accent1 6 3 19 2" xfId="36896"/>
    <cellStyle name="20% - Accent1 6 3 2" xfId="1329"/>
    <cellStyle name="20% - Accent1 6 3 2 2" xfId="3625"/>
    <cellStyle name="20% - Accent1 6 3 2 2 2" xfId="26400"/>
    <cellStyle name="20% - Accent1 6 3 2 3" xfId="24104"/>
    <cellStyle name="20% - Accent1 6 3 20" xfId="14777"/>
    <cellStyle name="20% - Accent1 6 3 20 2" xfId="37552"/>
    <cellStyle name="20% - Accent1 6 3 21" xfId="15433"/>
    <cellStyle name="20% - Accent1 6 3 21 2" xfId="38208"/>
    <cellStyle name="20% - Accent1 6 3 22" xfId="16089"/>
    <cellStyle name="20% - Accent1 6 3 22 2" xfId="38864"/>
    <cellStyle name="20% - Accent1 6 3 23" xfId="16745"/>
    <cellStyle name="20% - Accent1 6 3 23 2" xfId="39520"/>
    <cellStyle name="20% - Accent1 6 3 24" xfId="17401"/>
    <cellStyle name="20% - Accent1 6 3 24 2" xfId="40176"/>
    <cellStyle name="20% - Accent1 6 3 25" xfId="18057"/>
    <cellStyle name="20% - Accent1 6 3 25 2" xfId="40832"/>
    <cellStyle name="20% - Accent1 6 3 26" xfId="18713"/>
    <cellStyle name="20% - Accent1 6 3 26 2" xfId="41488"/>
    <cellStyle name="20% - Accent1 6 3 27" xfId="19369"/>
    <cellStyle name="20% - Accent1 6 3 27 2" xfId="42144"/>
    <cellStyle name="20% - Accent1 6 3 28" xfId="20025"/>
    <cellStyle name="20% - Accent1 6 3 28 2" xfId="42800"/>
    <cellStyle name="20% - Accent1 6 3 29" xfId="20681"/>
    <cellStyle name="20% - Accent1 6 3 29 2" xfId="43456"/>
    <cellStyle name="20% - Accent1 6 3 3" xfId="1985"/>
    <cellStyle name="20% - Accent1 6 3 3 2" xfId="4281"/>
    <cellStyle name="20% - Accent1 6 3 3 2 2" xfId="27056"/>
    <cellStyle name="20% - Accent1 6 3 3 3" xfId="24760"/>
    <cellStyle name="20% - Accent1 6 3 30" xfId="21337"/>
    <cellStyle name="20% - Accent1 6 3 30 2" xfId="44112"/>
    <cellStyle name="20% - Accent1 6 3 31" xfId="21993"/>
    <cellStyle name="20% - Accent1 6 3 31 2" xfId="44768"/>
    <cellStyle name="20% - Accent1 6 3 32" xfId="22649"/>
    <cellStyle name="20% - Accent1 6 3 32 2" xfId="45424"/>
    <cellStyle name="20% - Accent1 6 3 33" xfId="23448"/>
    <cellStyle name="20% - Accent1 6 3 4" xfId="4937"/>
    <cellStyle name="20% - Accent1 6 3 4 2" xfId="27712"/>
    <cellStyle name="20% - Accent1 6 3 5" xfId="5593"/>
    <cellStyle name="20% - Accent1 6 3 5 2" xfId="28368"/>
    <cellStyle name="20% - Accent1 6 3 6" xfId="6249"/>
    <cellStyle name="20% - Accent1 6 3 6 2" xfId="29024"/>
    <cellStyle name="20% - Accent1 6 3 7" xfId="2969"/>
    <cellStyle name="20% - Accent1 6 3 7 2" xfId="25744"/>
    <cellStyle name="20% - Accent1 6 3 8" xfId="6905"/>
    <cellStyle name="20% - Accent1 6 3 8 2" xfId="29680"/>
    <cellStyle name="20% - Accent1 6 3 9" xfId="7561"/>
    <cellStyle name="20% - Accent1 6 3 9 2" xfId="30336"/>
    <cellStyle name="20% - Accent1 6 30" xfId="19041"/>
    <cellStyle name="20% - Accent1 6 30 2" xfId="41816"/>
    <cellStyle name="20% - Accent1 6 31" xfId="19697"/>
    <cellStyle name="20% - Accent1 6 31 2" xfId="42472"/>
    <cellStyle name="20% - Accent1 6 32" xfId="20353"/>
    <cellStyle name="20% - Accent1 6 32 2" xfId="43128"/>
    <cellStyle name="20% - Accent1 6 33" xfId="21009"/>
    <cellStyle name="20% - Accent1 6 33 2" xfId="43784"/>
    <cellStyle name="20% - Accent1 6 34" xfId="21665"/>
    <cellStyle name="20% - Accent1 6 34 2" xfId="44440"/>
    <cellStyle name="20% - Accent1 6 35" xfId="22321"/>
    <cellStyle name="20% - Accent1 6 35 2" xfId="45096"/>
    <cellStyle name="20% - Accent1 6 36" xfId="260"/>
    <cellStyle name="20% - Accent1 6 37" xfId="22977"/>
    <cellStyle name="20% - Accent1 6 4" xfId="346"/>
    <cellStyle name="20% - Accent1 6 4 2" xfId="2641"/>
    <cellStyle name="20% - Accent1 6 4 2 2" xfId="25416"/>
    <cellStyle name="20% - Accent1 6 4 3" xfId="23120"/>
    <cellStyle name="20% - Accent1 6 5" xfId="1001"/>
    <cellStyle name="20% - Accent1 6 5 2" xfId="3297"/>
    <cellStyle name="20% - Accent1 6 5 2 2" xfId="26072"/>
    <cellStyle name="20% - Accent1 6 5 3" xfId="23776"/>
    <cellStyle name="20% - Accent1 6 6" xfId="1657"/>
    <cellStyle name="20% - Accent1 6 6 2" xfId="3953"/>
    <cellStyle name="20% - Accent1 6 6 2 2" xfId="26728"/>
    <cellStyle name="20% - Accent1 6 6 3" xfId="24432"/>
    <cellStyle name="20% - Accent1 6 7" xfId="4609"/>
    <cellStyle name="20% - Accent1 6 7 2" xfId="27384"/>
    <cellStyle name="20% - Accent1 6 8" xfId="5265"/>
    <cellStyle name="20% - Accent1 6 8 2" xfId="28040"/>
    <cellStyle name="20% - Accent1 6 9" xfId="5921"/>
    <cellStyle name="20% - Accent1 6 9 2" xfId="28696"/>
    <cellStyle name="20% - Accent1 7" xfId="419"/>
    <cellStyle name="20% - Accent1 7 10" xfId="6650"/>
    <cellStyle name="20% - Accent1 7 10 2" xfId="29425"/>
    <cellStyle name="20% - Accent1 7 11" xfId="7306"/>
    <cellStyle name="20% - Accent1 7 11 2" xfId="30081"/>
    <cellStyle name="20% - Accent1 7 12" xfId="7962"/>
    <cellStyle name="20% - Accent1 7 12 2" xfId="30737"/>
    <cellStyle name="20% - Accent1 7 13" xfId="8618"/>
    <cellStyle name="20% - Accent1 7 13 2" xfId="31393"/>
    <cellStyle name="20% - Accent1 7 14" xfId="9274"/>
    <cellStyle name="20% - Accent1 7 14 2" xfId="32049"/>
    <cellStyle name="20% - Accent1 7 15" xfId="9930"/>
    <cellStyle name="20% - Accent1 7 15 2" xfId="32705"/>
    <cellStyle name="20% - Accent1 7 16" xfId="10586"/>
    <cellStyle name="20% - Accent1 7 16 2" xfId="33361"/>
    <cellStyle name="20% - Accent1 7 17" xfId="11242"/>
    <cellStyle name="20% - Accent1 7 17 2" xfId="34017"/>
    <cellStyle name="20% - Accent1 7 18" xfId="11898"/>
    <cellStyle name="20% - Accent1 7 18 2" xfId="34673"/>
    <cellStyle name="20% - Accent1 7 19" xfId="12554"/>
    <cellStyle name="20% - Accent1 7 19 2" xfId="35329"/>
    <cellStyle name="20% - Accent1 7 2" xfId="746"/>
    <cellStyle name="20% - Accent1 7 2 10" xfId="8290"/>
    <cellStyle name="20% - Accent1 7 2 10 2" xfId="31065"/>
    <cellStyle name="20% - Accent1 7 2 11" xfId="8946"/>
    <cellStyle name="20% - Accent1 7 2 11 2" xfId="31721"/>
    <cellStyle name="20% - Accent1 7 2 12" xfId="9602"/>
    <cellStyle name="20% - Accent1 7 2 12 2" xfId="32377"/>
    <cellStyle name="20% - Accent1 7 2 13" xfId="10258"/>
    <cellStyle name="20% - Accent1 7 2 13 2" xfId="33033"/>
    <cellStyle name="20% - Accent1 7 2 14" xfId="10914"/>
    <cellStyle name="20% - Accent1 7 2 14 2" xfId="33689"/>
    <cellStyle name="20% - Accent1 7 2 15" xfId="11570"/>
    <cellStyle name="20% - Accent1 7 2 15 2" xfId="34345"/>
    <cellStyle name="20% - Accent1 7 2 16" xfId="12226"/>
    <cellStyle name="20% - Accent1 7 2 16 2" xfId="35001"/>
    <cellStyle name="20% - Accent1 7 2 17" xfId="12882"/>
    <cellStyle name="20% - Accent1 7 2 17 2" xfId="35657"/>
    <cellStyle name="20% - Accent1 7 2 18" xfId="13538"/>
    <cellStyle name="20% - Accent1 7 2 18 2" xfId="36313"/>
    <cellStyle name="20% - Accent1 7 2 19" xfId="14194"/>
    <cellStyle name="20% - Accent1 7 2 19 2" xfId="36969"/>
    <cellStyle name="20% - Accent1 7 2 2" xfId="1402"/>
    <cellStyle name="20% - Accent1 7 2 2 2" xfId="3698"/>
    <cellStyle name="20% - Accent1 7 2 2 2 2" xfId="26473"/>
    <cellStyle name="20% - Accent1 7 2 2 3" xfId="24177"/>
    <cellStyle name="20% - Accent1 7 2 20" xfId="14850"/>
    <cellStyle name="20% - Accent1 7 2 20 2" xfId="37625"/>
    <cellStyle name="20% - Accent1 7 2 21" xfId="15506"/>
    <cellStyle name="20% - Accent1 7 2 21 2" xfId="38281"/>
    <cellStyle name="20% - Accent1 7 2 22" xfId="16162"/>
    <cellStyle name="20% - Accent1 7 2 22 2" xfId="38937"/>
    <cellStyle name="20% - Accent1 7 2 23" xfId="16818"/>
    <cellStyle name="20% - Accent1 7 2 23 2" xfId="39593"/>
    <cellStyle name="20% - Accent1 7 2 24" xfId="17474"/>
    <cellStyle name="20% - Accent1 7 2 24 2" xfId="40249"/>
    <cellStyle name="20% - Accent1 7 2 25" xfId="18130"/>
    <cellStyle name="20% - Accent1 7 2 25 2" xfId="40905"/>
    <cellStyle name="20% - Accent1 7 2 26" xfId="18786"/>
    <cellStyle name="20% - Accent1 7 2 26 2" xfId="41561"/>
    <cellStyle name="20% - Accent1 7 2 27" xfId="19442"/>
    <cellStyle name="20% - Accent1 7 2 27 2" xfId="42217"/>
    <cellStyle name="20% - Accent1 7 2 28" xfId="20098"/>
    <cellStyle name="20% - Accent1 7 2 28 2" xfId="42873"/>
    <cellStyle name="20% - Accent1 7 2 29" xfId="20754"/>
    <cellStyle name="20% - Accent1 7 2 29 2" xfId="43529"/>
    <cellStyle name="20% - Accent1 7 2 3" xfId="2058"/>
    <cellStyle name="20% - Accent1 7 2 3 2" xfId="4354"/>
    <cellStyle name="20% - Accent1 7 2 3 2 2" xfId="27129"/>
    <cellStyle name="20% - Accent1 7 2 3 3" xfId="24833"/>
    <cellStyle name="20% - Accent1 7 2 30" xfId="21410"/>
    <cellStyle name="20% - Accent1 7 2 30 2" xfId="44185"/>
    <cellStyle name="20% - Accent1 7 2 31" xfId="22066"/>
    <cellStyle name="20% - Accent1 7 2 31 2" xfId="44841"/>
    <cellStyle name="20% - Accent1 7 2 32" xfId="22722"/>
    <cellStyle name="20% - Accent1 7 2 32 2" xfId="45497"/>
    <cellStyle name="20% - Accent1 7 2 33" xfId="23521"/>
    <cellStyle name="20% - Accent1 7 2 4" xfId="5010"/>
    <cellStyle name="20% - Accent1 7 2 4 2" xfId="27785"/>
    <cellStyle name="20% - Accent1 7 2 5" xfId="5666"/>
    <cellStyle name="20% - Accent1 7 2 5 2" xfId="28441"/>
    <cellStyle name="20% - Accent1 7 2 6" xfId="6322"/>
    <cellStyle name="20% - Accent1 7 2 6 2" xfId="29097"/>
    <cellStyle name="20% - Accent1 7 2 7" xfId="3042"/>
    <cellStyle name="20% - Accent1 7 2 7 2" xfId="25817"/>
    <cellStyle name="20% - Accent1 7 2 8" xfId="6978"/>
    <cellStyle name="20% - Accent1 7 2 8 2" xfId="29753"/>
    <cellStyle name="20% - Accent1 7 2 9" xfId="7634"/>
    <cellStyle name="20% - Accent1 7 2 9 2" xfId="30409"/>
    <cellStyle name="20% - Accent1 7 20" xfId="13210"/>
    <cellStyle name="20% - Accent1 7 20 2" xfId="35985"/>
    <cellStyle name="20% - Accent1 7 21" xfId="13866"/>
    <cellStyle name="20% - Accent1 7 21 2" xfId="36641"/>
    <cellStyle name="20% - Accent1 7 22" xfId="14522"/>
    <cellStyle name="20% - Accent1 7 22 2" xfId="37297"/>
    <cellStyle name="20% - Accent1 7 23" xfId="15178"/>
    <cellStyle name="20% - Accent1 7 23 2" xfId="37953"/>
    <cellStyle name="20% - Accent1 7 24" xfId="15834"/>
    <cellStyle name="20% - Accent1 7 24 2" xfId="38609"/>
    <cellStyle name="20% - Accent1 7 25" xfId="16490"/>
    <cellStyle name="20% - Accent1 7 25 2" xfId="39265"/>
    <cellStyle name="20% - Accent1 7 26" xfId="17146"/>
    <cellStyle name="20% - Accent1 7 26 2" xfId="39921"/>
    <cellStyle name="20% - Accent1 7 27" xfId="17802"/>
    <cellStyle name="20% - Accent1 7 27 2" xfId="40577"/>
    <cellStyle name="20% - Accent1 7 28" xfId="18458"/>
    <cellStyle name="20% - Accent1 7 28 2" xfId="41233"/>
    <cellStyle name="20% - Accent1 7 29" xfId="19114"/>
    <cellStyle name="20% - Accent1 7 29 2" xfId="41889"/>
    <cellStyle name="20% - Accent1 7 3" xfId="1074"/>
    <cellStyle name="20% - Accent1 7 3 2" xfId="2714"/>
    <cellStyle name="20% - Accent1 7 3 2 2" xfId="25489"/>
    <cellStyle name="20% - Accent1 7 3 3" xfId="23849"/>
    <cellStyle name="20% - Accent1 7 30" xfId="19770"/>
    <cellStyle name="20% - Accent1 7 30 2" xfId="42545"/>
    <cellStyle name="20% - Accent1 7 31" xfId="20426"/>
    <cellStyle name="20% - Accent1 7 31 2" xfId="43201"/>
    <cellStyle name="20% - Accent1 7 32" xfId="21082"/>
    <cellStyle name="20% - Accent1 7 32 2" xfId="43857"/>
    <cellStyle name="20% - Accent1 7 33" xfId="21738"/>
    <cellStyle name="20% - Accent1 7 33 2" xfId="44513"/>
    <cellStyle name="20% - Accent1 7 34" xfId="22394"/>
    <cellStyle name="20% - Accent1 7 34 2" xfId="45169"/>
    <cellStyle name="20% - Accent1 7 35" xfId="23193"/>
    <cellStyle name="20% - Accent1 7 4" xfId="1730"/>
    <cellStyle name="20% - Accent1 7 4 2" xfId="3370"/>
    <cellStyle name="20% - Accent1 7 4 2 2" xfId="26145"/>
    <cellStyle name="20% - Accent1 7 4 3" xfId="24505"/>
    <cellStyle name="20% - Accent1 7 5" xfId="4026"/>
    <cellStyle name="20% - Accent1 7 5 2" xfId="26801"/>
    <cellStyle name="20% - Accent1 7 6" xfId="4682"/>
    <cellStyle name="20% - Accent1 7 6 2" xfId="27457"/>
    <cellStyle name="20% - Accent1 7 7" xfId="5338"/>
    <cellStyle name="20% - Accent1 7 7 2" xfId="28113"/>
    <cellStyle name="20% - Accent1 7 8" xfId="5994"/>
    <cellStyle name="20% - Accent1 7 8 2" xfId="28769"/>
    <cellStyle name="20% - Accent1 7 9" xfId="2386"/>
    <cellStyle name="20% - Accent1 7 9 2" xfId="25161"/>
    <cellStyle name="20% - Accent1 8" xfId="433"/>
    <cellStyle name="20% - Accent1 8 10" xfId="6664"/>
    <cellStyle name="20% - Accent1 8 10 2" xfId="29439"/>
    <cellStyle name="20% - Accent1 8 11" xfId="7320"/>
    <cellStyle name="20% - Accent1 8 11 2" xfId="30095"/>
    <cellStyle name="20% - Accent1 8 12" xfId="7976"/>
    <cellStyle name="20% - Accent1 8 12 2" xfId="30751"/>
    <cellStyle name="20% - Accent1 8 13" xfId="8632"/>
    <cellStyle name="20% - Accent1 8 13 2" xfId="31407"/>
    <cellStyle name="20% - Accent1 8 14" xfId="9288"/>
    <cellStyle name="20% - Accent1 8 14 2" xfId="32063"/>
    <cellStyle name="20% - Accent1 8 15" xfId="9944"/>
    <cellStyle name="20% - Accent1 8 15 2" xfId="32719"/>
    <cellStyle name="20% - Accent1 8 16" xfId="10600"/>
    <cellStyle name="20% - Accent1 8 16 2" xfId="33375"/>
    <cellStyle name="20% - Accent1 8 17" xfId="11256"/>
    <cellStyle name="20% - Accent1 8 17 2" xfId="34031"/>
    <cellStyle name="20% - Accent1 8 18" xfId="11912"/>
    <cellStyle name="20% - Accent1 8 18 2" xfId="34687"/>
    <cellStyle name="20% - Accent1 8 19" xfId="12568"/>
    <cellStyle name="20% - Accent1 8 19 2" xfId="35343"/>
    <cellStyle name="20% - Accent1 8 2" xfId="760"/>
    <cellStyle name="20% - Accent1 8 2 10" xfId="8304"/>
    <cellStyle name="20% - Accent1 8 2 10 2" xfId="31079"/>
    <cellStyle name="20% - Accent1 8 2 11" xfId="8960"/>
    <cellStyle name="20% - Accent1 8 2 11 2" xfId="31735"/>
    <cellStyle name="20% - Accent1 8 2 12" xfId="9616"/>
    <cellStyle name="20% - Accent1 8 2 12 2" xfId="32391"/>
    <cellStyle name="20% - Accent1 8 2 13" xfId="10272"/>
    <cellStyle name="20% - Accent1 8 2 13 2" xfId="33047"/>
    <cellStyle name="20% - Accent1 8 2 14" xfId="10928"/>
    <cellStyle name="20% - Accent1 8 2 14 2" xfId="33703"/>
    <cellStyle name="20% - Accent1 8 2 15" xfId="11584"/>
    <cellStyle name="20% - Accent1 8 2 15 2" xfId="34359"/>
    <cellStyle name="20% - Accent1 8 2 16" xfId="12240"/>
    <cellStyle name="20% - Accent1 8 2 16 2" xfId="35015"/>
    <cellStyle name="20% - Accent1 8 2 17" xfId="12896"/>
    <cellStyle name="20% - Accent1 8 2 17 2" xfId="35671"/>
    <cellStyle name="20% - Accent1 8 2 18" xfId="13552"/>
    <cellStyle name="20% - Accent1 8 2 18 2" xfId="36327"/>
    <cellStyle name="20% - Accent1 8 2 19" xfId="14208"/>
    <cellStyle name="20% - Accent1 8 2 19 2" xfId="36983"/>
    <cellStyle name="20% - Accent1 8 2 2" xfId="1416"/>
    <cellStyle name="20% - Accent1 8 2 2 2" xfId="3712"/>
    <cellStyle name="20% - Accent1 8 2 2 2 2" xfId="26487"/>
    <cellStyle name="20% - Accent1 8 2 2 3" xfId="24191"/>
    <cellStyle name="20% - Accent1 8 2 20" xfId="14864"/>
    <cellStyle name="20% - Accent1 8 2 20 2" xfId="37639"/>
    <cellStyle name="20% - Accent1 8 2 21" xfId="15520"/>
    <cellStyle name="20% - Accent1 8 2 21 2" xfId="38295"/>
    <cellStyle name="20% - Accent1 8 2 22" xfId="16176"/>
    <cellStyle name="20% - Accent1 8 2 22 2" xfId="38951"/>
    <cellStyle name="20% - Accent1 8 2 23" xfId="16832"/>
    <cellStyle name="20% - Accent1 8 2 23 2" xfId="39607"/>
    <cellStyle name="20% - Accent1 8 2 24" xfId="17488"/>
    <cellStyle name="20% - Accent1 8 2 24 2" xfId="40263"/>
    <cellStyle name="20% - Accent1 8 2 25" xfId="18144"/>
    <cellStyle name="20% - Accent1 8 2 25 2" xfId="40919"/>
    <cellStyle name="20% - Accent1 8 2 26" xfId="18800"/>
    <cellStyle name="20% - Accent1 8 2 26 2" xfId="41575"/>
    <cellStyle name="20% - Accent1 8 2 27" xfId="19456"/>
    <cellStyle name="20% - Accent1 8 2 27 2" xfId="42231"/>
    <cellStyle name="20% - Accent1 8 2 28" xfId="20112"/>
    <cellStyle name="20% - Accent1 8 2 28 2" xfId="42887"/>
    <cellStyle name="20% - Accent1 8 2 29" xfId="20768"/>
    <cellStyle name="20% - Accent1 8 2 29 2" xfId="43543"/>
    <cellStyle name="20% - Accent1 8 2 3" xfId="2072"/>
    <cellStyle name="20% - Accent1 8 2 3 2" xfId="4368"/>
    <cellStyle name="20% - Accent1 8 2 3 2 2" xfId="27143"/>
    <cellStyle name="20% - Accent1 8 2 3 3" xfId="24847"/>
    <cellStyle name="20% - Accent1 8 2 30" xfId="21424"/>
    <cellStyle name="20% - Accent1 8 2 30 2" xfId="44199"/>
    <cellStyle name="20% - Accent1 8 2 31" xfId="22080"/>
    <cellStyle name="20% - Accent1 8 2 31 2" xfId="44855"/>
    <cellStyle name="20% - Accent1 8 2 32" xfId="22736"/>
    <cellStyle name="20% - Accent1 8 2 32 2" xfId="45511"/>
    <cellStyle name="20% - Accent1 8 2 33" xfId="23535"/>
    <cellStyle name="20% - Accent1 8 2 4" xfId="5024"/>
    <cellStyle name="20% - Accent1 8 2 4 2" xfId="27799"/>
    <cellStyle name="20% - Accent1 8 2 5" xfId="5680"/>
    <cellStyle name="20% - Accent1 8 2 5 2" xfId="28455"/>
    <cellStyle name="20% - Accent1 8 2 6" xfId="6336"/>
    <cellStyle name="20% - Accent1 8 2 6 2" xfId="29111"/>
    <cellStyle name="20% - Accent1 8 2 7" xfId="3056"/>
    <cellStyle name="20% - Accent1 8 2 7 2" xfId="25831"/>
    <cellStyle name="20% - Accent1 8 2 8" xfId="6992"/>
    <cellStyle name="20% - Accent1 8 2 8 2" xfId="29767"/>
    <cellStyle name="20% - Accent1 8 2 9" xfId="7648"/>
    <cellStyle name="20% - Accent1 8 2 9 2" xfId="30423"/>
    <cellStyle name="20% - Accent1 8 20" xfId="13224"/>
    <cellStyle name="20% - Accent1 8 20 2" xfId="35999"/>
    <cellStyle name="20% - Accent1 8 21" xfId="13880"/>
    <cellStyle name="20% - Accent1 8 21 2" xfId="36655"/>
    <cellStyle name="20% - Accent1 8 22" xfId="14536"/>
    <cellStyle name="20% - Accent1 8 22 2" xfId="37311"/>
    <cellStyle name="20% - Accent1 8 23" xfId="15192"/>
    <cellStyle name="20% - Accent1 8 23 2" xfId="37967"/>
    <cellStyle name="20% - Accent1 8 24" xfId="15848"/>
    <cellStyle name="20% - Accent1 8 24 2" xfId="38623"/>
    <cellStyle name="20% - Accent1 8 25" xfId="16504"/>
    <cellStyle name="20% - Accent1 8 25 2" xfId="39279"/>
    <cellStyle name="20% - Accent1 8 26" xfId="17160"/>
    <cellStyle name="20% - Accent1 8 26 2" xfId="39935"/>
    <cellStyle name="20% - Accent1 8 27" xfId="17816"/>
    <cellStyle name="20% - Accent1 8 27 2" xfId="40591"/>
    <cellStyle name="20% - Accent1 8 28" xfId="18472"/>
    <cellStyle name="20% - Accent1 8 28 2" xfId="41247"/>
    <cellStyle name="20% - Accent1 8 29" xfId="19128"/>
    <cellStyle name="20% - Accent1 8 29 2" xfId="41903"/>
    <cellStyle name="20% - Accent1 8 3" xfId="1088"/>
    <cellStyle name="20% - Accent1 8 3 2" xfId="2728"/>
    <cellStyle name="20% - Accent1 8 3 2 2" xfId="25503"/>
    <cellStyle name="20% - Accent1 8 3 3" xfId="23863"/>
    <cellStyle name="20% - Accent1 8 30" xfId="19784"/>
    <cellStyle name="20% - Accent1 8 30 2" xfId="42559"/>
    <cellStyle name="20% - Accent1 8 31" xfId="20440"/>
    <cellStyle name="20% - Accent1 8 31 2" xfId="43215"/>
    <cellStyle name="20% - Accent1 8 32" xfId="21096"/>
    <cellStyle name="20% - Accent1 8 32 2" xfId="43871"/>
    <cellStyle name="20% - Accent1 8 33" xfId="21752"/>
    <cellStyle name="20% - Accent1 8 33 2" xfId="44527"/>
    <cellStyle name="20% - Accent1 8 34" xfId="22408"/>
    <cellStyle name="20% - Accent1 8 34 2" xfId="45183"/>
    <cellStyle name="20% - Accent1 8 35" xfId="23207"/>
    <cellStyle name="20% - Accent1 8 4" xfId="1744"/>
    <cellStyle name="20% - Accent1 8 4 2" xfId="3384"/>
    <cellStyle name="20% - Accent1 8 4 2 2" xfId="26159"/>
    <cellStyle name="20% - Accent1 8 4 3" xfId="24519"/>
    <cellStyle name="20% - Accent1 8 5" xfId="4040"/>
    <cellStyle name="20% - Accent1 8 5 2" xfId="26815"/>
    <cellStyle name="20% - Accent1 8 6" xfId="4696"/>
    <cellStyle name="20% - Accent1 8 6 2" xfId="27471"/>
    <cellStyle name="20% - Accent1 8 7" xfId="5352"/>
    <cellStyle name="20% - Accent1 8 7 2" xfId="28127"/>
    <cellStyle name="20% - Accent1 8 8" xfId="6008"/>
    <cellStyle name="20% - Accent1 8 8 2" xfId="28783"/>
    <cellStyle name="20% - Accent1 8 9" xfId="2400"/>
    <cellStyle name="20% - Accent1 8 9 2" xfId="25175"/>
    <cellStyle name="20% - Accent1 9" xfId="447"/>
    <cellStyle name="20% - Accent1 9 10" xfId="6678"/>
    <cellStyle name="20% - Accent1 9 10 2" xfId="29453"/>
    <cellStyle name="20% - Accent1 9 11" xfId="7334"/>
    <cellStyle name="20% - Accent1 9 11 2" xfId="30109"/>
    <cellStyle name="20% - Accent1 9 12" xfId="7990"/>
    <cellStyle name="20% - Accent1 9 12 2" xfId="30765"/>
    <cellStyle name="20% - Accent1 9 13" xfId="8646"/>
    <cellStyle name="20% - Accent1 9 13 2" xfId="31421"/>
    <cellStyle name="20% - Accent1 9 14" xfId="9302"/>
    <cellStyle name="20% - Accent1 9 14 2" xfId="32077"/>
    <cellStyle name="20% - Accent1 9 15" xfId="9958"/>
    <cellStyle name="20% - Accent1 9 15 2" xfId="32733"/>
    <cellStyle name="20% - Accent1 9 16" xfId="10614"/>
    <cellStyle name="20% - Accent1 9 16 2" xfId="33389"/>
    <cellStyle name="20% - Accent1 9 17" xfId="11270"/>
    <cellStyle name="20% - Accent1 9 17 2" xfId="34045"/>
    <cellStyle name="20% - Accent1 9 18" xfId="11926"/>
    <cellStyle name="20% - Accent1 9 18 2" xfId="34701"/>
    <cellStyle name="20% - Accent1 9 19" xfId="12582"/>
    <cellStyle name="20% - Accent1 9 19 2" xfId="35357"/>
    <cellStyle name="20% - Accent1 9 2" xfId="774"/>
    <cellStyle name="20% - Accent1 9 2 10" xfId="8318"/>
    <cellStyle name="20% - Accent1 9 2 10 2" xfId="31093"/>
    <cellStyle name="20% - Accent1 9 2 11" xfId="8974"/>
    <cellStyle name="20% - Accent1 9 2 11 2" xfId="31749"/>
    <cellStyle name="20% - Accent1 9 2 12" xfId="9630"/>
    <cellStyle name="20% - Accent1 9 2 12 2" xfId="32405"/>
    <cellStyle name="20% - Accent1 9 2 13" xfId="10286"/>
    <cellStyle name="20% - Accent1 9 2 13 2" xfId="33061"/>
    <cellStyle name="20% - Accent1 9 2 14" xfId="10942"/>
    <cellStyle name="20% - Accent1 9 2 14 2" xfId="33717"/>
    <cellStyle name="20% - Accent1 9 2 15" xfId="11598"/>
    <cellStyle name="20% - Accent1 9 2 15 2" xfId="34373"/>
    <cellStyle name="20% - Accent1 9 2 16" xfId="12254"/>
    <cellStyle name="20% - Accent1 9 2 16 2" xfId="35029"/>
    <cellStyle name="20% - Accent1 9 2 17" xfId="12910"/>
    <cellStyle name="20% - Accent1 9 2 17 2" xfId="35685"/>
    <cellStyle name="20% - Accent1 9 2 18" xfId="13566"/>
    <cellStyle name="20% - Accent1 9 2 18 2" xfId="36341"/>
    <cellStyle name="20% - Accent1 9 2 19" xfId="14222"/>
    <cellStyle name="20% - Accent1 9 2 19 2" xfId="36997"/>
    <cellStyle name="20% - Accent1 9 2 2" xfId="1430"/>
    <cellStyle name="20% - Accent1 9 2 2 2" xfId="3726"/>
    <cellStyle name="20% - Accent1 9 2 2 2 2" xfId="26501"/>
    <cellStyle name="20% - Accent1 9 2 2 3" xfId="24205"/>
    <cellStyle name="20% - Accent1 9 2 20" xfId="14878"/>
    <cellStyle name="20% - Accent1 9 2 20 2" xfId="37653"/>
    <cellStyle name="20% - Accent1 9 2 21" xfId="15534"/>
    <cellStyle name="20% - Accent1 9 2 21 2" xfId="38309"/>
    <cellStyle name="20% - Accent1 9 2 22" xfId="16190"/>
    <cellStyle name="20% - Accent1 9 2 22 2" xfId="38965"/>
    <cellStyle name="20% - Accent1 9 2 23" xfId="16846"/>
    <cellStyle name="20% - Accent1 9 2 23 2" xfId="39621"/>
    <cellStyle name="20% - Accent1 9 2 24" xfId="17502"/>
    <cellStyle name="20% - Accent1 9 2 24 2" xfId="40277"/>
    <cellStyle name="20% - Accent1 9 2 25" xfId="18158"/>
    <cellStyle name="20% - Accent1 9 2 25 2" xfId="40933"/>
    <cellStyle name="20% - Accent1 9 2 26" xfId="18814"/>
    <cellStyle name="20% - Accent1 9 2 26 2" xfId="41589"/>
    <cellStyle name="20% - Accent1 9 2 27" xfId="19470"/>
    <cellStyle name="20% - Accent1 9 2 27 2" xfId="42245"/>
    <cellStyle name="20% - Accent1 9 2 28" xfId="20126"/>
    <cellStyle name="20% - Accent1 9 2 28 2" xfId="42901"/>
    <cellStyle name="20% - Accent1 9 2 29" xfId="20782"/>
    <cellStyle name="20% - Accent1 9 2 29 2" xfId="43557"/>
    <cellStyle name="20% - Accent1 9 2 3" xfId="2086"/>
    <cellStyle name="20% - Accent1 9 2 3 2" xfId="4382"/>
    <cellStyle name="20% - Accent1 9 2 3 2 2" xfId="27157"/>
    <cellStyle name="20% - Accent1 9 2 3 3" xfId="24861"/>
    <cellStyle name="20% - Accent1 9 2 30" xfId="21438"/>
    <cellStyle name="20% - Accent1 9 2 30 2" xfId="44213"/>
    <cellStyle name="20% - Accent1 9 2 31" xfId="22094"/>
    <cellStyle name="20% - Accent1 9 2 31 2" xfId="44869"/>
    <cellStyle name="20% - Accent1 9 2 32" xfId="22750"/>
    <cellStyle name="20% - Accent1 9 2 32 2" xfId="45525"/>
    <cellStyle name="20% - Accent1 9 2 33" xfId="23549"/>
    <cellStyle name="20% - Accent1 9 2 4" xfId="5038"/>
    <cellStyle name="20% - Accent1 9 2 4 2" xfId="27813"/>
    <cellStyle name="20% - Accent1 9 2 5" xfId="5694"/>
    <cellStyle name="20% - Accent1 9 2 5 2" xfId="28469"/>
    <cellStyle name="20% - Accent1 9 2 6" xfId="6350"/>
    <cellStyle name="20% - Accent1 9 2 6 2" xfId="29125"/>
    <cellStyle name="20% - Accent1 9 2 7" xfId="3070"/>
    <cellStyle name="20% - Accent1 9 2 7 2" xfId="25845"/>
    <cellStyle name="20% - Accent1 9 2 8" xfId="7006"/>
    <cellStyle name="20% - Accent1 9 2 8 2" xfId="29781"/>
    <cellStyle name="20% - Accent1 9 2 9" xfId="7662"/>
    <cellStyle name="20% - Accent1 9 2 9 2" xfId="30437"/>
    <cellStyle name="20% - Accent1 9 20" xfId="13238"/>
    <cellStyle name="20% - Accent1 9 20 2" xfId="36013"/>
    <cellStyle name="20% - Accent1 9 21" xfId="13894"/>
    <cellStyle name="20% - Accent1 9 21 2" xfId="36669"/>
    <cellStyle name="20% - Accent1 9 22" xfId="14550"/>
    <cellStyle name="20% - Accent1 9 22 2" xfId="37325"/>
    <cellStyle name="20% - Accent1 9 23" xfId="15206"/>
    <cellStyle name="20% - Accent1 9 23 2" xfId="37981"/>
    <cellStyle name="20% - Accent1 9 24" xfId="15862"/>
    <cellStyle name="20% - Accent1 9 24 2" xfId="38637"/>
    <cellStyle name="20% - Accent1 9 25" xfId="16518"/>
    <cellStyle name="20% - Accent1 9 25 2" xfId="39293"/>
    <cellStyle name="20% - Accent1 9 26" xfId="17174"/>
    <cellStyle name="20% - Accent1 9 26 2" xfId="39949"/>
    <cellStyle name="20% - Accent1 9 27" xfId="17830"/>
    <cellStyle name="20% - Accent1 9 27 2" xfId="40605"/>
    <cellStyle name="20% - Accent1 9 28" xfId="18486"/>
    <cellStyle name="20% - Accent1 9 28 2" xfId="41261"/>
    <cellStyle name="20% - Accent1 9 29" xfId="19142"/>
    <cellStyle name="20% - Accent1 9 29 2" xfId="41917"/>
    <cellStyle name="20% - Accent1 9 3" xfId="1102"/>
    <cellStyle name="20% - Accent1 9 3 2" xfId="2742"/>
    <cellStyle name="20% - Accent1 9 3 2 2" xfId="25517"/>
    <cellStyle name="20% - Accent1 9 3 3" xfId="23877"/>
    <cellStyle name="20% - Accent1 9 30" xfId="19798"/>
    <cellStyle name="20% - Accent1 9 30 2" xfId="42573"/>
    <cellStyle name="20% - Accent1 9 31" xfId="20454"/>
    <cellStyle name="20% - Accent1 9 31 2" xfId="43229"/>
    <cellStyle name="20% - Accent1 9 32" xfId="21110"/>
    <cellStyle name="20% - Accent1 9 32 2" xfId="43885"/>
    <cellStyle name="20% - Accent1 9 33" xfId="21766"/>
    <cellStyle name="20% - Accent1 9 33 2" xfId="44541"/>
    <cellStyle name="20% - Accent1 9 34" xfId="22422"/>
    <cellStyle name="20% - Accent1 9 34 2" xfId="45197"/>
    <cellStyle name="20% - Accent1 9 35" xfId="23221"/>
    <cellStyle name="20% - Accent1 9 4" xfId="1758"/>
    <cellStyle name="20% - Accent1 9 4 2" xfId="3398"/>
    <cellStyle name="20% - Accent1 9 4 2 2" xfId="26173"/>
    <cellStyle name="20% - Accent1 9 4 3" xfId="24533"/>
    <cellStyle name="20% - Accent1 9 5" xfId="4054"/>
    <cellStyle name="20% - Accent1 9 5 2" xfId="26829"/>
    <cellStyle name="20% - Accent1 9 6" xfId="4710"/>
    <cellStyle name="20% - Accent1 9 6 2" xfId="27485"/>
    <cellStyle name="20% - Accent1 9 7" xfId="5366"/>
    <cellStyle name="20% - Accent1 9 7 2" xfId="28141"/>
    <cellStyle name="20% - Accent1 9 8" xfId="6022"/>
    <cellStyle name="20% - Accent1 9 8 2" xfId="28797"/>
    <cellStyle name="20% - Accent1 9 9" xfId="2414"/>
    <cellStyle name="20% - Accent1 9 9 2" xfId="25189"/>
    <cellStyle name="20% - Accent2" xfId="26" builtinId="34" customBuiltin="1"/>
    <cellStyle name="20% - Accent2 10" xfId="461"/>
    <cellStyle name="20% - Accent2 10 10" xfId="6692"/>
    <cellStyle name="20% - Accent2 10 10 2" xfId="29467"/>
    <cellStyle name="20% - Accent2 10 11" xfId="7348"/>
    <cellStyle name="20% - Accent2 10 11 2" xfId="30123"/>
    <cellStyle name="20% - Accent2 10 12" xfId="8004"/>
    <cellStyle name="20% - Accent2 10 12 2" xfId="30779"/>
    <cellStyle name="20% - Accent2 10 13" xfId="8660"/>
    <cellStyle name="20% - Accent2 10 13 2" xfId="31435"/>
    <cellStyle name="20% - Accent2 10 14" xfId="9316"/>
    <cellStyle name="20% - Accent2 10 14 2" xfId="32091"/>
    <cellStyle name="20% - Accent2 10 15" xfId="9972"/>
    <cellStyle name="20% - Accent2 10 15 2" xfId="32747"/>
    <cellStyle name="20% - Accent2 10 16" xfId="10628"/>
    <cellStyle name="20% - Accent2 10 16 2" xfId="33403"/>
    <cellStyle name="20% - Accent2 10 17" xfId="11284"/>
    <cellStyle name="20% - Accent2 10 17 2" xfId="34059"/>
    <cellStyle name="20% - Accent2 10 18" xfId="11940"/>
    <cellStyle name="20% - Accent2 10 18 2" xfId="34715"/>
    <cellStyle name="20% - Accent2 10 19" xfId="12596"/>
    <cellStyle name="20% - Accent2 10 19 2" xfId="35371"/>
    <cellStyle name="20% - Accent2 10 2" xfId="788"/>
    <cellStyle name="20% - Accent2 10 2 10" xfId="8332"/>
    <cellStyle name="20% - Accent2 10 2 10 2" xfId="31107"/>
    <cellStyle name="20% - Accent2 10 2 11" xfId="8988"/>
    <cellStyle name="20% - Accent2 10 2 11 2" xfId="31763"/>
    <cellStyle name="20% - Accent2 10 2 12" xfId="9644"/>
    <cellStyle name="20% - Accent2 10 2 12 2" xfId="32419"/>
    <cellStyle name="20% - Accent2 10 2 13" xfId="10300"/>
    <cellStyle name="20% - Accent2 10 2 13 2" xfId="33075"/>
    <cellStyle name="20% - Accent2 10 2 14" xfId="10956"/>
    <cellStyle name="20% - Accent2 10 2 14 2" xfId="33731"/>
    <cellStyle name="20% - Accent2 10 2 15" xfId="11612"/>
    <cellStyle name="20% - Accent2 10 2 15 2" xfId="34387"/>
    <cellStyle name="20% - Accent2 10 2 16" xfId="12268"/>
    <cellStyle name="20% - Accent2 10 2 16 2" xfId="35043"/>
    <cellStyle name="20% - Accent2 10 2 17" xfId="12924"/>
    <cellStyle name="20% - Accent2 10 2 17 2" xfId="35699"/>
    <cellStyle name="20% - Accent2 10 2 18" xfId="13580"/>
    <cellStyle name="20% - Accent2 10 2 18 2" xfId="36355"/>
    <cellStyle name="20% - Accent2 10 2 19" xfId="14236"/>
    <cellStyle name="20% - Accent2 10 2 19 2" xfId="37011"/>
    <cellStyle name="20% - Accent2 10 2 2" xfId="1444"/>
    <cellStyle name="20% - Accent2 10 2 2 2" xfId="3740"/>
    <cellStyle name="20% - Accent2 10 2 2 2 2" xfId="26515"/>
    <cellStyle name="20% - Accent2 10 2 2 3" xfId="24219"/>
    <cellStyle name="20% - Accent2 10 2 20" xfId="14892"/>
    <cellStyle name="20% - Accent2 10 2 20 2" xfId="37667"/>
    <cellStyle name="20% - Accent2 10 2 21" xfId="15548"/>
    <cellStyle name="20% - Accent2 10 2 21 2" xfId="38323"/>
    <cellStyle name="20% - Accent2 10 2 22" xfId="16204"/>
    <cellStyle name="20% - Accent2 10 2 22 2" xfId="38979"/>
    <cellStyle name="20% - Accent2 10 2 23" xfId="16860"/>
    <cellStyle name="20% - Accent2 10 2 23 2" xfId="39635"/>
    <cellStyle name="20% - Accent2 10 2 24" xfId="17516"/>
    <cellStyle name="20% - Accent2 10 2 24 2" xfId="40291"/>
    <cellStyle name="20% - Accent2 10 2 25" xfId="18172"/>
    <cellStyle name="20% - Accent2 10 2 25 2" xfId="40947"/>
    <cellStyle name="20% - Accent2 10 2 26" xfId="18828"/>
    <cellStyle name="20% - Accent2 10 2 26 2" xfId="41603"/>
    <cellStyle name="20% - Accent2 10 2 27" xfId="19484"/>
    <cellStyle name="20% - Accent2 10 2 27 2" xfId="42259"/>
    <cellStyle name="20% - Accent2 10 2 28" xfId="20140"/>
    <cellStyle name="20% - Accent2 10 2 28 2" xfId="42915"/>
    <cellStyle name="20% - Accent2 10 2 29" xfId="20796"/>
    <cellStyle name="20% - Accent2 10 2 29 2" xfId="43571"/>
    <cellStyle name="20% - Accent2 10 2 3" xfId="2100"/>
    <cellStyle name="20% - Accent2 10 2 3 2" xfId="4396"/>
    <cellStyle name="20% - Accent2 10 2 3 2 2" xfId="27171"/>
    <cellStyle name="20% - Accent2 10 2 3 3" xfId="24875"/>
    <cellStyle name="20% - Accent2 10 2 30" xfId="21452"/>
    <cellStyle name="20% - Accent2 10 2 30 2" xfId="44227"/>
    <cellStyle name="20% - Accent2 10 2 31" xfId="22108"/>
    <cellStyle name="20% - Accent2 10 2 31 2" xfId="44883"/>
    <cellStyle name="20% - Accent2 10 2 32" xfId="22764"/>
    <cellStyle name="20% - Accent2 10 2 32 2" xfId="45539"/>
    <cellStyle name="20% - Accent2 10 2 33" xfId="23563"/>
    <cellStyle name="20% - Accent2 10 2 4" xfId="5052"/>
    <cellStyle name="20% - Accent2 10 2 4 2" xfId="27827"/>
    <cellStyle name="20% - Accent2 10 2 5" xfId="5708"/>
    <cellStyle name="20% - Accent2 10 2 5 2" xfId="28483"/>
    <cellStyle name="20% - Accent2 10 2 6" xfId="6364"/>
    <cellStyle name="20% - Accent2 10 2 6 2" xfId="29139"/>
    <cellStyle name="20% - Accent2 10 2 7" xfId="3084"/>
    <cellStyle name="20% - Accent2 10 2 7 2" xfId="25859"/>
    <cellStyle name="20% - Accent2 10 2 8" xfId="7020"/>
    <cellStyle name="20% - Accent2 10 2 8 2" xfId="29795"/>
    <cellStyle name="20% - Accent2 10 2 9" xfId="7676"/>
    <cellStyle name="20% - Accent2 10 2 9 2" xfId="30451"/>
    <cellStyle name="20% - Accent2 10 20" xfId="13252"/>
    <cellStyle name="20% - Accent2 10 20 2" xfId="36027"/>
    <cellStyle name="20% - Accent2 10 21" xfId="13908"/>
    <cellStyle name="20% - Accent2 10 21 2" xfId="36683"/>
    <cellStyle name="20% - Accent2 10 22" xfId="14564"/>
    <cellStyle name="20% - Accent2 10 22 2" xfId="37339"/>
    <cellStyle name="20% - Accent2 10 23" xfId="15220"/>
    <cellStyle name="20% - Accent2 10 23 2" xfId="37995"/>
    <cellStyle name="20% - Accent2 10 24" xfId="15876"/>
    <cellStyle name="20% - Accent2 10 24 2" xfId="38651"/>
    <cellStyle name="20% - Accent2 10 25" xfId="16532"/>
    <cellStyle name="20% - Accent2 10 25 2" xfId="39307"/>
    <cellStyle name="20% - Accent2 10 26" xfId="17188"/>
    <cellStyle name="20% - Accent2 10 26 2" xfId="39963"/>
    <cellStyle name="20% - Accent2 10 27" xfId="17844"/>
    <cellStyle name="20% - Accent2 10 27 2" xfId="40619"/>
    <cellStyle name="20% - Accent2 10 28" xfId="18500"/>
    <cellStyle name="20% - Accent2 10 28 2" xfId="41275"/>
    <cellStyle name="20% - Accent2 10 29" xfId="19156"/>
    <cellStyle name="20% - Accent2 10 29 2" xfId="41931"/>
    <cellStyle name="20% - Accent2 10 3" xfId="1116"/>
    <cellStyle name="20% - Accent2 10 3 2" xfId="2756"/>
    <cellStyle name="20% - Accent2 10 3 2 2" xfId="25531"/>
    <cellStyle name="20% - Accent2 10 3 3" xfId="23891"/>
    <cellStyle name="20% - Accent2 10 30" xfId="19812"/>
    <cellStyle name="20% - Accent2 10 30 2" xfId="42587"/>
    <cellStyle name="20% - Accent2 10 31" xfId="20468"/>
    <cellStyle name="20% - Accent2 10 31 2" xfId="43243"/>
    <cellStyle name="20% - Accent2 10 32" xfId="21124"/>
    <cellStyle name="20% - Accent2 10 32 2" xfId="43899"/>
    <cellStyle name="20% - Accent2 10 33" xfId="21780"/>
    <cellStyle name="20% - Accent2 10 33 2" xfId="44555"/>
    <cellStyle name="20% - Accent2 10 34" xfId="22436"/>
    <cellStyle name="20% - Accent2 10 34 2" xfId="45211"/>
    <cellStyle name="20% - Accent2 10 35" xfId="23235"/>
    <cellStyle name="20% - Accent2 10 4" xfId="1772"/>
    <cellStyle name="20% - Accent2 10 4 2" xfId="3412"/>
    <cellStyle name="20% - Accent2 10 4 2 2" xfId="26187"/>
    <cellStyle name="20% - Accent2 10 4 3" xfId="24547"/>
    <cellStyle name="20% - Accent2 10 5" xfId="4068"/>
    <cellStyle name="20% - Accent2 10 5 2" xfId="26843"/>
    <cellStyle name="20% - Accent2 10 6" xfId="4724"/>
    <cellStyle name="20% - Accent2 10 6 2" xfId="27499"/>
    <cellStyle name="20% - Accent2 10 7" xfId="5380"/>
    <cellStyle name="20% - Accent2 10 7 2" xfId="28155"/>
    <cellStyle name="20% - Accent2 10 8" xfId="6036"/>
    <cellStyle name="20% - Accent2 10 8 2" xfId="28811"/>
    <cellStyle name="20% - Accent2 10 9" xfId="2428"/>
    <cellStyle name="20% - Accent2 10 9 2" xfId="25203"/>
    <cellStyle name="20% - Accent2 11" xfId="603"/>
    <cellStyle name="20% - Accent2 11 10" xfId="8147"/>
    <cellStyle name="20% - Accent2 11 10 2" xfId="30922"/>
    <cellStyle name="20% - Accent2 11 11" xfId="8803"/>
    <cellStyle name="20% - Accent2 11 11 2" xfId="31578"/>
    <cellStyle name="20% - Accent2 11 12" xfId="9459"/>
    <cellStyle name="20% - Accent2 11 12 2" xfId="32234"/>
    <cellStyle name="20% - Accent2 11 13" xfId="10115"/>
    <cellStyle name="20% - Accent2 11 13 2" xfId="32890"/>
    <cellStyle name="20% - Accent2 11 14" xfId="10771"/>
    <cellStyle name="20% - Accent2 11 14 2" xfId="33546"/>
    <cellStyle name="20% - Accent2 11 15" xfId="11427"/>
    <cellStyle name="20% - Accent2 11 15 2" xfId="34202"/>
    <cellStyle name="20% - Accent2 11 16" xfId="12083"/>
    <cellStyle name="20% - Accent2 11 16 2" xfId="34858"/>
    <cellStyle name="20% - Accent2 11 17" xfId="12739"/>
    <cellStyle name="20% - Accent2 11 17 2" xfId="35514"/>
    <cellStyle name="20% - Accent2 11 18" xfId="13395"/>
    <cellStyle name="20% - Accent2 11 18 2" xfId="36170"/>
    <cellStyle name="20% - Accent2 11 19" xfId="14051"/>
    <cellStyle name="20% - Accent2 11 19 2" xfId="36826"/>
    <cellStyle name="20% - Accent2 11 2" xfId="1259"/>
    <cellStyle name="20% - Accent2 11 2 2" xfId="3555"/>
    <cellStyle name="20% - Accent2 11 2 2 2" xfId="26330"/>
    <cellStyle name="20% - Accent2 11 2 3" xfId="24034"/>
    <cellStyle name="20% - Accent2 11 20" xfId="14707"/>
    <cellStyle name="20% - Accent2 11 20 2" xfId="37482"/>
    <cellStyle name="20% - Accent2 11 21" xfId="15363"/>
    <cellStyle name="20% - Accent2 11 21 2" xfId="38138"/>
    <cellStyle name="20% - Accent2 11 22" xfId="16019"/>
    <cellStyle name="20% - Accent2 11 22 2" xfId="38794"/>
    <cellStyle name="20% - Accent2 11 23" xfId="16675"/>
    <cellStyle name="20% - Accent2 11 23 2" xfId="39450"/>
    <cellStyle name="20% - Accent2 11 24" xfId="17331"/>
    <cellStyle name="20% - Accent2 11 24 2" xfId="40106"/>
    <cellStyle name="20% - Accent2 11 25" xfId="17987"/>
    <cellStyle name="20% - Accent2 11 25 2" xfId="40762"/>
    <cellStyle name="20% - Accent2 11 26" xfId="18643"/>
    <cellStyle name="20% - Accent2 11 26 2" xfId="41418"/>
    <cellStyle name="20% - Accent2 11 27" xfId="19299"/>
    <cellStyle name="20% - Accent2 11 27 2" xfId="42074"/>
    <cellStyle name="20% - Accent2 11 28" xfId="19955"/>
    <cellStyle name="20% - Accent2 11 28 2" xfId="42730"/>
    <cellStyle name="20% - Accent2 11 29" xfId="20611"/>
    <cellStyle name="20% - Accent2 11 29 2" xfId="43386"/>
    <cellStyle name="20% - Accent2 11 3" xfId="1915"/>
    <cellStyle name="20% - Accent2 11 3 2" xfId="4211"/>
    <cellStyle name="20% - Accent2 11 3 2 2" xfId="26986"/>
    <cellStyle name="20% - Accent2 11 3 3" xfId="24690"/>
    <cellStyle name="20% - Accent2 11 30" xfId="21267"/>
    <cellStyle name="20% - Accent2 11 30 2" xfId="44042"/>
    <cellStyle name="20% - Accent2 11 31" xfId="21923"/>
    <cellStyle name="20% - Accent2 11 31 2" xfId="44698"/>
    <cellStyle name="20% - Accent2 11 32" xfId="22579"/>
    <cellStyle name="20% - Accent2 11 32 2" xfId="45354"/>
    <cellStyle name="20% - Accent2 11 33" xfId="23378"/>
    <cellStyle name="20% - Accent2 11 4" xfId="4867"/>
    <cellStyle name="20% - Accent2 11 4 2" xfId="27642"/>
    <cellStyle name="20% - Accent2 11 5" xfId="5523"/>
    <cellStyle name="20% - Accent2 11 5 2" xfId="28298"/>
    <cellStyle name="20% - Accent2 11 6" xfId="6179"/>
    <cellStyle name="20% - Accent2 11 6 2" xfId="28954"/>
    <cellStyle name="20% - Accent2 11 7" xfId="2899"/>
    <cellStyle name="20% - Accent2 11 7 2" xfId="25674"/>
    <cellStyle name="20% - Accent2 11 8" xfId="6835"/>
    <cellStyle name="20% - Accent2 11 8 2" xfId="29610"/>
    <cellStyle name="20% - Accent2 11 9" xfId="7491"/>
    <cellStyle name="20% - Accent2 11 9 2" xfId="30266"/>
    <cellStyle name="20% - Accent2 12" xfId="276"/>
    <cellStyle name="20% - Accent2 12 2" xfId="2571"/>
    <cellStyle name="20% - Accent2 12 2 2" xfId="25346"/>
    <cellStyle name="20% - Accent2 12 3" xfId="23050"/>
    <cellStyle name="20% - Accent2 13" xfId="931"/>
    <cellStyle name="20% - Accent2 13 2" xfId="3227"/>
    <cellStyle name="20% - Accent2 13 2 2" xfId="26002"/>
    <cellStyle name="20% - Accent2 13 3" xfId="23706"/>
    <cellStyle name="20% - Accent2 14" xfId="1587"/>
    <cellStyle name="20% - Accent2 14 2" xfId="3883"/>
    <cellStyle name="20% - Accent2 14 2 2" xfId="26658"/>
    <cellStyle name="20% - Accent2 14 3" xfId="24362"/>
    <cellStyle name="20% - Accent2 15" xfId="4539"/>
    <cellStyle name="20% - Accent2 15 2" xfId="27314"/>
    <cellStyle name="20% - Accent2 16" xfId="5195"/>
    <cellStyle name="20% - Accent2 16 2" xfId="27970"/>
    <cellStyle name="20% - Accent2 17" xfId="5851"/>
    <cellStyle name="20% - Accent2 17 2" xfId="28626"/>
    <cellStyle name="20% - Accent2 18" xfId="2243"/>
    <cellStyle name="20% - Accent2 18 2" xfId="25018"/>
    <cellStyle name="20% - Accent2 19" xfId="6507"/>
    <cellStyle name="20% - Accent2 19 2" xfId="29282"/>
    <cellStyle name="20% - Accent2 2" xfId="71"/>
    <cellStyle name="20% - Accent2 2 10" xfId="5867"/>
    <cellStyle name="20% - Accent2 2 10 2" xfId="28642"/>
    <cellStyle name="20% - Accent2 2 11" xfId="2259"/>
    <cellStyle name="20% - Accent2 2 11 2" xfId="25034"/>
    <cellStyle name="20% - Accent2 2 12" xfId="6523"/>
    <cellStyle name="20% - Accent2 2 12 2" xfId="29298"/>
    <cellStyle name="20% - Accent2 2 13" xfId="7179"/>
    <cellStyle name="20% - Accent2 2 13 2" xfId="29954"/>
    <cellStyle name="20% - Accent2 2 14" xfId="7835"/>
    <cellStyle name="20% - Accent2 2 14 2" xfId="30610"/>
    <cellStyle name="20% - Accent2 2 15" xfId="8491"/>
    <cellStyle name="20% - Accent2 2 15 2" xfId="31266"/>
    <cellStyle name="20% - Accent2 2 16" xfId="9147"/>
    <cellStyle name="20% - Accent2 2 16 2" xfId="31922"/>
    <cellStyle name="20% - Accent2 2 17" xfId="9803"/>
    <cellStyle name="20% - Accent2 2 17 2" xfId="32578"/>
    <cellStyle name="20% - Accent2 2 18" xfId="10459"/>
    <cellStyle name="20% - Accent2 2 18 2" xfId="33234"/>
    <cellStyle name="20% - Accent2 2 19" xfId="11115"/>
    <cellStyle name="20% - Accent2 2 19 2" xfId="33890"/>
    <cellStyle name="20% - Accent2 2 2" xfId="147"/>
    <cellStyle name="20% - Accent2 2 2 10" xfId="2345"/>
    <cellStyle name="20% - Accent2 2 2 10 2" xfId="25120"/>
    <cellStyle name="20% - Accent2 2 2 11" xfId="6609"/>
    <cellStyle name="20% - Accent2 2 2 11 2" xfId="29384"/>
    <cellStyle name="20% - Accent2 2 2 12" xfId="7265"/>
    <cellStyle name="20% - Accent2 2 2 12 2" xfId="30040"/>
    <cellStyle name="20% - Accent2 2 2 13" xfId="7921"/>
    <cellStyle name="20% - Accent2 2 2 13 2" xfId="30696"/>
    <cellStyle name="20% - Accent2 2 2 14" xfId="8577"/>
    <cellStyle name="20% - Accent2 2 2 14 2" xfId="31352"/>
    <cellStyle name="20% - Accent2 2 2 15" xfId="9233"/>
    <cellStyle name="20% - Accent2 2 2 15 2" xfId="32008"/>
    <cellStyle name="20% - Accent2 2 2 16" xfId="9889"/>
    <cellStyle name="20% - Accent2 2 2 16 2" xfId="32664"/>
    <cellStyle name="20% - Accent2 2 2 17" xfId="10545"/>
    <cellStyle name="20% - Accent2 2 2 17 2" xfId="33320"/>
    <cellStyle name="20% - Accent2 2 2 18" xfId="11201"/>
    <cellStyle name="20% - Accent2 2 2 18 2" xfId="33976"/>
    <cellStyle name="20% - Accent2 2 2 19" xfId="11857"/>
    <cellStyle name="20% - Accent2 2 2 19 2" xfId="34632"/>
    <cellStyle name="20% - Accent2 2 2 2" xfId="561"/>
    <cellStyle name="20% - Accent2 2 2 2 10" xfId="6794"/>
    <cellStyle name="20% - Accent2 2 2 2 10 2" xfId="29569"/>
    <cellStyle name="20% - Accent2 2 2 2 11" xfId="7450"/>
    <cellStyle name="20% - Accent2 2 2 2 11 2" xfId="30225"/>
    <cellStyle name="20% - Accent2 2 2 2 12" xfId="8106"/>
    <cellStyle name="20% - Accent2 2 2 2 12 2" xfId="30881"/>
    <cellStyle name="20% - Accent2 2 2 2 13" xfId="8762"/>
    <cellStyle name="20% - Accent2 2 2 2 13 2" xfId="31537"/>
    <cellStyle name="20% - Accent2 2 2 2 14" xfId="9418"/>
    <cellStyle name="20% - Accent2 2 2 2 14 2" xfId="32193"/>
    <cellStyle name="20% - Accent2 2 2 2 15" xfId="10074"/>
    <cellStyle name="20% - Accent2 2 2 2 15 2" xfId="32849"/>
    <cellStyle name="20% - Accent2 2 2 2 16" xfId="10730"/>
    <cellStyle name="20% - Accent2 2 2 2 16 2" xfId="33505"/>
    <cellStyle name="20% - Accent2 2 2 2 17" xfId="11386"/>
    <cellStyle name="20% - Accent2 2 2 2 17 2" xfId="34161"/>
    <cellStyle name="20% - Accent2 2 2 2 18" xfId="12042"/>
    <cellStyle name="20% - Accent2 2 2 2 18 2" xfId="34817"/>
    <cellStyle name="20% - Accent2 2 2 2 19" xfId="12698"/>
    <cellStyle name="20% - Accent2 2 2 2 19 2" xfId="35473"/>
    <cellStyle name="20% - Accent2 2 2 2 2" xfId="890"/>
    <cellStyle name="20% - Accent2 2 2 2 2 10" xfId="8434"/>
    <cellStyle name="20% - Accent2 2 2 2 2 10 2" xfId="31209"/>
    <cellStyle name="20% - Accent2 2 2 2 2 11" xfId="9090"/>
    <cellStyle name="20% - Accent2 2 2 2 2 11 2" xfId="31865"/>
    <cellStyle name="20% - Accent2 2 2 2 2 12" xfId="9746"/>
    <cellStyle name="20% - Accent2 2 2 2 2 12 2" xfId="32521"/>
    <cellStyle name="20% - Accent2 2 2 2 2 13" xfId="10402"/>
    <cellStyle name="20% - Accent2 2 2 2 2 13 2" xfId="33177"/>
    <cellStyle name="20% - Accent2 2 2 2 2 14" xfId="11058"/>
    <cellStyle name="20% - Accent2 2 2 2 2 14 2" xfId="33833"/>
    <cellStyle name="20% - Accent2 2 2 2 2 15" xfId="11714"/>
    <cellStyle name="20% - Accent2 2 2 2 2 15 2" xfId="34489"/>
    <cellStyle name="20% - Accent2 2 2 2 2 16" xfId="12370"/>
    <cellStyle name="20% - Accent2 2 2 2 2 16 2" xfId="35145"/>
    <cellStyle name="20% - Accent2 2 2 2 2 17" xfId="13026"/>
    <cellStyle name="20% - Accent2 2 2 2 2 17 2" xfId="35801"/>
    <cellStyle name="20% - Accent2 2 2 2 2 18" xfId="13682"/>
    <cellStyle name="20% - Accent2 2 2 2 2 18 2" xfId="36457"/>
    <cellStyle name="20% - Accent2 2 2 2 2 19" xfId="14338"/>
    <cellStyle name="20% - Accent2 2 2 2 2 19 2" xfId="37113"/>
    <cellStyle name="20% - Accent2 2 2 2 2 2" xfId="1546"/>
    <cellStyle name="20% - Accent2 2 2 2 2 2 2" xfId="3842"/>
    <cellStyle name="20% - Accent2 2 2 2 2 2 2 2" xfId="26617"/>
    <cellStyle name="20% - Accent2 2 2 2 2 2 3" xfId="24321"/>
    <cellStyle name="20% - Accent2 2 2 2 2 20" xfId="14994"/>
    <cellStyle name="20% - Accent2 2 2 2 2 20 2" xfId="37769"/>
    <cellStyle name="20% - Accent2 2 2 2 2 21" xfId="15650"/>
    <cellStyle name="20% - Accent2 2 2 2 2 21 2" xfId="38425"/>
    <cellStyle name="20% - Accent2 2 2 2 2 22" xfId="16306"/>
    <cellStyle name="20% - Accent2 2 2 2 2 22 2" xfId="39081"/>
    <cellStyle name="20% - Accent2 2 2 2 2 23" xfId="16962"/>
    <cellStyle name="20% - Accent2 2 2 2 2 23 2" xfId="39737"/>
    <cellStyle name="20% - Accent2 2 2 2 2 24" xfId="17618"/>
    <cellStyle name="20% - Accent2 2 2 2 2 24 2" xfId="40393"/>
    <cellStyle name="20% - Accent2 2 2 2 2 25" xfId="18274"/>
    <cellStyle name="20% - Accent2 2 2 2 2 25 2" xfId="41049"/>
    <cellStyle name="20% - Accent2 2 2 2 2 26" xfId="18930"/>
    <cellStyle name="20% - Accent2 2 2 2 2 26 2" xfId="41705"/>
    <cellStyle name="20% - Accent2 2 2 2 2 27" xfId="19586"/>
    <cellStyle name="20% - Accent2 2 2 2 2 27 2" xfId="42361"/>
    <cellStyle name="20% - Accent2 2 2 2 2 28" xfId="20242"/>
    <cellStyle name="20% - Accent2 2 2 2 2 28 2" xfId="43017"/>
    <cellStyle name="20% - Accent2 2 2 2 2 29" xfId="20898"/>
    <cellStyle name="20% - Accent2 2 2 2 2 29 2" xfId="43673"/>
    <cellStyle name="20% - Accent2 2 2 2 2 3" xfId="2202"/>
    <cellStyle name="20% - Accent2 2 2 2 2 3 2" xfId="4498"/>
    <cellStyle name="20% - Accent2 2 2 2 2 3 2 2" xfId="27273"/>
    <cellStyle name="20% - Accent2 2 2 2 2 3 3" xfId="24977"/>
    <cellStyle name="20% - Accent2 2 2 2 2 30" xfId="21554"/>
    <cellStyle name="20% - Accent2 2 2 2 2 30 2" xfId="44329"/>
    <cellStyle name="20% - Accent2 2 2 2 2 31" xfId="22210"/>
    <cellStyle name="20% - Accent2 2 2 2 2 31 2" xfId="44985"/>
    <cellStyle name="20% - Accent2 2 2 2 2 32" xfId="22866"/>
    <cellStyle name="20% - Accent2 2 2 2 2 32 2" xfId="45641"/>
    <cellStyle name="20% - Accent2 2 2 2 2 33" xfId="23665"/>
    <cellStyle name="20% - Accent2 2 2 2 2 4" xfId="5154"/>
    <cellStyle name="20% - Accent2 2 2 2 2 4 2" xfId="27929"/>
    <cellStyle name="20% - Accent2 2 2 2 2 5" xfId="5810"/>
    <cellStyle name="20% - Accent2 2 2 2 2 5 2" xfId="28585"/>
    <cellStyle name="20% - Accent2 2 2 2 2 6" xfId="6466"/>
    <cellStyle name="20% - Accent2 2 2 2 2 6 2" xfId="29241"/>
    <cellStyle name="20% - Accent2 2 2 2 2 7" xfId="3186"/>
    <cellStyle name="20% - Accent2 2 2 2 2 7 2" xfId="25961"/>
    <cellStyle name="20% - Accent2 2 2 2 2 8" xfId="7122"/>
    <cellStyle name="20% - Accent2 2 2 2 2 8 2" xfId="29897"/>
    <cellStyle name="20% - Accent2 2 2 2 2 9" xfId="7778"/>
    <cellStyle name="20% - Accent2 2 2 2 2 9 2" xfId="30553"/>
    <cellStyle name="20% - Accent2 2 2 2 20" xfId="13354"/>
    <cellStyle name="20% - Accent2 2 2 2 20 2" xfId="36129"/>
    <cellStyle name="20% - Accent2 2 2 2 21" xfId="14010"/>
    <cellStyle name="20% - Accent2 2 2 2 21 2" xfId="36785"/>
    <cellStyle name="20% - Accent2 2 2 2 22" xfId="14666"/>
    <cellStyle name="20% - Accent2 2 2 2 22 2" xfId="37441"/>
    <cellStyle name="20% - Accent2 2 2 2 23" xfId="15322"/>
    <cellStyle name="20% - Accent2 2 2 2 23 2" xfId="38097"/>
    <cellStyle name="20% - Accent2 2 2 2 24" xfId="15978"/>
    <cellStyle name="20% - Accent2 2 2 2 24 2" xfId="38753"/>
    <cellStyle name="20% - Accent2 2 2 2 25" xfId="16634"/>
    <cellStyle name="20% - Accent2 2 2 2 25 2" xfId="39409"/>
    <cellStyle name="20% - Accent2 2 2 2 26" xfId="17290"/>
    <cellStyle name="20% - Accent2 2 2 2 26 2" xfId="40065"/>
    <cellStyle name="20% - Accent2 2 2 2 27" xfId="17946"/>
    <cellStyle name="20% - Accent2 2 2 2 27 2" xfId="40721"/>
    <cellStyle name="20% - Accent2 2 2 2 28" xfId="18602"/>
    <cellStyle name="20% - Accent2 2 2 2 28 2" xfId="41377"/>
    <cellStyle name="20% - Accent2 2 2 2 29" xfId="19258"/>
    <cellStyle name="20% - Accent2 2 2 2 29 2" xfId="42033"/>
    <cellStyle name="20% - Accent2 2 2 2 3" xfId="1218"/>
    <cellStyle name="20% - Accent2 2 2 2 3 2" xfId="2858"/>
    <cellStyle name="20% - Accent2 2 2 2 3 2 2" xfId="25633"/>
    <cellStyle name="20% - Accent2 2 2 2 3 3" xfId="23993"/>
    <cellStyle name="20% - Accent2 2 2 2 30" xfId="19914"/>
    <cellStyle name="20% - Accent2 2 2 2 30 2" xfId="42689"/>
    <cellStyle name="20% - Accent2 2 2 2 31" xfId="20570"/>
    <cellStyle name="20% - Accent2 2 2 2 31 2" xfId="43345"/>
    <cellStyle name="20% - Accent2 2 2 2 32" xfId="21226"/>
    <cellStyle name="20% - Accent2 2 2 2 32 2" xfId="44001"/>
    <cellStyle name="20% - Accent2 2 2 2 33" xfId="21882"/>
    <cellStyle name="20% - Accent2 2 2 2 33 2" xfId="44657"/>
    <cellStyle name="20% - Accent2 2 2 2 34" xfId="22538"/>
    <cellStyle name="20% - Accent2 2 2 2 34 2" xfId="45313"/>
    <cellStyle name="20% - Accent2 2 2 2 35" xfId="23337"/>
    <cellStyle name="20% - Accent2 2 2 2 4" xfId="1874"/>
    <cellStyle name="20% - Accent2 2 2 2 4 2" xfId="3514"/>
    <cellStyle name="20% - Accent2 2 2 2 4 2 2" xfId="26289"/>
    <cellStyle name="20% - Accent2 2 2 2 4 3" xfId="24649"/>
    <cellStyle name="20% - Accent2 2 2 2 5" xfId="4170"/>
    <cellStyle name="20% - Accent2 2 2 2 5 2" xfId="26945"/>
    <cellStyle name="20% - Accent2 2 2 2 6" xfId="4826"/>
    <cellStyle name="20% - Accent2 2 2 2 6 2" xfId="27601"/>
    <cellStyle name="20% - Accent2 2 2 2 7" xfId="5482"/>
    <cellStyle name="20% - Accent2 2 2 2 7 2" xfId="28257"/>
    <cellStyle name="20% - Accent2 2 2 2 8" xfId="6138"/>
    <cellStyle name="20% - Accent2 2 2 2 8 2" xfId="28913"/>
    <cellStyle name="20% - Accent2 2 2 2 9" xfId="2530"/>
    <cellStyle name="20% - Accent2 2 2 2 9 2" xfId="25305"/>
    <cellStyle name="20% - Accent2 2 2 20" xfId="12513"/>
    <cellStyle name="20% - Accent2 2 2 20 2" xfId="35288"/>
    <cellStyle name="20% - Accent2 2 2 21" xfId="13169"/>
    <cellStyle name="20% - Accent2 2 2 21 2" xfId="35944"/>
    <cellStyle name="20% - Accent2 2 2 22" xfId="13825"/>
    <cellStyle name="20% - Accent2 2 2 22 2" xfId="36600"/>
    <cellStyle name="20% - Accent2 2 2 23" xfId="14481"/>
    <cellStyle name="20% - Accent2 2 2 23 2" xfId="37256"/>
    <cellStyle name="20% - Accent2 2 2 24" xfId="15137"/>
    <cellStyle name="20% - Accent2 2 2 24 2" xfId="37912"/>
    <cellStyle name="20% - Accent2 2 2 25" xfId="15793"/>
    <cellStyle name="20% - Accent2 2 2 25 2" xfId="38568"/>
    <cellStyle name="20% - Accent2 2 2 26" xfId="16449"/>
    <cellStyle name="20% - Accent2 2 2 26 2" xfId="39224"/>
    <cellStyle name="20% - Accent2 2 2 27" xfId="17105"/>
    <cellStyle name="20% - Accent2 2 2 27 2" xfId="39880"/>
    <cellStyle name="20% - Accent2 2 2 28" xfId="17761"/>
    <cellStyle name="20% - Accent2 2 2 28 2" xfId="40536"/>
    <cellStyle name="20% - Accent2 2 2 29" xfId="18417"/>
    <cellStyle name="20% - Accent2 2 2 29 2" xfId="41192"/>
    <cellStyle name="20% - Accent2 2 2 3" xfId="705"/>
    <cellStyle name="20% - Accent2 2 2 3 10" xfId="8249"/>
    <cellStyle name="20% - Accent2 2 2 3 10 2" xfId="31024"/>
    <cellStyle name="20% - Accent2 2 2 3 11" xfId="8905"/>
    <cellStyle name="20% - Accent2 2 2 3 11 2" xfId="31680"/>
    <cellStyle name="20% - Accent2 2 2 3 12" xfId="9561"/>
    <cellStyle name="20% - Accent2 2 2 3 12 2" xfId="32336"/>
    <cellStyle name="20% - Accent2 2 2 3 13" xfId="10217"/>
    <cellStyle name="20% - Accent2 2 2 3 13 2" xfId="32992"/>
    <cellStyle name="20% - Accent2 2 2 3 14" xfId="10873"/>
    <cellStyle name="20% - Accent2 2 2 3 14 2" xfId="33648"/>
    <cellStyle name="20% - Accent2 2 2 3 15" xfId="11529"/>
    <cellStyle name="20% - Accent2 2 2 3 15 2" xfId="34304"/>
    <cellStyle name="20% - Accent2 2 2 3 16" xfId="12185"/>
    <cellStyle name="20% - Accent2 2 2 3 16 2" xfId="34960"/>
    <cellStyle name="20% - Accent2 2 2 3 17" xfId="12841"/>
    <cellStyle name="20% - Accent2 2 2 3 17 2" xfId="35616"/>
    <cellStyle name="20% - Accent2 2 2 3 18" xfId="13497"/>
    <cellStyle name="20% - Accent2 2 2 3 18 2" xfId="36272"/>
    <cellStyle name="20% - Accent2 2 2 3 19" xfId="14153"/>
    <cellStyle name="20% - Accent2 2 2 3 19 2" xfId="36928"/>
    <cellStyle name="20% - Accent2 2 2 3 2" xfId="1361"/>
    <cellStyle name="20% - Accent2 2 2 3 2 2" xfId="3657"/>
    <cellStyle name="20% - Accent2 2 2 3 2 2 2" xfId="26432"/>
    <cellStyle name="20% - Accent2 2 2 3 2 3" xfId="24136"/>
    <cellStyle name="20% - Accent2 2 2 3 20" xfId="14809"/>
    <cellStyle name="20% - Accent2 2 2 3 20 2" xfId="37584"/>
    <cellStyle name="20% - Accent2 2 2 3 21" xfId="15465"/>
    <cellStyle name="20% - Accent2 2 2 3 21 2" xfId="38240"/>
    <cellStyle name="20% - Accent2 2 2 3 22" xfId="16121"/>
    <cellStyle name="20% - Accent2 2 2 3 22 2" xfId="38896"/>
    <cellStyle name="20% - Accent2 2 2 3 23" xfId="16777"/>
    <cellStyle name="20% - Accent2 2 2 3 23 2" xfId="39552"/>
    <cellStyle name="20% - Accent2 2 2 3 24" xfId="17433"/>
    <cellStyle name="20% - Accent2 2 2 3 24 2" xfId="40208"/>
    <cellStyle name="20% - Accent2 2 2 3 25" xfId="18089"/>
    <cellStyle name="20% - Accent2 2 2 3 25 2" xfId="40864"/>
    <cellStyle name="20% - Accent2 2 2 3 26" xfId="18745"/>
    <cellStyle name="20% - Accent2 2 2 3 26 2" xfId="41520"/>
    <cellStyle name="20% - Accent2 2 2 3 27" xfId="19401"/>
    <cellStyle name="20% - Accent2 2 2 3 27 2" xfId="42176"/>
    <cellStyle name="20% - Accent2 2 2 3 28" xfId="20057"/>
    <cellStyle name="20% - Accent2 2 2 3 28 2" xfId="42832"/>
    <cellStyle name="20% - Accent2 2 2 3 29" xfId="20713"/>
    <cellStyle name="20% - Accent2 2 2 3 29 2" xfId="43488"/>
    <cellStyle name="20% - Accent2 2 2 3 3" xfId="2017"/>
    <cellStyle name="20% - Accent2 2 2 3 3 2" xfId="4313"/>
    <cellStyle name="20% - Accent2 2 2 3 3 2 2" xfId="27088"/>
    <cellStyle name="20% - Accent2 2 2 3 3 3" xfId="24792"/>
    <cellStyle name="20% - Accent2 2 2 3 30" xfId="21369"/>
    <cellStyle name="20% - Accent2 2 2 3 30 2" xfId="44144"/>
    <cellStyle name="20% - Accent2 2 2 3 31" xfId="22025"/>
    <cellStyle name="20% - Accent2 2 2 3 31 2" xfId="44800"/>
    <cellStyle name="20% - Accent2 2 2 3 32" xfId="22681"/>
    <cellStyle name="20% - Accent2 2 2 3 32 2" xfId="45456"/>
    <cellStyle name="20% - Accent2 2 2 3 33" xfId="23480"/>
    <cellStyle name="20% - Accent2 2 2 3 4" xfId="4969"/>
    <cellStyle name="20% - Accent2 2 2 3 4 2" xfId="27744"/>
    <cellStyle name="20% - Accent2 2 2 3 5" xfId="5625"/>
    <cellStyle name="20% - Accent2 2 2 3 5 2" xfId="28400"/>
    <cellStyle name="20% - Accent2 2 2 3 6" xfId="6281"/>
    <cellStyle name="20% - Accent2 2 2 3 6 2" xfId="29056"/>
    <cellStyle name="20% - Accent2 2 2 3 7" xfId="3001"/>
    <cellStyle name="20% - Accent2 2 2 3 7 2" xfId="25776"/>
    <cellStyle name="20% - Accent2 2 2 3 8" xfId="6937"/>
    <cellStyle name="20% - Accent2 2 2 3 8 2" xfId="29712"/>
    <cellStyle name="20% - Accent2 2 2 3 9" xfId="7593"/>
    <cellStyle name="20% - Accent2 2 2 3 9 2" xfId="30368"/>
    <cellStyle name="20% - Accent2 2 2 30" xfId="19073"/>
    <cellStyle name="20% - Accent2 2 2 30 2" xfId="41848"/>
    <cellStyle name="20% - Accent2 2 2 31" xfId="19729"/>
    <cellStyle name="20% - Accent2 2 2 31 2" xfId="42504"/>
    <cellStyle name="20% - Accent2 2 2 32" xfId="20385"/>
    <cellStyle name="20% - Accent2 2 2 32 2" xfId="43160"/>
    <cellStyle name="20% - Accent2 2 2 33" xfId="21041"/>
    <cellStyle name="20% - Accent2 2 2 33 2" xfId="43816"/>
    <cellStyle name="20% - Accent2 2 2 34" xfId="21697"/>
    <cellStyle name="20% - Accent2 2 2 34 2" xfId="44472"/>
    <cellStyle name="20% - Accent2 2 2 35" xfId="22353"/>
    <cellStyle name="20% - Accent2 2 2 35 2" xfId="45128"/>
    <cellStyle name="20% - Accent2 2 2 36" xfId="23009"/>
    <cellStyle name="20% - Accent2 2 2 4" xfId="378"/>
    <cellStyle name="20% - Accent2 2 2 4 2" xfId="2673"/>
    <cellStyle name="20% - Accent2 2 2 4 2 2" xfId="25448"/>
    <cellStyle name="20% - Accent2 2 2 4 3" xfId="23152"/>
    <cellStyle name="20% - Accent2 2 2 5" xfId="1033"/>
    <cellStyle name="20% - Accent2 2 2 5 2" xfId="3329"/>
    <cellStyle name="20% - Accent2 2 2 5 2 2" xfId="26104"/>
    <cellStyle name="20% - Accent2 2 2 5 3" xfId="23808"/>
    <cellStyle name="20% - Accent2 2 2 6" xfId="1689"/>
    <cellStyle name="20% - Accent2 2 2 6 2" xfId="3985"/>
    <cellStyle name="20% - Accent2 2 2 6 2 2" xfId="26760"/>
    <cellStyle name="20% - Accent2 2 2 6 3" xfId="24464"/>
    <cellStyle name="20% - Accent2 2 2 7" xfId="4641"/>
    <cellStyle name="20% - Accent2 2 2 7 2" xfId="27416"/>
    <cellStyle name="20% - Accent2 2 2 8" xfId="5297"/>
    <cellStyle name="20% - Accent2 2 2 8 2" xfId="28072"/>
    <cellStyle name="20% - Accent2 2 2 9" xfId="5953"/>
    <cellStyle name="20% - Accent2 2 2 9 2" xfId="28728"/>
    <cellStyle name="20% - Accent2 2 20" xfId="11771"/>
    <cellStyle name="20% - Accent2 2 20 2" xfId="34546"/>
    <cellStyle name="20% - Accent2 2 21" xfId="12427"/>
    <cellStyle name="20% - Accent2 2 21 2" xfId="35202"/>
    <cellStyle name="20% - Accent2 2 22" xfId="13083"/>
    <cellStyle name="20% - Accent2 2 22 2" xfId="35858"/>
    <cellStyle name="20% - Accent2 2 23" xfId="13739"/>
    <cellStyle name="20% - Accent2 2 23 2" xfId="36514"/>
    <cellStyle name="20% - Accent2 2 24" xfId="14395"/>
    <cellStyle name="20% - Accent2 2 24 2" xfId="37170"/>
    <cellStyle name="20% - Accent2 2 25" xfId="15051"/>
    <cellStyle name="20% - Accent2 2 25 2" xfId="37826"/>
    <cellStyle name="20% - Accent2 2 26" xfId="15707"/>
    <cellStyle name="20% - Accent2 2 26 2" xfId="38482"/>
    <cellStyle name="20% - Accent2 2 27" xfId="16363"/>
    <cellStyle name="20% - Accent2 2 27 2" xfId="39138"/>
    <cellStyle name="20% - Accent2 2 28" xfId="17019"/>
    <cellStyle name="20% - Accent2 2 28 2" xfId="39794"/>
    <cellStyle name="20% - Accent2 2 29" xfId="17675"/>
    <cellStyle name="20% - Accent2 2 29 2" xfId="40450"/>
    <cellStyle name="20% - Accent2 2 3" xfId="477"/>
    <cellStyle name="20% - Accent2 2 3 10" xfId="6708"/>
    <cellStyle name="20% - Accent2 2 3 10 2" xfId="29483"/>
    <cellStyle name="20% - Accent2 2 3 11" xfId="7364"/>
    <cellStyle name="20% - Accent2 2 3 11 2" xfId="30139"/>
    <cellStyle name="20% - Accent2 2 3 12" xfId="8020"/>
    <cellStyle name="20% - Accent2 2 3 12 2" xfId="30795"/>
    <cellStyle name="20% - Accent2 2 3 13" xfId="8676"/>
    <cellStyle name="20% - Accent2 2 3 13 2" xfId="31451"/>
    <cellStyle name="20% - Accent2 2 3 14" xfId="9332"/>
    <cellStyle name="20% - Accent2 2 3 14 2" xfId="32107"/>
    <cellStyle name="20% - Accent2 2 3 15" xfId="9988"/>
    <cellStyle name="20% - Accent2 2 3 15 2" xfId="32763"/>
    <cellStyle name="20% - Accent2 2 3 16" xfId="10644"/>
    <cellStyle name="20% - Accent2 2 3 16 2" xfId="33419"/>
    <cellStyle name="20% - Accent2 2 3 17" xfId="11300"/>
    <cellStyle name="20% - Accent2 2 3 17 2" xfId="34075"/>
    <cellStyle name="20% - Accent2 2 3 18" xfId="11956"/>
    <cellStyle name="20% - Accent2 2 3 18 2" xfId="34731"/>
    <cellStyle name="20% - Accent2 2 3 19" xfId="12612"/>
    <cellStyle name="20% - Accent2 2 3 19 2" xfId="35387"/>
    <cellStyle name="20% - Accent2 2 3 2" xfId="804"/>
    <cellStyle name="20% - Accent2 2 3 2 10" xfId="8348"/>
    <cellStyle name="20% - Accent2 2 3 2 10 2" xfId="31123"/>
    <cellStyle name="20% - Accent2 2 3 2 11" xfId="9004"/>
    <cellStyle name="20% - Accent2 2 3 2 11 2" xfId="31779"/>
    <cellStyle name="20% - Accent2 2 3 2 12" xfId="9660"/>
    <cellStyle name="20% - Accent2 2 3 2 12 2" xfId="32435"/>
    <cellStyle name="20% - Accent2 2 3 2 13" xfId="10316"/>
    <cellStyle name="20% - Accent2 2 3 2 13 2" xfId="33091"/>
    <cellStyle name="20% - Accent2 2 3 2 14" xfId="10972"/>
    <cellStyle name="20% - Accent2 2 3 2 14 2" xfId="33747"/>
    <cellStyle name="20% - Accent2 2 3 2 15" xfId="11628"/>
    <cellStyle name="20% - Accent2 2 3 2 15 2" xfId="34403"/>
    <cellStyle name="20% - Accent2 2 3 2 16" xfId="12284"/>
    <cellStyle name="20% - Accent2 2 3 2 16 2" xfId="35059"/>
    <cellStyle name="20% - Accent2 2 3 2 17" xfId="12940"/>
    <cellStyle name="20% - Accent2 2 3 2 17 2" xfId="35715"/>
    <cellStyle name="20% - Accent2 2 3 2 18" xfId="13596"/>
    <cellStyle name="20% - Accent2 2 3 2 18 2" xfId="36371"/>
    <cellStyle name="20% - Accent2 2 3 2 19" xfId="14252"/>
    <cellStyle name="20% - Accent2 2 3 2 19 2" xfId="37027"/>
    <cellStyle name="20% - Accent2 2 3 2 2" xfId="1460"/>
    <cellStyle name="20% - Accent2 2 3 2 2 2" xfId="3756"/>
    <cellStyle name="20% - Accent2 2 3 2 2 2 2" xfId="26531"/>
    <cellStyle name="20% - Accent2 2 3 2 2 3" xfId="24235"/>
    <cellStyle name="20% - Accent2 2 3 2 20" xfId="14908"/>
    <cellStyle name="20% - Accent2 2 3 2 20 2" xfId="37683"/>
    <cellStyle name="20% - Accent2 2 3 2 21" xfId="15564"/>
    <cellStyle name="20% - Accent2 2 3 2 21 2" xfId="38339"/>
    <cellStyle name="20% - Accent2 2 3 2 22" xfId="16220"/>
    <cellStyle name="20% - Accent2 2 3 2 22 2" xfId="38995"/>
    <cellStyle name="20% - Accent2 2 3 2 23" xfId="16876"/>
    <cellStyle name="20% - Accent2 2 3 2 23 2" xfId="39651"/>
    <cellStyle name="20% - Accent2 2 3 2 24" xfId="17532"/>
    <cellStyle name="20% - Accent2 2 3 2 24 2" xfId="40307"/>
    <cellStyle name="20% - Accent2 2 3 2 25" xfId="18188"/>
    <cellStyle name="20% - Accent2 2 3 2 25 2" xfId="40963"/>
    <cellStyle name="20% - Accent2 2 3 2 26" xfId="18844"/>
    <cellStyle name="20% - Accent2 2 3 2 26 2" xfId="41619"/>
    <cellStyle name="20% - Accent2 2 3 2 27" xfId="19500"/>
    <cellStyle name="20% - Accent2 2 3 2 27 2" xfId="42275"/>
    <cellStyle name="20% - Accent2 2 3 2 28" xfId="20156"/>
    <cellStyle name="20% - Accent2 2 3 2 28 2" xfId="42931"/>
    <cellStyle name="20% - Accent2 2 3 2 29" xfId="20812"/>
    <cellStyle name="20% - Accent2 2 3 2 29 2" xfId="43587"/>
    <cellStyle name="20% - Accent2 2 3 2 3" xfId="2116"/>
    <cellStyle name="20% - Accent2 2 3 2 3 2" xfId="4412"/>
    <cellStyle name="20% - Accent2 2 3 2 3 2 2" xfId="27187"/>
    <cellStyle name="20% - Accent2 2 3 2 3 3" xfId="24891"/>
    <cellStyle name="20% - Accent2 2 3 2 30" xfId="21468"/>
    <cellStyle name="20% - Accent2 2 3 2 30 2" xfId="44243"/>
    <cellStyle name="20% - Accent2 2 3 2 31" xfId="22124"/>
    <cellStyle name="20% - Accent2 2 3 2 31 2" xfId="44899"/>
    <cellStyle name="20% - Accent2 2 3 2 32" xfId="22780"/>
    <cellStyle name="20% - Accent2 2 3 2 32 2" xfId="45555"/>
    <cellStyle name="20% - Accent2 2 3 2 33" xfId="23579"/>
    <cellStyle name="20% - Accent2 2 3 2 4" xfId="5068"/>
    <cellStyle name="20% - Accent2 2 3 2 4 2" xfId="27843"/>
    <cellStyle name="20% - Accent2 2 3 2 5" xfId="5724"/>
    <cellStyle name="20% - Accent2 2 3 2 5 2" xfId="28499"/>
    <cellStyle name="20% - Accent2 2 3 2 6" xfId="6380"/>
    <cellStyle name="20% - Accent2 2 3 2 6 2" xfId="29155"/>
    <cellStyle name="20% - Accent2 2 3 2 7" xfId="3100"/>
    <cellStyle name="20% - Accent2 2 3 2 7 2" xfId="25875"/>
    <cellStyle name="20% - Accent2 2 3 2 8" xfId="7036"/>
    <cellStyle name="20% - Accent2 2 3 2 8 2" xfId="29811"/>
    <cellStyle name="20% - Accent2 2 3 2 9" xfId="7692"/>
    <cellStyle name="20% - Accent2 2 3 2 9 2" xfId="30467"/>
    <cellStyle name="20% - Accent2 2 3 20" xfId="13268"/>
    <cellStyle name="20% - Accent2 2 3 20 2" xfId="36043"/>
    <cellStyle name="20% - Accent2 2 3 21" xfId="13924"/>
    <cellStyle name="20% - Accent2 2 3 21 2" xfId="36699"/>
    <cellStyle name="20% - Accent2 2 3 22" xfId="14580"/>
    <cellStyle name="20% - Accent2 2 3 22 2" xfId="37355"/>
    <cellStyle name="20% - Accent2 2 3 23" xfId="15236"/>
    <cellStyle name="20% - Accent2 2 3 23 2" xfId="38011"/>
    <cellStyle name="20% - Accent2 2 3 24" xfId="15892"/>
    <cellStyle name="20% - Accent2 2 3 24 2" xfId="38667"/>
    <cellStyle name="20% - Accent2 2 3 25" xfId="16548"/>
    <cellStyle name="20% - Accent2 2 3 25 2" xfId="39323"/>
    <cellStyle name="20% - Accent2 2 3 26" xfId="17204"/>
    <cellStyle name="20% - Accent2 2 3 26 2" xfId="39979"/>
    <cellStyle name="20% - Accent2 2 3 27" xfId="17860"/>
    <cellStyle name="20% - Accent2 2 3 27 2" xfId="40635"/>
    <cellStyle name="20% - Accent2 2 3 28" xfId="18516"/>
    <cellStyle name="20% - Accent2 2 3 28 2" xfId="41291"/>
    <cellStyle name="20% - Accent2 2 3 29" xfId="19172"/>
    <cellStyle name="20% - Accent2 2 3 29 2" xfId="41947"/>
    <cellStyle name="20% - Accent2 2 3 3" xfId="1132"/>
    <cellStyle name="20% - Accent2 2 3 3 2" xfId="2772"/>
    <cellStyle name="20% - Accent2 2 3 3 2 2" xfId="25547"/>
    <cellStyle name="20% - Accent2 2 3 3 3" xfId="23907"/>
    <cellStyle name="20% - Accent2 2 3 30" xfId="19828"/>
    <cellStyle name="20% - Accent2 2 3 30 2" xfId="42603"/>
    <cellStyle name="20% - Accent2 2 3 31" xfId="20484"/>
    <cellStyle name="20% - Accent2 2 3 31 2" xfId="43259"/>
    <cellStyle name="20% - Accent2 2 3 32" xfId="21140"/>
    <cellStyle name="20% - Accent2 2 3 32 2" xfId="43915"/>
    <cellStyle name="20% - Accent2 2 3 33" xfId="21796"/>
    <cellStyle name="20% - Accent2 2 3 33 2" xfId="44571"/>
    <cellStyle name="20% - Accent2 2 3 34" xfId="22452"/>
    <cellStyle name="20% - Accent2 2 3 34 2" xfId="45227"/>
    <cellStyle name="20% - Accent2 2 3 35" xfId="23251"/>
    <cellStyle name="20% - Accent2 2 3 4" xfId="1788"/>
    <cellStyle name="20% - Accent2 2 3 4 2" xfId="3428"/>
    <cellStyle name="20% - Accent2 2 3 4 2 2" xfId="26203"/>
    <cellStyle name="20% - Accent2 2 3 4 3" xfId="24563"/>
    <cellStyle name="20% - Accent2 2 3 5" xfId="4084"/>
    <cellStyle name="20% - Accent2 2 3 5 2" xfId="26859"/>
    <cellStyle name="20% - Accent2 2 3 6" xfId="4740"/>
    <cellStyle name="20% - Accent2 2 3 6 2" xfId="27515"/>
    <cellStyle name="20% - Accent2 2 3 7" xfId="5396"/>
    <cellStyle name="20% - Accent2 2 3 7 2" xfId="28171"/>
    <cellStyle name="20% - Accent2 2 3 8" xfId="6052"/>
    <cellStyle name="20% - Accent2 2 3 8 2" xfId="28827"/>
    <cellStyle name="20% - Accent2 2 3 9" xfId="2444"/>
    <cellStyle name="20% - Accent2 2 3 9 2" xfId="25219"/>
    <cellStyle name="20% - Accent2 2 30" xfId="18331"/>
    <cellStyle name="20% - Accent2 2 30 2" xfId="41106"/>
    <cellStyle name="20% - Accent2 2 31" xfId="18987"/>
    <cellStyle name="20% - Accent2 2 31 2" xfId="41762"/>
    <cellStyle name="20% - Accent2 2 32" xfId="19643"/>
    <cellStyle name="20% - Accent2 2 32 2" xfId="42418"/>
    <cellStyle name="20% - Accent2 2 33" xfId="20299"/>
    <cellStyle name="20% - Accent2 2 33 2" xfId="43074"/>
    <cellStyle name="20% - Accent2 2 34" xfId="20955"/>
    <cellStyle name="20% - Accent2 2 34 2" xfId="43730"/>
    <cellStyle name="20% - Accent2 2 35" xfId="21611"/>
    <cellStyle name="20% - Accent2 2 35 2" xfId="44386"/>
    <cellStyle name="20% - Accent2 2 36" xfId="22267"/>
    <cellStyle name="20% - Accent2 2 36 2" xfId="45042"/>
    <cellStyle name="20% - Accent2 2 37" xfId="206"/>
    <cellStyle name="20% - Accent2 2 38" xfId="22923"/>
    <cellStyle name="20% - Accent2 2 4" xfId="619"/>
    <cellStyle name="20% - Accent2 2 4 10" xfId="8163"/>
    <cellStyle name="20% - Accent2 2 4 10 2" xfId="30938"/>
    <cellStyle name="20% - Accent2 2 4 11" xfId="8819"/>
    <cellStyle name="20% - Accent2 2 4 11 2" xfId="31594"/>
    <cellStyle name="20% - Accent2 2 4 12" xfId="9475"/>
    <cellStyle name="20% - Accent2 2 4 12 2" xfId="32250"/>
    <cellStyle name="20% - Accent2 2 4 13" xfId="10131"/>
    <cellStyle name="20% - Accent2 2 4 13 2" xfId="32906"/>
    <cellStyle name="20% - Accent2 2 4 14" xfId="10787"/>
    <cellStyle name="20% - Accent2 2 4 14 2" xfId="33562"/>
    <cellStyle name="20% - Accent2 2 4 15" xfId="11443"/>
    <cellStyle name="20% - Accent2 2 4 15 2" xfId="34218"/>
    <cellStyle name="20% - Accent2 2 4 16" xfId="12099"/>
    <cellStyle name="20% - Accent2 2 4 16 2" xfId="34874"/>
    <cellStyle name="20% - Accent2 2 4 17" xfId="12755"/>
    <cellStyle name="20% - Accent2 2 4 17 2" xfId="35530"/>
    <cellStyle name="20% - Accent2 2 4 18" xfId="13411"/>
    <cellStyle name="20% - Accent2 2 4 18 2" xfId="36186"/>
    <cellStyle name="20% - Accent2 2 4 19" xfId="14067"/>
    <cellStyle name="20% - Accent2 2 4 19 2" xfId="36842"/>
    <cellStyle name="20% - Accent2 2 4 2" xfId="1275"/>
    <cellStyle name="20% - Accent2 2 4 2 2" xfId="3571"/>
    <cellStyle name="20% - Accent2 2 4 2 2 2" xfId="26346"/>
    <cellStyle name="20% - Accent2 2 4 2 3" xfId="24050"/>
    <cellStyle name="20% - Accent2 2 4 20" xfId="14723"/>
    <cellStyle name="20% - Accent2 2 4 20 2" xfId="37498"/>
    <cellStyle name="20% - Accent2 2 4 21" xfId="15379"/>
    <cellStyle name="20% - Accent2 2 4 21 2" xfId="38154"/>
    <cellStyle name="20% - Accent2 2 4 22" xfId="16035"/>
    <cellStyle name="20% - Accent2 2 4 22 2" xfId="38810"/>
    <cellStyle name="20% - Accent2 2 4 23" xfId="16691"/>
    <cellStyle name="20% - Accent2 2 4 23 2" xfId="39466"/>
    <cellStyle name="20% - Accent2 2 4 24" xfId="17347"/>
    <cellStyle name="20% - Accent2 2 4 24 2" xfId="40122"/>
    <cellStyle name="20% - Accent2 2 4 25" xfId="18003"/>
    <cellStyle name="20% - Accent2 2 4 25 2" xfId="40778"/>
    <cellStyle name="20% - Accent2 2 4 26" xfId="18659"/>
    <cellStyle name="20% - Accent2 2 4 26 2" xfId="41434"/>
    <cellStyle name="20% - Accent2 2 4 27" xfId="19315"/>
    <cellStyle name="20% - Accent2 2 4 27 2" xfId="42090"/>
    <cellStyle name="20% - Accent2 2 4 28" xfId="19971"/>
    <cellStyle name="20% - Accent2 2 4 28 2" xfId="42746"/>
    <cellStyle name="20% - Accent2 2 4 29" xfId="20627"/>
    <cellStyle name="20% - Accent2 2 4 29 2" xfId="43402"/>
    <cellStyle name="20% - Accent2 2 4 3" xfId="1931"/>
    <cellStyle name="20% - Accent2 2 4 3 2" xfId="4227"/>
    <cellStyle name="20% - Accent2 2 4 3 2 2" xfId="27002"/>
    <cellStyle name="20% - Accent2 2 4 3 3" xfId="24706"/>
    <cellStyle name="20% - Accent2 2 4 30" xfId="21283"/>
    <cellStyle name="20% - Accent2 2 4 30 2" xfId="44058"/>
    <cellStyle name="20% - Accent2 2 4 31" xfId="21939"/>
    <cellStyle name="20% - Accent2 2 4 31 2" xfId="44714"/>
    <cellStyle name="20% - Accent2 2 4 32" xfId="22595"/>
    <cellStyle name="20% - Accent2 2 4 32 2" xfId="45370"/>
    <cellStyle name="20% - Accent2 2 4 33" xfId="23394"/>
    <cellStyle name="20% - Accent2 2 4 4" xfId="4883"/>
    <cellStyle name="20% - Accent2 2 4 4 2" xfId="27658"/>
    <cellStyle name="20% - Accent2 2 4 5" xfId="5539"/>
    <cellStyle name="20% - Accent2 2 4 5 2" xfId="28314"/>
    <cellStyle name="20% - Accent2 2 4 6" xfId="6195"/>
    <cellStyle name="20% - Accent2 2 4 6 2" xfId="28970"/>
    <cellStyle name="20% - Accent2 2 4 7" xfId="2915"/>
    <cellStyle name="20% - Accent2 2 4 7 2" xfId="25690"/>
    <cellStyle name="20% - Accent2 2 4 8" xfId="6851"/>
    <cellStyle name="20% - Accent2 2 4 8 2" xfId="29626"/>
    <cellStyle name="20% - Accent2 2 4 9" xfId="7507"/>
    <cellStyle name="20% - Accent2 2 4 9 2" xfId="30282"/>
    <cellStyle name="20% - Accent2 2 5" xfId="292"/>
    <cellStyle name="20% - Accent2 2 5 2" xfId="2587"/>
    <cellStyle name="20% - Accent2 2 5 2 2" xfId="25362"/>
    <cellStyle name="20% - Accent2 2 5 3" xfId="23066"/>
    <cellStyle name="20% - Accent2 2 6" xfId="947"/>
    <cellStyle name="20% - Accent2 2 6 2" xfId="3243"/>
    <cellStyle name="20% - Accent2 2 6 2 2" xfId="26018"/>
    <cellStyle name="20% - Accent2 2 6 3" xfId="23722"/>
    <cellStyle name="20% - Accent2 2 7" xfId="1603"/>
    <cellStyle name="20% - Accent2 2 7 2" xfId="3899"/>
    <cellStyle name="20% - Accent2 2 7 2 2" xfId="26674"/>
    <cellStyle name="20% - Accent2 2 7 3" xfId="24378"/>
    <cellStyle name="20% - Accent2 2 8" xfId="4555"/>
    <cellStyle name="20% - Accent2 2 8 2" xfId="27330"/>
    <cellStyle name="20% - Accent2 2 9" xfId="5211"/>
    <cellStyle name="20% - Accent2 2 9 2" xfId="27986"/>
    <cellStyle name="20% - Accent2 20" xfId="7163"/>
    <cellStyle name="20% - Accent2 20 2" xfId="29938"/>
    <cellStyle name="20% - Accent2 21" xfId="7819"/>
    <cellStyle name="20% - Accent2 21 2" xfId="30594"/>
    <cellStyle name="20% - Accent2 22" xfId="8475"/>
    <cellStyle name="20% - Accent2 22 2" xfId="31250"/>
    <cellStyle name="20% - Accent2 23" xfId="9131"/>
    <cellStyle name="20% - Accent2 23 2" xfId="31906"/>
    <cellStyle name="20% - Accent2 24" xfId="9787"/>
    <cellStyle name="20% - Accent2 24 2" xfId="32562"/>
    <cellStyle name="20% - Accent2 25" xfId="10443"/>
    <cellStyle name="20% - Accent2 25 2" xfId="33218"/>
    <cellStyle name="20% - Accent2 26" xfId="11099"/>
    <cellStyle name="20% - Accent2 26 2" xfId="33874"/>
    <cellStyle name="20% - Accent2 27" xfId="11755"/>
    <cellStyle name="20% - Accent2 27 2" xfId="34530"/>
    <cellStyle name="20% - Accent2 28" xfId="12411"/>
    <cellStyle name="20% - Accent2 28 2" xfId="35186"/>
    <cellStyle name="20% - Accent2 29" xfId="13067"/>
    <cellStyle name="20% - Accent2 29 2" xfId="35842"/>
    <cellStyle name="20% - Accent2 3" xfId="55"/>
    <cellStyle name="20% - Accent2 3 10" xfId="5882"/>
    <cellStyle name="20% - Accent2 3 10 2" xfId="28657"/>
    <cellStyle name="20% - Accent2 3 11" xfId="2274"/>
    <cellStyle name="20% - Accent2 3 11 2" xfId="25049"/>
    <cellStyle name="20% - Accent2 3 12" xfId="6538"/>
    <cellStyle name="20% - Accent2 3 12 2" xfId="29313"/>
    <cellStyle name="20% - Accent2 3 13" xfId="7194"/>
    <cellStyle name="20% - Accent2 3 13 2" xfId="29969"/>
    <cellStyle name="20% - Accent2 3 14" xfId="7850"/>
    <cellStyle name="20% - Accent2 3 14 2" xfId="30625"/>
    <cellStyle name="20% - Accent2 3 15" xfId="8506"/>
    <cellStyle name="20% - Accent2 3 15 2" xfId="31281"/>
    <cellStyle name="20% - Accent2 3 16" xfId="9162"/>
    <cellStyle name="20% - Accent2 3 16 2" xfId="31937"/>
    <cellStyle name="20% - Accent2 3 17" xfId="9818"/>
    <cellStyle name="20% - Accent2 3 17 2" xfId="32593"/>
    <cellStyle name="20% - Accent2 3 18" xfId="10474"/>
    <cellStyle name="20% - Accent2 3 18 2" xfId="33249"/>
    <cellStyle name="20% - Accent2 3 19" xfId="11130"/>
    <cellStyle name="20% - Accent2 3 19 2" xfId="33905"/>
    <cellStyle name="20% - Accent2 3 2" xfId="133"/>
    <cellStyle name="20% - Accent2 3 2 10" xfId="2329"/>
    <cellStyle name="20% - Accent2 3 2 10 2" xfId="25104"/>
    <cellStyle name="20% - Accent2 3 2 11" xfId="6593"/>
    <cellStyle name="20% - Accent2 3 2 11 2" xfId="29368"/>
    <cellStyle name="20% - Accent2 3 2 12" xfId="7249"/>
    <cellStyle name="20% - Accent2 3 2 12 2" xfId="30024"/>
    <cellStyle name="20% - Accent2 3 2 13" xfId="7905"/>
    <cellStyle name="20% - Accent2 3 2 13 2" xfId="30680"/>
    <cellStyle name="20% - Accent2 3 2 14" xfId="8561"/>
    <cellStyle name="20% - Accent2 3 2 14 2" xfId="31336"/>
    <cellStyle name="20% - Accent2 3 2 15" xfId="9217"/>
    <cellStyle name="20% - Accent2 3 2 15 2" xfId="31992"/>
    <cellStyle name="20% - Accent2 3 2 16" xfId="9873"/>
    <cellStyle name="20% - Accent2 3 2 16 2" xfId="32648"/>
    <cellStyle name="20% - Accent2 3 2 17" xfId="10529"/>
    <cellStyle name="20% - Accent2 3 2 17 2" xfId="33304"/>
    <cellStyle name="20% - Accent2 3 2 18" xfId="11185"/>
    <cellStyle name="20% - Accent2 3 2 18 2" xfId="33960"/>
    <cellStyle name="20% - Accent2 3 2 19" xfId="11841"/>
    <cellStyle name="20% - Accent2 3 2 19 2" xfId="34616"/>
    <cellStyle name="20% - Accent2 3 2 2" xfId="545"/>
    <cellStyle name="20% - Accent2 3 2 2 10" xfId="6778"/>
    <cellStyle name="20% - Accent2 3 2 2 10 2" xfId="29553"/>
    <cellStyle name="20% - Accent2 3 2 2 11" xfId="7434"/>
    <cellStyle name="20% - Accent2 3 2 2 11 2" xfId="30209"/>
    <cellStyle name="20% - Accent2 3 2 2 12" xfId="8090"/>
    <cellStyle name="20% - Accent2 3 2 2 12 2" xfId="30865"/>
    <cellStyle name="20% - Accent2 3 2 2 13" xfId="8746"/>
    <cellStyle name="20% - Accent2 3 2 2 13 2" xfId="31521"/>
    <cellStyle name="20% - Accent2 3 2 2 14" xfId="9402"/>
    <cellStyle name="20% - Accent2 3 2 2 14 2" xfId="32177"/>
    <cellStyle name="20% - Accent2 3 2 2 15" xfId="10058"/>
    <cellStyle name="20% - Accent2 3 2 2 15 2" xfId="32833"/>
    <cellStyle name="20% - Accent2 3 2 2 16" xfId="10714"/>
    <cellStyle name="20% - Accent2 3 2 2 16 2" xfId="33489"/>
    <cellStyle name="20% - Accent2 3 2 2 17" xfId="11370"/>
    <cellStyle name="20% - Accent2 3 2 2 17 2" xfId="34145"/>
    <cellStyle name="20% - Accent2 3 2 2 18" xfId="12026"/>
    <cellStyle name="20% - Accent2 3 2 2 18 2" xfId="34801"/>
    <cellStyle name="20% - Accent2 3 2 2 19" xfId="12682"/>
    <cellStyle name="20% - Accent2 3 2 2 19 2" xfId="35457"/>
    <cellStyle name="20% - Accent2 3 2 2 2" xfId="874"/>
    <cellStyle name="20% - Accent2 3 2 2 2 10" xfId="8418"/>
    <cellStyle name="20% - Accent2 3 2 2 2 10 2" xfId="31193"/>
    <cellStyle name="20% - Accent2 3 2 2 2 11" xfId="9074"/>
    <cellStyle name="20% - Accent2 3 2 2 2 11 2" xfId="31849"/>
    <cellStyle name="20% - Accent2 3 2 2 2 12" xfId="9730"/>
    <cellStyle name="20% - Accent2 3 2 2 2 12 2" xfId="32505"/>
    <cellStyle name="20% - Accent2 3 2 2 2 13" xfId="10386"/>
    <cellStyle name="20% - Accent2 3 2 2 2 13 2" xfId="33161"/>
    <cellStyle name="20% - Accent2 3 2 2 2 14" xfId="11042"/>
    <cellStyle name="20% - Accent2 3 2 2 2 14 2" xfId="33817"/>
    <cellStyle name="20% - Accent2 3 2 2 2 15" xfId="11698"/>
    <cellStyle name="20% - Accent2 3 2 2 2 15 2" xfId="34473"/>
    <cellStyle name="20% - Accent2 3 2 2 2 16" xfId="12354"/>
    <cellStyle name="20% - Accent2 3 2 2 2 16 2" xfId="35129"/>
    <cellStyle name="20% - Accent2 3 2 2 2 17" xfId="13010"/>
    <cellStyle name="20% - Accent2 3 2 2 2 17 2" xfId="35785"/>
    <cellStyle name="20% - Accent2 3 2 2 2 18" xfId="13666"/>
    <cellStyle name="20% - Accent2 3 2 2 2 18 2" xfId="36441"/>
    <cellStyle name="20% - Accent2 3 2 2 2 19" xfId="14322"/>
    <cellStyle name="20% - Accent2 3 2 2 2 19 2" xfId="37097"/>
    <cellStyle name="20% - Accent2 3 2 2 2 2" xfId="1530"/>
    <cellStyle name="20% - Accent2 3 2 2 2 2 2" xfId="3826"/>
    <cellStyle name="20% - Accent2 3 2 2 2 2 2 2" xfId="26601"/>
    <cellStyle name="20% - Accent2 3 2 2 2 2 3" xfId="24305"/>
    <cellStyle name="20% - Accent2 3 2 2 2 20" xfId="14978"/>
    <cellStyle name="20% - Accent2 3 2 2 2 20 2" xfId="37753"/>
    <cellStyle name="20% - Accent2 3 2 2 2 21" xfId="15634"/>
    <cellStyle name="20% - Accent2 3 2 2 2 21 2" xfId="38409"/>
    <cellStyle name="20% - Accent2 3 2 2 2 22" xfId="16290"/>
    <cellStyle name="20% - Accent2 3 2 2 2 22 2" xfId="39065"/>
    <cellStyle name="20% - Accent2 3 2 2 2 23" xfId="16946"/>
    <cellStyle name="20% - Accent2 3 2 2 2 23 2" xfId="39721"/>
    <cellStyle name="20% - Accent2 3 2 2 2 24" xfId="17602"/>
    <cellStyle name="20% - Accent2 3 2 2 2 24 2" xfId="40377"/>
    <cellStyle name="20% - Accent2 3 2 2 2 25" xfId="18258"/>
    <cellStyle name="20% - Accent2 3 2 2 2 25 2" xfId="41033"/>
    <cellStyle name="20% - Accent2 3 2 2 2 26" xfId="18914"/>
    <cellStyle name="20% - Accent2 3 2 2 2 26 2" xfId="41689"/>
    <cellStyle name="20% - Accent2 3 2 2 2 27" xfId="19570"/>
    <cellStyle name="20% - Accent2 3 2 2 2 27 2" xfId="42345"/>
    <cellStyle name="20% - Accent2 3 2 2 2 28" xfId="20226"/>
    <cellStyle name="20% - Accent2 3 2 2 2 28 2" xfId="43001"/>
    <cellStyle name="20% - Accent2 3 2 2 2 29" xfId="20882"/>
    <cellStyle name="20% - Accent2 3 2 2 2 29 2" xfId="43657"/>
    <cellStyle name="20% - Accent2 3 2 2 2 3" xfId="2186"/>
    <cellStyle name="20% - Accent2 3 2 2 2 3 2" xfId="4482"/>
    <cellStyle name="20% - Accent2 3 2 2 2 3 2 2" xfId="27257"/>
    <cellStyle name="20% - Accent2 3 2 2 2 3 3" xfId="24961"/>
    <cellStyle name="20% - Accent2 3 2 2 2 30" xfId="21538"/>
    <cellStyle name="20% - Accent2 3 2 2 2 30 2" xfId="44313"/>
    <cellStyle name="20% - Accent2 3 2 2 2 31" xfId="22194"/>
    <cellStyle name="20% - Accent2 3 2 2 2 31 2" xfId="44969"/>
    <cellStyle name="20% - Accent2 3 2 2 2 32" xfId="22850"/>
    <cellStyle name="20% - Accent2 3 2 2 2 32 2" xfId="45625"/>
    <cellStyle name="20% - Accent2 3 2 2 2 33" xfId="23649"/>
    <cellStyle name="20% - Accent2 3 2 2 2 4" xfId="5138"/>
    <cellStyle name="20% - Accent2 3 2 2 2 4 2" xfId="27913"/>
    <cellStyle name="20% - Accent2 3 2 2 2 5" xfId="5794"/>
    <cellStyle name="20% - Accent2 3 2 2 2 5 2" xfId="28569"/>
    <cellStyle name="20% - Accent2 3 2 2 2 6" xfId="6450"/>
    <cellStyle name="20% - Accent2 3 2 2 2 6 2" xfId="29225"/>
    <cellStyle name="20% - Accent2 3 2 2 2 7" xfId="3170"/>
    <cellStyle name="20% - Accent2 3 2 2 2 7 2" xfId="25945"/>
    <cellStyle name="20% - Accent2 3 2 2 2 8" xfId="7106"/>
    <cellStyle name="20% - Accent2 3 2 2 2 8 2" xfId="29881"/>
    <cellStyle name="20% - Accent2 3 2 2 2 9" xfId="7762"/>
    <cellStyle name="20% - Accent2 3 2 2 2 9 2" xfId="30537"/>
    <cellStyle name="20% - Accent2 3 2 2 20" xfId="13338"/>
    <cellStyle name="20% - Accent2 3 2 2 20 2" xfId="36113"/>
    <cellStyle name="20% - Accent2 3 2 2 21" xfId="13994"/>
    <cellStyle name="20% - Accent2 3 2 2 21 2" xfId="36769"/>
    <cellStyle name="20% - Accent2 3 2 2 22" xfId="14650"/>
    <cellStyle name="20% - Accent2 3 2 2 22 2" xfId="37425"/>
    <cellStyle name="20% - Accent2 3 2 2 23" xfId="15306"/>
    <cellStyle name="20% - Accent2 3 2 2 23 2" xfId="38081"/>
    <cellStyle name="20% - Accent2 3 2 2 24" xfId="15962"/>
    <cellStyle name="20% - Accent2 3 2 2 24 2" xfId="38737"/>
    <cellStyle name="20% - Accent2 3 2 2 25" xfId="16618"/>
    <cellStyle name="20% - Accent2 3 2 2 25 2" xfId="39393"/>
    <cellStyle name="20% - Accent2 3 2 2 26" xfId="17274"/>
    <cellStyle name="20% - Accent2 3 2 2 26 2" xfId="40049"/>
    <cellStyle name="20% - Accent2 3 2 2 27" xfId="17930"/>
    <cellStyle name="20% - Accent2 3 2 2 27 2" xfId="40705"/>
    <cellStyle name="20% - Accent2 3 2 2 28" xfId="18586"/>
    <cellStyle name="20% - Accent2 3 2 2 28 2" xfId="41361"/>
    <cellStyle name="20% - Accent2 3 2 2 29" xfId="19242"/>
    <cellStyle name="20% - Accent2 3 2 2 29 2" xfId="42017"/>
    <cellStyle name="20% - Accent2 3 2 2 3" xfId="1202"/>
    <cellStyle name="20% - Accent2 3 2 2 3 2" xfId="2842"/>
    <cellStyle name="20% - Accent2 3 2 2 3 2 2" xfId="25617"/>
    <cellStyle name="20% - Accent2 3 2 2 3 3" xfId="23977"/>
    <cellStyle name="20% - Accent2 3 2 2 30" xfId="19898"/>
    <cellStyle name="20% - Accent2 3 2 2 30 2" xfId="42673"/>
    <cellStyle name="20% - Accent2 3 2 2 31" xfId="20554"/>
    <cellStyle name="20% - Accent2 3 2 2 31 2" xfId="43329"/>
    <cellStyle name="20% - Accent2 3 2 2 32" xfId="21210"/>
    <cellStyle name="20% - Accent2 3 2 2 32 2" xfId="43985"/>
    <cellStyle name="20% - Accent2 3 2 2 33" xfId="21866"/>
    <cellStyle name="20% - Accent2 3 2 2 33 2" xfId="44641"/>
    <cellStyle name="20% - Accent2 3 2 2 34" xfId="22522"/>
    <cellStyle name="20% - Accent2 3 2 2 34 2" xfId="45297"/>
    <cellStyle name="20% - Accent2 3 2 2 35" xfId="23321"/>
    <cellStyle name="20% - Accent2 3 2 2 4" xfId="1858"/>
    <cellStyle name="20% - Accent2 3 2 2 4 2" xfId="3498"/>
    <cellStyle name="20% - Accent2 3 2 2 4 2 2" xfId="26273"/>
    <cellStyle name="20% - Accent2 3 2 2 4 3" xfId="24633"/>
    <cellStyle name="20% - Accent2 3 2 2 5" xfId="4154"/>
    <cellStyle name="20% - Accent2 3 2 2 5 2" xfId="26929"/>
    <cellStyle name="20% - Accent2 3 2 2 6" xfId="4810"/>
    <cellStyle name="20% - Accent2 3 2 2 6 2" xfId="27585"/>
    <cellStyle name="20% - Accent2 3 2 2 7" xfId="5466"/>
    <cellStyle name="20% - Accent2 3 2 2 7 2" xfId="28241"/>
    <cellStyle name="20% - Accent2 3 2 2 8" xfId="6122"/>
    <cellStyle name="20% - Accent2 3 2 2 8 2" xfId="28897"/>
    <cellStyle name="20% - Accent2 3 2 2 9" xfId="2514"/>
    <cellStyle name="20% - Accent2 3 2 2 9 2" xfId="25289"/>
    <cellStyle name="20% - Accent2 3 2 20" xfId="12497"/>
    <cellStyle name="20% - Accent2 3 2 20 2" xfId="35272"/>
    <cellStyle name="20% - Accent2 3 2 21" xfId="13153"/>
    <cellStyle name="20% - Accent2 3 2 21 2" xfId="35928"/>
    <cellStyle name="20% - Accent2 3 2 22" xfId="13809"/>
    <cellStyle name="20% - Accent2 3 2 22 2" xfId="36584"/>
    <cellStyle name="20% - Accent2 3 2 23" xfId="14465"/>
    <cellStyle name="20% - Accent2 3 2 23 2" xfId="37240"/>
    <cellStyle name="20% - Accent2 3 2 24" xfId="15121"/>
    <cellStyle name="20% - Accent2 3 2 24 2" xfId="37896"/>
    <cellStyle name="20% - Accent2 3 2 25" xfId="15777"/>
    <cellStyle name="20% - Accent2 3 2 25 2" xfId="38552"/>
    <cellStyle name="20% - Accent2 3 2 26" xfId="16433"/>
    <cellStyle name="20% - Accent2 3 2 26 2" xfId="39208"/>
    <cellStyle name="20% - Accent2 3 2 27" xfId="17089"/>
    <cellStyle name="20% - Accent2 3 2 27 2" xfId="39864"/>
    <cellStyle name="20% - Accent2 3 2 28" xfId="17745"/>
    <cellStyle name="20% - Accent2 3 2 28 2" xfId="40520"/>
    <cellStyle name="20% - Accent2 3 2 29" xfId="18401"/>
    <cellStyle name="20% - Accent2 3 2 29 2" xfId="41176"/>
    <cellStyle name="20% - Accent2 3 2 3" xfId="689"/>
    <cellStyle name="20% - Accent2 3 2 3 10" xfId="8233"/>
    <cellStyle name="20% - Accent2 3 2 3 10 2" xfId="31008"/>
    <cellStyle name="20% - Accent2 3 2 3 11" xfId="8889"/>
    <cellStyle name="20% - Accent2 3 2 3 11 2" xfId="31664"/>
    <cellStyle name="20% - Accent2 3 2 3 12" xfId="9545"/>
    <cellStyle name="20% - Accent2 3 2 3 12 2" xfId="32320"/>
    <cellStyle name="20% - Accent2 3 2 3 13" xfId="10201"/>
    <cellStyle name="20% - Accent2 3 2 3 13 2" xfId="32976"/>
    <cellStyle name="20% - Accent2 3 2 3 14" xfId="10857"/>
    <cellStyle name="20% - Accent2 3 2 3 14 2" xfId="33632"/>
    <cellStyle name="20% - Accent2 3 2 3 15" xfId="11513"/>
    <cellStyle name="20% - Accent2 3 2 3 15 2" xfId="34288"/>
    <cellStyle name="20% - Accent2 3 2 3 16" xfId="12169"/>
    <cellStyle name="20% - Accent2 3 2 3 16 2" xfId="34944"/>
    <cellStyle name="20% - Accent2 3 2 3 17" xfId="12825"/>
    <cellStyle name="20% - Accent2 3 2 3 17 2" xfId="35600"/>
    <cellStyle name="20% - Accent2 3 2 3 18" xfId="13481"/>
    <cellStyle name="20% - Accent2 3 2 3 18 2" xfId="36256"/>
    <cellStyle name="20% - Accent2 3 2 3 19" xfId="14137"/>
    <cellStyle name="20% - Accent2 3 2 3 19 2" xfId="36912"/>
    <cellStyle name="20% - Accent2 3 2 3 2" xfId="1345"/>
    <cellStyle name="20% - Accent2 3 2 3 2 2" xfId="3641"/>
    <cellStyle name="20% - Accent2 3 2 3 2 2 2" xfId="26416"/>
    <cellStyle name="20% - Accent2 3 2 3 2 3" xfId="24120"/>
    <cellStyle name="20% - Accent2 3 2 3 20" xfId="14793"/>
    <cellStyle name="20% - Accent2 3 2 3 20 2" xfId="37568"/>
    <cellStyle name="20% - Accent2 3 2 3 21" xfId="15449"/>
    <cellStyle name="20% - Accent2 3 2 3 21 2" xfId="38224"/>
    <cellStyle name="20% - Accent2 3 2 3 22" xfId="16105"/>
    <cellStyle name="20% - Accent2 3 2 3 22 2" xfId="38880"/>
    <cellStyle name="20% - Accent2 3 2 3 23" xfId="16761"/>
    <cellStyle name="20% - Accent2 3 2 3 23 2" xfId="39536"/>
    <cellStyle name="20% - Accent2 3 2 3 24" xfId="17417"/>
    <cellStyle name="20% - Accent2 3 2 3 24 2" xfId="40192"/>
    <cellStyle name="20% - Accent2 3 2 3 25" xfId="18073"/>
    <cellStyle name="20% - Accent2 3 2 3 25 2" xfId="40848"/>
    <cellStyle name="20% - Accent2 3 2 3 26" xfId="18729"/>
    <cellStyle name="20% - Accent2 3 2 3 26 2" xfId="41504"/>
    <cellStyle name="20% - Accent2 3 2 3 27" xfId="19385"/>
    <cellStyle name="20% - Accent2 3 2 3 27 2" xfId="42160"/>
    <cellStyle name="20% - Accent2 3 2 3 28" xfId="20041"/>
    <cellStyle name="20% - Accent2 3 2 3 28 2" xfId="42816"/>
    <cellStyle name="20% - Accent2 3 2 3 29" xfId="20697"/>
    <cellStyle name="20% - Accent2 3 2 3 29 2" xfId="43472"/>
    <cellStyle name="20% - Accent2 3 2 3 3" xfId="2001"/>
    <cellStyle name="20% - Accent2 3 2 3 3 2" xfId="4297"/>
    <cellStyle name="20% - Accent2 3 2 3 3 2 2" xfId="27072"/>
    <cellStyle name="20% - Accent2 3 2 3 3 3" xfId="24776"/>
    <cellStyle name="20% - Accent2 3 2 3 30" xfId="21353"/>
    <cellStyle name="20% - Accent2 3 2 3 30 2" xfId="44128"/>
    <cellStyle name="20% - Accent2 3 2 3 31" xfId="22009"/>
    <cellStyle name="20% - Accent2 3 2 3 31 2" xfId="44784"/>
    <cellStyle name="20% - Accent2 3 2 3 32" xfId="22665"/>
    <cellStyle name="20% - Accent2 3 2 3 32 2" xfId="45440"/>
    <cellStyle name="20% - Accent2 3 2 3 33" xfId="23464"/>
    <cellStyle name="20% - Accent2 3 2 3 4" xfId="4953"/>
    <cellStyle name="20% - Accent2 3 2 3 4 2" xfId="27728"/>
    <cellStyle name="20% - Accent2 3 2 3 5" xfId="5609"/>
    <cellStyle name="20% - Accent2 3 2 3 5 2" xfId="28384"/>
    <cellStyle name="20% - Accent2 3 2 3 6" xfId="6265"/>
    <cellStyle name="20% - Accent2 3 2 3 6 2" xfId="29040"/>
    <cellStyle name="20% - Accent2 3 2 3 7" xfId="2985"/>
    <cellStyle name="20% - Accent2 3 2 3 7 2" xfId="25760"/>
    <cellStyle name="20% - Accent2 3 2 3 8" xfId="6921"/>
    <cellStyle name="20% - Accent2 3 2 3 8 2" xfId="29696"/>
    <cellStyle name="20% - Accent2 3 2 3 9" xfId="7577"/>
    <cellStyle name="20% - Accent2 3 2 3 9 2" xfId="30352"/>
    <cellStyle name="20% - Accent2 3 2 30" xfId="19057"/>
    <cellStyle name="20% - Accent2 3 2 30 2" xfId="41832"/>
    <cellStyle name="20% - Accent2 3 2 31" xfId="19713"/>
    <cellStyle name="20% - Accent2 3 2 31 2" xfId="42488"/>
    <cellStyle name="20% - Accent2 3 2 32" xfId="20369"/>
    <cellStyle name="20% - Accent2 3 2 32 2" xfId="43144"/>
    <cellStyle name="20% - Accent2 3 2 33" xfId="21025"/>
    <cellStyle name="20% - Accent2 3 2 33 2" xfId="43800"/>
    <cellStyle name="20% - Accent2 3 2 34" xfId="21681"/>
    <cellStyle name="20% - Accent2 3 2 34 2" xfId="44456"/>
    <cellStyle name="20% - Accent2 3 2 35" xfId="22337"/>
    <cellStyle name="20% - Accent2 3 2 35 2" xfId="45112"/>
    <cellStyle name="20% - Accent2 3 2 36" xfId="22993"/>
    <cellStyle name="20% - Accent2 3 2 4" xfId="362"/>
    <cellStyle name="20% - Accent2 3 2 4 2" xfId="2657"/>
    <cellStyle name="20% - Accent2 3 2 4 2 2" xfId="25432"/>
    <cellStyle name="20% - Accent2 3 2 4 3" xfId="23136"/>
    <cellStyle name="20% - Accent2 3 2 5" xfId="1017"/>
    <cellStyle name="20% - Accent2 3 2 5 2" xfId="3313"/>
    <cellStyle name="20% - Accent2 3 2 5 2 2" xfId="26088"/>
    <cellStyle name="20% - Accent2 3 2 5 3" xfId="23792"/>
    <cellStyle name="20% - Accent2 3 2 6" xfId="1673"/>
    <cellStyle name="20% - Accent2 3 2 6 2" xfId="3969"/>
    <cellStyle name="20% - Accent2 3 2 6 2 2" xfId="26744"/>
    <cellStyle name="20% - Accent2 3 2 6 3" xfId="24448"/>
    <cellStyle name="20% - Accent2 3 2 7" xfId="4625"/>
    <cellStyle name="20% - Accent2 3 2 7 2" xfId="27400"/>
    <cellStyle name="20% - Accent2 3 2 8" xfId="5281"/>
    <cellStyle name="20% - Accent2 3 2 8 2" xfId="28056"/>
    <cellStyle name="20% - Accent2 3 2 9" xfId="5937"/>
    <cellStyle name="20% - Accent2 3 2 9 2" xfId="28712"/>
    <cellStyle name="20% - Accent2 3 20" xfId="11786"/>
    <cellStyle name="20% - Accent2 3 20 2" xfId="34561"/>
    <cellStyle name="20% - Accent2 3 21" xfId="12442"/>
    <cellStyle name="20% - Accent2 3 21 2" xfId="35217"/>
    <cellStyle name="20% - Accent2 3 22" xfId="13098"/>
    <cellStyle name="20% - Accent2 3 22 2" xfId="35873"/>
    <cellStyle name="20% - Accent2 3 23" xfId="13754"/>
    <cellStyle name="20% - Accent2 3 23 2" xfId="36529"/>
    <cellStyle name="20% - Accent2 3 24" xfId="14410"/>
    <cellStyle name="20% - Accent2 3 24 2" xfId="37185"/>
    <cellStyle name="20% - Accent2 3 25" xfId="15066"/>
    <cellStyle name="20% - Accent2 3 25 2" xfId="37841"/>
    <cellStyle name="20% - Accent2 3 26" xfId="15722"/>
    <cellStyle name="20% - Accent2 3 26 2" xfId="38497"/>
    <cellStyle name="20% - Accent2 3 27" xfId="16378"/>
    <cellStyle name="20% - Accent2 3 27 2" xfId="39153"/>
    <cellStyle name="20% - Accent2 3 28" xfId="17034"/>
    <cellStyle name="20% - Accent2 3 28 2" xfId="39809"/>
    <cellStyle name="20% - Accent2 3 29" xfId="17690"/>
    <cellStyle name="20% - Accent2 3 29 2" xfId="40465"/>
    <cellStyle name="20% - Accent2 3 3" xfId="491"/>
    <cellStyle name="20% - Accent2 3 3 10" xfId="6723"/>
    <cellStyle name="20% - Accent2 3 3 10 2" xfId="29498"/>
    <cellStyle name="20% - Accent2 3 3 11" xfId="7379"/>
    <cellStyle name="20% - Accent2 3 3 11 2" xfId="30154"/>
    <cellStyle name="20% - Accent2 3 3 12" xfId="8035"/>
    <cellStyle name="20% - Accent2 3 3 12 2" xfId="30810"/>
    <cellStyle name="20% - Accent2 3 3 13" xfId="8691"/>
    <cellStyle name="20% - Accent2 3 3 13 2" xfId="31466"/>
    <cellStyle name="20% - Accent2 3 3 14" xfId="9347"/>
    <cellStyle name="20% - Accent2 3 3 14 2" xfId="32122"/>
    <cellStyle name="20% - Accent2 3 3 15" xfId="10003"/>
    <cellStyle name="20% - Accent2 3 3 15 2" xfId="32778"/>
    <cellStyle name="20% - Accent2 3 3 16" xfId="10659"/>
    <cellStyle name="20% - Accent2 3 3 16 2" xfId="33434"/>
    <cellStyle name="20% - Accent2 3 3 17" xfId="11315"/>
    <cellStyle name="20% - Accent2 3 3 17 2" xfId="34090"/>
    <cellStyle name="20% - Accent2 3 3 18" xfId="11971"/>
    <cellStyle name="20% - Accent2 3 3 18 2" xfId="34746"/>
    <cellStyle name="20% - Accent2 3 3 19" xfId="12627"/>
    <cellStyle name="20% - Accent2 3 3 19 2" xfId="35402"/>
    <cellStyle name="20% - Accent2 3 3 2" xfId="819"/>
    <cellStyle name="20% - Accent2 3 3 2 10" xfId="8363"/>
    <cellStyle name="20% - Accent2 3 3 2 10 2" xfId="31138"/>
    <cellStyle name="20% - Accent2 3 3 2 11" xfId="9019"/>
    <cellStyle name="20% - Accent2 3 3 2 11 2" xfId="31794"/>
    <cellStyle name="20% - Accent2 3 3 2 12" xfId="9675"/>
    <cellStyle name="20% - Accent2 3 3 2 12 2" xfId="32450"/>
    <cellStyle name="20% - Accent2 3 3 2 13" xfId="10331"/>
    <cellStyle name="20% - Accent2 3 3 2 13 2" xfId="33106"/>
    <cellStyle name="20% - Accent2 3 3 2 14" xfId="10987"/>
    <cellStyle name="20% - Accent2 3 3 2 14 2" xfId="33762"/>
    <cellStyle name="20% - Accent2 3 3 2 15" xfId="11643"/>
    <cellStyle name="20% - Accent2 3 3 2 15 2" xfId="34418"/>
    <cellStyle name="20% - Accent2 3 3 2 16" xfId="12299"/>
    <cellStyle name="20% - Accent2 3 3 2 16 2" xfId="35074"/>
    <cellStyle name="20% - Accent2 3 3 2 17" xfId="12955"/>
    <cellStyle name="20% - Accent2 3 3 2 17 2" xfId="35730"/>
    <cellStyle name="20% - Accent2 3 3 2 18" xfId="13611"/>
    <cellStyle name="20% - Accent2 3 3 2 18 2" xfId="36386"/>
    <cellStyle name="20% - Accent2 3 3 2 19" xfId="14267"/>
    <cellStyle name="20% - Accent2 3 3 2 19 2" xfId="37042"/>
    <cellStyle name="20% - Accent2 3 3 2 2" xfId="1475"/>
    <cellStyle name="20% - Accent2 3 3 2 2 2" xfId="3771"/>
    <cellStyle name="20% - Accent2 3 3 2 2 2 2" xfId="26546"/>
    <cellStyle name="20% - Accent2 3 3 2 2 3" xfId="24250"/>
    <cellStyle name="20% - Accent2 3 3 2 20" xfId="14923"/>
    <cellStyle name="20% - Accent2 3 3 2 20 2" xfId="37698"/>
    <cellStyle name="20% - Accent2 3 3 2 21" xfId="15579"/>
    <cellStyle name="20% - Accent2 3 3 2 21 2" xfId="38354"/>
    <cellStyle name="20% - Accent2 3 3 2 22" xfId="16235"/>
    <cellStyle name="20% - Accent2 3 3 2 22 2" xfId="39010"/>
    <cellStyle name="20% - Accent2 3 3 2 23" xfId="16891"/>
    <cellStyle name="20% - Accent2 3 3 2 23 2" xfId="39666"/>
    <cellStyle name="20% - Accent2 3 3 2 24" xfId="17547"/>
    <cellStyle name="20% - Accent2 3 3 2 24 2" xfId="40322"/>
    <cellStyle name="20% - Accent2 3 3 2 25" xfId="18203"/>
    <cellStyle name="20% - Accent2 3 3 2 25 2" xfId="40978"/>
    <cellStyle name="20% - Accent2 3 3 2 26" xfId="18859"/>
    <cellStyle name="20% - Accent2 3 3 2 26 2" xfId="41634"/>
    <cellStyle name="20% - Accent2 3 3 2 27" xfId="19515"/>
    <cellStyle name="20% - Accent2 3 3 2 27 2" xfId="42290"/>
    <cellStyle name="20% - Accent2 3 3 2 28" xfId="20171"/>
    <cellStyle name="20% - Accent2 3 3 2 28 2" xfId="42946"/>
    <cellStyle name="20% - Accent2 3 3 2 29" xfId="20827"/>
    <cellStyle name="20% - Accent2 3 3 2 29 2" xfId="43602"/>
    <cellStyle name="20% - Accent2 3 3 2 3" xfId="2131"/>
    <cellStyle name="20% - Accent2 3 3 2 3 2" xfId="4427"/>
    <cellStyle name="20% - Accent2 3 3 2 3 2 2" xfId="27202"/>
    <cellStyle name="20% - Accent2 3 3 2 3 3" xfId="24906"/>
    <cellStyle name="20% - Accent2 3 3 2 30" xfId="21483"/>
    <cellStyle name="20% - Accent2 3 3 2 30 2" xfId="44258"/>
    <cellStyle name="20% - Accent2 3 3 2 31" xfId="22139"/>
    <cellStyle name="20% - Accent2 3 3 2 31 2" xfId="44914"/>
    <cellStyle name="20% - Accent2 3 3 2 32" xfId="22795"/>
    <cellStyle name="20% - Accent2 3 3 2 32 2" xfId="45570"/>
    <cellStyle name="20% - Accent2 3 3 2 33" xfId="23594"/>
    <cellStyle name="20% - Accent2 3 3 2 4" xfId="5083"/>
    <cellStyle name="20% - Accent2 3 3 2 4 2" xfId="27858"/>
    <cellStyle name="20% - Accent2 3 3 2 5" xfId="5739"/>
    <cellStyle name="20% - Accent2 3 3 2 5 2" xfId="28514"/>
    <cellStyle name="20% - Accent2 3 3 2 6" xfId="6395"/>
    <cellStyle name="20% - Accent2 3 3 2 6 2" xfId="29170"/>
    <cellStyle name="20% - Accent2 3 3 2 7" xfId="3115"/>
    <cellStyle name="20% - Accent2 3 3 2 7 2" xfId="25890"/>
    <cellStyle name="20% - Accent2 3 3 2 8" xfId="7051"/>
    <cellStyle name="20% - Accent2 3 3 2 8 2" xfId="29826"/>
    <cellStyle name="20% - Accent2 3 3 2 9" xfId="7707"/>
    <cellStyle name="20% - Accent2 3 3 2 9 2" xfId="30482"/>
    <cellStyle name="20% - Accent2 3 3 20" xfId="13283"/>
    <cellStyle name="20% - Accent2 3 3 20 2" xfId="36058"/>
    <cellStyle name="20% - Accent2 3 3 21" xfId="13939"/>
    <cellStyle name="20% - Accent2 3 3 21 2" xfId="36714"/>
    <cellStyle name="20% - Accent2 3 3 22" xfId="14595"/>
    <cellStyle name="20% - Accent2 3 3 22 2" xfId="37370"/>
    <cellStyle name="20% - Accent2 3 3 23" xfId="15251"/>
    <cellStyle name="20% - Accent2 3 3 23 2" xfId="38026"/>
    <cellStyle name="20% - Accent2 3 3 24" xfId="15907"/>
    <cellStyle name="20% - Accent2 3 3 24 2" xfId="38682"/>
    <cellStyle name="20% - Accent2 3 3 25" xfId="16563"/>
    <cellStyle name="20% - Accent2 3 3 25 2" xfId="39338"/>
    <cellStyle name="20% - Accent2 3 3 26" xfId="17219"/>
    <cellStyle name="20% - Accent2 3 3 26 2" xfId="39994"/>
    <cellStyle name="20% - Accent2 3 3 27" xfId="17875"/>
    <cellStyle name="20% - Accent2 3 3 27 2" xfId="40650"/>
    <cellStyle name="20% - Accent2 3 3 28" xfId="18531"/>
    <cellStyle name="20% - Accent2 3 3 28 2" xfId="41306"/>
    <cellStyle name="20% - Accent2 3 3 29" xfId="19187"/>
    <cellStyle name="20% - Accent2 3 3 29 2" xfId="41962"/>
    <cellStyle name="20% - Accent2 3 3 3" xfId="1147"/>
    <cellStyle name="20% - Accent2 3 3 3 2" xfId="2787"/>
    <cellStyle name="20% - Accent2 3 3 3 2 2" xfId="25562"/>
    <cellStyle name="20% - Accent2 3 3 3 3" xfId="23922"/>
    <cellStyle name="20% - Accent2 3 3 30" xfId="19843"/>
    <cellStyle name="20% - Accent2 3 3 30 2" xfId="42618"/>
    <cellStyle name="20% - Accent2 3 3 31" xfId="20499"/>
    <cellStyle name="20% - Accent2 3 3 31 2" xfId="43274"/>
    <cellStyle name="20% - Accent2 3 3 32" xfId="21155"/>
    <cellStyle name="20% - Accent2 3 3 32 2" xfId="43930"/>
    <cellStyle name="20% - Accent2 3 3 33" xfId="21811"/>
    <cellStyle name="20% - Accent2 3 3 33 2" xfId="44586"/>
    <cellStyle name="20% - Accent2 3 3 34" xfId="22467"/>
    <cellStyle name="20% - Accent2 3 3 34 2" xfId="45242"/>
    <cellStyle name="20% - Accent2 3 3 35" xfId="23266"/>
    <cellStyle name="20% - Accent2 3 3 4" xfId="1803"/>
    <cellStyle name="20% - Accent2 3 3 4 2" xfId="3443"/>
    <cellStyle name="20% - Accent2 3 3 4 2 2" xfId="26218"/>
    <cellStyle name="20% - Accent2 3 3 4 3" xfId="24578"/>
    <cellStyle name="20% - Accent2 3 3 5" xfId="4099"/>
    <cellStyle name="20% - Accent2 3 3 5 2" xfId="26874"/>
    <cellStyle name="20% - Accent2 3 3 6" xfId="4755"/>
    <cellStyle name="20% - Accent2 3 3 6 2" xfId="27530"/>
    <cellStyle name="20% - Accent2 3 3 7" xfId="5411"/>
    <cellStyle name="20% - Accent2 3 3 7 2" xfId="28186"/>
    <cellStyle name="20% - Accent2 3 3 8" xfId="6067"/>
    <cellStyle name="20% - Accent2 3 3 8 2" xfId="28842"/>
    <cellStyle name="20% - Accent2 3 3 9" xfId="2459"/>
    <cellStyle name="20% - Accent2 3 3 9 2" xfId="25234"/>
    <cellStyle name="20% - Accent2 3 30" xfId="18346"/>
    <cellStyle name="20% - Accent2 3 30 2" xfId="41121"/>
    <cellStyle name="20% - Accent2 3 31" xfId="19002"/>
    <cellStyle name="20% - Accent2 3 31 2" xfId="41777"/>
    <cellStyle name="20% - Accent2 3 32" xfId="19658"/>
    <cellStyle name="20% - Accent2 3 32 2" xfId="42433"/>
    <cellStyle name="20% - Accent2 3 33" xfId="20314"/>
    <cellStyle name="20% - Accent2 3 33 2" xfId="43089"/>
    <cellStyle name="20% - Accent2 3 34" xfId="20970"/>
    <cellStyle name="20% - Accent2 3 34 2" xfId="43745"/>
    <cellStyle name="20% - Accent2 3 35" xfId="21626"/>
    <cellStyle name="20% - Accent2 3 35 2" xfId="44401"/>
    <cellStyle name="20% - Accent2 3 36" xfId="22282"/>
    <cellStyle name="20% - Accent2 3 36 2" xfId="45057"/>
    <cellStyle name="20% - Accent2 3 37" xfId="221"/>
    <cellStyle name="20% - Accent2 3 38" xfId="22938"/>
    <cellStyle name="20% - Accent2 3 4" xfId="634"/>
    <cellStyle name="20% - Accent2 3 4 10" xfId="8178"/>
    <cellStyle name="20% - Accent2 3 4 10 2" xfId="30953"/>
    <cellStyle name="20% - Accent2 3 4 11" xfId="8834"/>
    <cellStyle name="20% - Accent2 3 4 11 2" xfId="31609"/>
    <cellStyle name="20% - Accent2 3 4 12" xfId="9490"/>
    <cellStyle name="20% - Accent2 3 4 12 2" xfId="32265"/>
    <cellStyle name="20% - Accent2 3 4 13" xfId="10146"/>
    <cellStyle name="20% - Accent2 3 4 13 2" xfId="32921"/>
    <cellStyle name="20% - Accent2 3 4 14" xfId="10802"/>
    <cellStyle name="20% - Accent2 3 4 14 2" xfId="33577"/>
    <cellStyle name="20% - Accent2 3 4 15" xfId="11458"/>
    <cellStyle name="20% - Accent2 3 4 15 2" xfId="34233"/>
    <cellStyle name="20% - Accent2 3 4 16" xfId="12114"/>
    <cellStyle name="20% - Accent2 3 4 16 2" xfId="34889"/>
    <cellStyle name="20% - Accent2 3 4 17" xfId="12770"/>
    <cellStyle name="20% - Accent2 3 4 17 2" xfId="35545"/>
    <cellStyle name="20% - Accent2 3 4 18" xfId="13426"/>
    <cellStyle name="20% - Accent2 3 4 18 2" xfId="36201"/>
    <cellStyle name="20% - Accent2 3 4 19" xfId="14082"/>
    <cellStyle name="20% - Accent2 3 4 19 2" xfId="36857"/>
    <cellStyle name="20% - Accent2 3 4 2" xfId="1290"/>
    <cellStyle name="20% - Accent2 3 4 2 2" xfId="3586"/>
    <cellStyle name="20% - Accent2 3 4 2 2 2" xfId="26361"/>
    <cellStyle name="20% - Accent2 3 4 2 3" xfId="24065"/>
    <cellStyle name="20% - Accent2 3 4 20" xfId="14738"/>
    <cellStyle name="20% - Accent2 3 4 20 2" xfId="37513"/>
    <cellStyle name="20% - Accent2 3 4 21" xfId="15394"/>
    <cellStyle name="20% - Accent2 3 4 21 2" xfId="38169"/>
    <cellStyle name="20% - Accent2 3 4 22" xfId="16050"/>
    <cellStyle name="20% - Accent2 3 4 22 2" xfId="38825"/>
    <cellStyle name="20% - Accent2 3 4 23" xfId="16706"/>
    <cellStyle name="20% - Accent2 3 4 23 2" xfId="39481"/>
    <cellStyle name="20% - Accent2 3 4 24" xfId="17362"/>
    <cellStyle name="20% - Accent2 3 4 24 2" xfId="40137"/>
    <cellStyle name="20% - Accent2 3 4 25" xfId="18018"/>
    <cellStyle name="20% - Accent2 3 4 25 2" xfId="40793"/>
    <cellStyle name="20% - Accent2 3 4 26" xfId="18674"/>
    <cellStyle name="20% - Accent2 3 4 26 2" xfId="41449"/>
    <cellStyle name="20% - Accent2 3 4 27" xfId="19330"/>
    <cellStyle name="20% - Accent2 3 4 27 2" xfId="42105"/>
    <cellStyle name="20% - Accent2 3 4 28" xfId="19986"/>
    <cellStyle name="20% - Accent2 3 4 28 2" xfId="42761"/>
    <cellStyle name="20% - Accent2 3 4 29" xfId="20642"/>
    <cellStyle name="20% - Accent2 3 4 29 2" xfId="43417"/>
    <cellStyle name="20% - Accent2 3 4 3" xfId="1946"/>
    <cellStyle name="20% - Accent2 3 4 3 2" xfId="4242"/>
    <cellStyle name="20% - Accent2 3 4 3 2 2" xfId="27017"/>
    <cellStyle name="20% - Accent2 3 4 3 3" xfId="24721"/>
    <cellStyle name="20% - Accent2 3 4 30" xfId="21298"/>
    <cellStyle name="20% - Accent2 3 4 30 2" xfId="44073"/>
    <cellStyle name="20% - Accent2 3 4 31" xfId="21954"/>
    <cellStyle name="20% - Accent2 3 4 31 2" xfId="44729"/>
    <cellStyle name="20% - Accent2 3 4 32" xfId="22610"/>
    <cellStyle name="20% - Accent2 3 4 32 2" xfId="45385"/>
    <cellStyle name="20% - Accent2 3 4 33" xfId="23409"/>
    <cellStyle name="20% - Accent2 3 4 4" xfId="4898"/>
    <cellStyle name="20% - Accent2 3 4 4 2" xfId="27673"/>
    <cellStyle name="20% - Accent2 3 4 5" xfId="5554"/>
    <cellStyle name="20% - Accent2 3 4 5 2" xfId="28329"/>
    <cellStyle name="20% - Accent2 3 4 6" xfId="6210"/>
    <cellStyle name="20% - Accent2 3 4 6 2" xfId="28985"/>
    <cellStyle name="20% - Accent2 3 4 7" xfId="2930"/>
    <cellStyle name="20% - Accent2 3 4 7 2" xfId="25705"/>
    <cellStyle name="20% - Accent2 3 4 8" xfId="6866"/>
    <cellStyle name="20% - Accent2 3 4 8 2" xfId="29641"/>
    <cellStyle name="20% - Accent2 3 4 9" xfId="7522"/>
    <cellStyle name="20% - Accent2 3 4 9 2" xfId="30297"/>
    <cellStyle name="20% - Accent2 3 5" xfId="307"/>
    <cellStyle name="20% - Accent2 3 5 2" xfId="2602"/>
    <cellStyle name="20% - Accent2 3 5 2 2" xfId="25377"/>
    <cellStyle name="20% - Accent2 3 5 3" xfId="23081"/>
    <cellStyle name="20% - Accent2 3 6" xfId="962"/>
    <cellStyle name="20% - Accent2 3 6 2" xfId="3258"/>
    <cellStyle name="20% - Accent2 3 6 2 2" xfId="26033"/>
    <cellStyle name="20% - Accent2 3 6 3" xfId="23737"/>
    <cellStyle name="20% - Accent2 3 7" xfId="1618"/>
    <cellStyle name="20% - Accent2 3 7 2" xfId="3914"/>
    <cellStyle name="20% - Accent2 3 7 2 2" xfId="26689"/>
    <cellStyle name="20% - Accent2 3 7 3" xfId="24393"/>
    <cellStyle name="20% - Accent2 3 8" xfId="4570"/>
    <cellStyle name="20% - Accent2 3 8 2" xfId="27345"/>
    <cellStyle name="20% - Accent2 3 9" xfId="5226"/>
    <cellStyle name="20% - Accent2 3 9 2" xfId="28001"/>
    <cellStyle name="20% - Accent2 30" xfId="13723"/>
    <cellStyle name="20% - Accent2 30 2" xfId="36498"/>
    <cellStyle name="20% - Accent2 31" xfId="14379"/>
    <cellStyle name="20% - Accent2 31 2" xfId="37154"/>
    <cellStyle name="20% - Accent2 32" xfId="15035"/>
    <cellStyle name="20% - Accent2 32 2" xfId="37810"/>
    <cellStyle name="20% - Accent2 33" xfId="15691"/>
    <cellStyle name="20% - Accent2 33 2" xfId="38466"/>
    <cellStyle name="20% - Accent2 34" xfId="16347"/>
    <cellStyle name="20% - Accent2 34 2" xfId="39122"/>
    <cellStyle name="20% - Accent2 35" xfId="17003"/>
    <cellStyle name="20% - Accent2 35 2" xfId="39778"/>
    <cellStyle name="20% - Accent2 36" xfId="17659"/>
    <cellStyle name="20% - Accent2 36 2" xfId="40434"/>
    <cellStyle name="20% - Accent2 37" xfId="18315"/>
    <cellStyle name="20% - Accent2 37 2" xfId="41090"/>
    <cellStyle name="20% - Accent2 38" xfId="18971"/>
    <cellStyle name="20% - Accent2 38 2" xfId="41746"/>
    <cellStyle name="20% - Accent2 39" xfId="19627"/>
    <cellStyle name="20% - Accent2 39 2" xfId="42402"/>
    <cellStyle name="20% - Accent2 4" xfId="90"/>
    <cellStyle name="20% - Accent2 4 10" xfId="5896"/>
    <cellStyle name="20% - Accent2 4 10 2" xfId="28671"/>
    <cellStyle name="20% - Accent2 4 11" xfId="2288"/>
    <cellStyle name="20% - Accent2 4 11 2" xfId="25063"/>
    <cellStyle name="20% - Accent2 4 12" xfId="6552"/>
    <cellStyle name="20% - Accent2 4 12 2" xfId="29327"/>
    <cellStyle name="20% - Accent2 4 13" xfId="7208"/>
    <cellStyle name="20% - Accent2 4 13 2" xfId="29983"/>
    <cellStyle name="20% - Accent2 4 14" xfId="7864"/>
    <cellStyle name="20% - Accent2 4 14 2" xfId="30639"/>
    <cellStyle name="20% - Accent2 4 15" xfId="8520"/>
    <cellStyle name="20% - Accent2 4 15 2" xfId="31295"/>
    <cellStyle name="20% - Accent2 4 16" xfId="9176"/>
    <cellStyle name="20% - Accent2 4 16 2" xfId="31951"/>
    <cellStyle name="20% - Accent2 4 17" xfId="9832"/>
    <cellStyle name="20% - Accent2 4 17 2" xfId="32607"/>
    <cellStyle name="20% - Accent2 4 18" xfId="10488"/>
    <cellStyle name="20% - Accent2 4 18 2" xfId="33263"/>
    <cellStyle name="20% - Accent2 4 19" xfId="11144"/>
    <cellStyle name="20% - Accent2 4 19 2" xfId="33919"/>
    <cellStyle name="20% - Accent2 4 2" xfId="161"/>
    <cellStyle name="20% - Accent2 4 2 10" xfId="2359"/>
    <cellStyle name="20% - Accent2 4 2 10 2" xfId="25134"/>
    <cellStyle name="20% - Accent2 4 2 11" xfId="6623"/>
    <cellStyle name="20% - Accent2 4 2 11 2" xfId="29398"/>
    <cellStyle name="20% - Accent2 4 2 12" xfId="7279"/>
    <cellStyle name="20% - Accent2 4 2 12 2" xfId="30054"/>
    <cellStyle name="20% - Accent2 4 2 13" xfId="7935"/>
    <cellStyle name="20% - Accent2 4 2 13 2" xfId="30710"/>
    <cellStyle name="20% - Accent2 4 2 14" xfId="8591"/>
    <cellStyle name="20% - Accent2 4 2 14 2" xfId="31366"/>
    <cellStyle name="20% - Accent2 4 2 15" xfId="9247"/>
    <cellStyle name="20% - Accent2 4 2 15 2" xfId="32022"/>
    <cellStyle name="20% - Accent2 4 2 16" xfId="9903"/>
    <cellStyle name="20% - Accent2 4 2 16 2" xfId="32678"/>
    <cellStyle name="20% - Accent2 4 2 17" xfId="10559"/>
    <cellStyle name="20% - Accent2 4 2 17 2" xfId="33334"/>
    <cellStyle name="20% - Accent2 4 2 18" xfId="11215"/>
    <cellStyle name="20% - Accent2 4 2 18 2" xfId="33990"/>
    <cellStyle name="20% - Accent2 4 2 19" xfId="11871"/>
    <cellStyle name="20% - Accent2 4 2 19 2" xfId="34646"/>
    <cellStyle name="20% - Accent2 4 2 2" xfId="575"/>
    <cellStyle name="20% - Accent2 4 2 2 10" xfId="6808"/>
    <cellStyle name="20% - Accent2 4 2 2 10 2" xfId="29583"/>
    <cellStyle name="20% - Accent2 4 2 2 11" xfId="7464"/>
    <cellStyle name="20% - Accent2 4 2 2 11 2" xfId="30239"/>
    <cellStyle name="20% - Accent2 4 2 2 12" xfId="8120"/>
    <cellStyle name="20% - Accent2 4 2 2 12 2" xfId="30895"/>
    <cellStyle name="20% - Accent2 4 2 2 13" xfId="8776"/>
    <cellStyle name="20% - Accent2 4 2 2 13 2" xfId="31551"/>
    <cellStyle name="20% - Accent2 4 2 2 14" xfId="9432"/>
    <cellStyle name="20% - Accent2 4 2 2 14 2" xfId="32207"/>
    <cellStyle name="20% - Accent2 4 2 2 15" xfId="10088"/>
    <cellStyle name="20% - Accent2 4 2 2 15 2" xfId="32863"/>
    <cellStyle name="20% - Accent2 4 2 2 16" xfId="10744"/>
    <cellStyle name="20% - Accent2 4 2 2 16 2" xfId="33519"/>
    <cellStyle name="20% - Accent2 4 2 2 17" xfId="11400"/>
    <cellStyle name="20% - Accent2 4 2 2 17 2" xfId="34175"/>
    <cellStyle name="20% - Accent2 4 2 2 18" xfId="12056"/>
    <cellStyle name="20% - Accent2 4 2 2 18 2" xfId="34831"/>
    <cellStyle name="20% - Accent2 4 2 2 19" xfId="12712"/>
    <cellStyle name="20% - Accent2 4 2 2 19 2" xfId="35487"/>
    <cellStyle name="20% - Accent2 4 2 2 2" xfId="904"/>
    <cellStyle name="20% - Accent2 4 2 2 2 10" xfId="8448"/>
    <cellStyle name="20% - Accent2 4 2 2 2 10 2" xfId="31223"/>
    <cellStyle name="20% - Accent2 4 2 2 2 11" xfId="9104"/>
    <cellStyle name="20% - Accent2 4 2 2 2 11 2" xfId="31879"/>
    <cellStyle name="20% - Accent2 4 2 2 2 12" xfId="9760"/>
    <cellStyle name="20% - Accent2 4 2 2 2 12 2" xfId="32535"/>
    <cellStyle name="20% - Accent2 4 2 2 2 13" xfId="10416"/>
    <cellStyle name="20% - Accent2 4 2 2 2 13 2" xfId="33191"/>
    <cellStyle name="20% - Accent2 4 2 2 2 14" xfId="11072"/>
    <cellStyle name="20% - Accent2 4 2 2 2 14 2" xfId="33847"/>
    <cellStyle name="20% - Accent2 4 2 2 2 15" xfId="11728"/>
    <cellStyle name="20% - Accent2 4 2 2 2 15 2" xfId="34503"/>
    <cellStyle name="20% - Accent2 4 2 2 2 16" xfId="12384"/>
    <cellStyle name="20% - Accent2 4 2 2 2 16 2" xfId="35159"/>
    <cellStyle name="20% - Accent2 4 2 2 2 17" xfId="13040"/>
    <cellStyle name="20% - Accent2 4 2 2 2 17 2" xfId="35815"/>
    <cellStyle name="20% - Accent2 4 2 2 2 18" xfId="13696"/>
    <cellStyle name="20% - Accent2 4 2 2 2 18 2" xfId="36471"/>
    <cellStyle name="20% - Accent2 4 2 2 2 19" xfId="14352"/>
    <cellStyle name="20% - Accent2 4 2 2 2 19 2" xfId="37127"/>
    <cellStyle name="20% - Accent2 4 2 2 2 2" xfId="1560"/>
    <cellStyle name="20% - Accent2 4 2 2 2 2 2" xfId="3856"/>
    <cellStyle name="20% - Accent2 4 2 2 2 2 2 2" xfId="26631"/>
    <cellStyle name="20% - Accent2 4 2 2 2 2 3" xfId="24335"/>
    <cellStyle name="20% - Accent2 4 2 2 2 20" xfId="15008"/>
    <cellStyle name="20% - Accent2 4 2 2 2 20 2" xfId="37783"/>
    <cellStyle name="20% - Accent2 4 2 2 2 21" xfId="15664"/>
    <cellStyle name="20% - Accent2 4 2 2 2 21 2" xfId="38439"/>
    <cellStyle name="20% - Accent2 4 2 2 2 22" xfId="16320"/>
    <cellStyle name="20% - Accent2 4 2 2 2 22 2" xfId="39095"/>
    <cellStyle name="20% - Accent2 4 2 2 2 23" xfId="16976"/>
    <cellStyle name="20% - Accent2 4 2 2 2 23 2" xfId="39751"/>
    <cellStyle name="20% - Accent2 4 2 2 2 24" xfId="17632"/>
    <cellStyle name="20% - Accent2 4 2 2 2 24 2" xfId="40407"/>
    <cellStyle name="20% - Accent2 4 2 2 2 25" xfId="18288"/>
    <cellStyle name="20% - Accent2 4 2 2 2 25 2" xfId="41063"/>
    <cellStyle name="20% - Accent2 4 2 2 2 26" xfId="18944"/>
    <cellStyle name="20% - Accent2 4 2 2 2 26 2" xfId="41719"/>
    <cellStyle name="20% - Accent2 4 2 2 2 27" xfId="19600"/>
    <cellStyle name="20% - Accent2 4 2 2 2 27 2" xfId="42375"/>
    <cellStyle name="20% - Accent2 4 2 2 2 28" xfId="20256"/>
    <cellStyle name="20% - Accent2 4 2 2 2 28 2" xfId="43031"/>
    <cellStyle name="20% - Accent2 4 2 2 2 29" xfId="20912"/>
    <cellStyle name="20% - Accent2 4 2 2 2 29 2" xfId="43687"/>
    <cellStyle name="20% - Accent2 4 2 2 2 3" xfId="2216"/>
    <cellStyle name="20% - Accent2 4 2 2 2 3 2" xfId="4512"/>
    <cellStyle name="20% - Accent2 4 2 2 2 3 2 2" xfId="27287"/>
    <cellStyle name="20% - Accent2 4 2 2 2 3 3" xfId="24991"/>
    <cellStyle name="20% - Accent2 4 2 2 2 30" xfId="21568"/>
    <cellStyle name="20% - Accent2 4 2 2 2 30 2" xfId="44343"/>
    <cellStyle name="20% - Accent2 4 2 2 2 31" xfId="22224"/>
    <cellStyle name="20% - Accent2 4 2 2 2 31 2" xfId="44999"/>
    <cellStyle name="20% - Accent2 4 2 2 2 32" xfId="22880"/>
    <cellStyle name="20% - Accent2 4 2 2 2 32 2" xfId="45655"/>
    <cellStyle name="20% - Accent2 4 2 2 2 33" xfId="23679"/>
    <cellStyle name="20% - Accent2 4 2 2 2 4" xfId="5168"/>
    <cellStyle name="20% - Accent2 4 2 2 2 4 2" xfId="27943"/>
    <cellStyle name="20% - Accent2 4 2 2 2 5" xfId="5824"/>
    <cellStyle name="20% - Accent2 4 2 2 2 5 2" xfId="28599"/>
    <cellStyle name="20% - Accent2 4 2 2 2 6" xfId="6480"/>
    <cellStyle name="20% - Accent2 4 2 2 2 6 2" xfId="29255"/>
    <cellStyle name="20% - Accent2 4 2 2 2 7" xfId="3200"/>
    <cellStyle name="20% - Accent2 4 2 2 2 7 2" xfId="25975"/>
    <cellStyle name="20% - Accent2 4 2 2 2 8" xfId="7136"/>
    <cellStyle name="20% - Accent2 4 2 2 2 8 2" xfId="29911"/>
    <cellStyle name="20% - Accent2 4 2 2 2 9" xfId="7792"/>
    <cellStyle name="20% - Accent2 4 2 2 2 9 2" xfId="30567"/>
    <cellStyle name="20% - Accent2 4 2 2 20" xfId="13368"/>
    <cellStyle name="20% - Accent2 4 2 2 20 2" xfId="36143"/>
    <cellStyle name="20% - Accent2 4 2 2 21" xfId="14024"/>
    <cellStyle name="20% - Accent2 4 2 2 21 2" xfId="36799"/>
    <cellStyle name="20% - Accent2 4 2 2 22" xfId="14680"/>
    <cellStyle name="20% - Accent2 4 2 2 22 2" xfId="37455"/>
    <cellStyle name="20% - Accent2 4 2 2 23" xfId="15336"/>
    <cellStyle name="20% - Accent2 4 2 2 23 2" xfId="38111"/>
    <cellStyle name="20% - Accent2 4 2 2 24" xfId="15992"/>
    <cellStyle name="20% - Accent2 4 2 2 24 2" xfId="38767"/>
    <cellStyle name="20% - Accent2 4 2 2 25" xfId="16648"/>
    <cellStyle name="20% - Accent2 4 2 2 25 2" xfId="39423"/>
    <cellStyle name="20% - Accent2 4 2 2 26" xfId="17304"/>
    <cellStyle name="20% - Accent2 4 2 2 26 2" xfId="40079"/>
    <cellStyle name="20% - Accent2 4 2 2 27" xfId="17960"/>
    <cellStyle name="20% - Accent2 4 2 2 27 2" xfId="40735"/>
    <cellStyle name="20% - Accent2 4 2 2 28" xfId="18616"/>
    <cellStyle name="20% - Accent2 4 2 2 28 2" xfId="41391"/>
    <cellStyle name="20% - Accent2 4 2 2 29" xfId="19272"/>
    <cellStyle name="20% - Accent2 4 2 2 29 2" xfId="42047"/>
    <cellStyle name="20% - Accent2 4 2 2 3" xfId="1232"/>
    <cellStyle name="20% - Accent2 4 2 2 3 2" xfId="2872"/>
    <cellStyle name="20% - Accent2 4 2 2 3 2 2" xfId="25647"/>
    <cellStyle name="20% - Accent2 4 2 2 3 3" xfId="24007"/>
    <cellStyle name="20% - Accent2 4 2 2 30" xfId="19928"/>
    <cellStyle name="20% - Accent2 4 2 2 30 2" xfId="42703"/>
    <cellStyle name="20% - Accent2 4 2 2 31" xfId="20584"/>
    <cellStyle name="20% - Accent2 4 2 2 31 2" xfId="43359"/>
    <cellStyle name="20% - Accent2 4 2 2 32" xfId="21240"/>
    <cellStyle name="20% - Accent2 4 2 2 32 2" xfId="44015"/>
    <cellStyle name="20% - Accent2 4 2 2 33" xfId="21896"/>
    <cellStyle name="20% - Accent2 4 2 2 33 2" xfId="44671"/>
    <cellStyle name="20% - Accent2 4 2 2 34" xfId="22552"/>
    <cellStyle name="20% - Accent2 4 2 2 34 2" xfId="45327"/>
    <cellStyle name="20% - Accent2 4 2 2 35" xfId="23351"/>
    <cellStyle name="20% - Accent2 4 2 2 4" xfId="1888"/>
    <cellStyle name="20% - Accent2 4 2 2 4 2" xfId="3528"/>
    <cellStyle name="20% - Accent2 4 2 2 4 2 2" xfId="26303"/>
    <cellStyle name="20% - Accent2 4 2 2 4 3" xfId="24663"/>
    <cellStyle name="20% - Accent2 4 2 2 5" xfId="4184"/>
    <cellStyle name="20% - Accent2 4 2 2 5 2" xfId="26959"/>
    <cellStyle name="20% - Accent2 4 2 2 6" xfId="4840"/>
    <cellStyle name="20% - Accent2 4 2 2 6 2" xfId="27615"/>
    <cellStyle name="20% - Accent2 4 2 2 7" xfId="5496"/>
    <cellStyle name="20% - Accent2 4 2 2 7 2" xfId="28271"/>
    <cellStyle name="20% - Accent2 4 2 2 8" xfId="6152"/>
    <cellStyle name="20% - Accent2 4 2 2 8 2" xfId="28927"/>
    <cellStyle name="20% - Accent2 4 2 2 9" xfId="2544"/>
    <cellStyle name="20% - Accent2 4 2 2 9 2" xfId="25319"/>
    <cellStyle name="20% - Accent2 4 2 20" xfId="12527"/>
    <cellStyle name="20% - Accent2 4 2 20 2" xfId="35302"/>
    <cellStyle name="20% - Accent2 4 2 21" xfId="13183"/>
    <cellStyle name="20% - Accent2 4 2 21 2" xfId="35958"/>
    <cellStyle name="20% - Accent2 4 2 22" xfId="13839"/>
    <cellStyle name="20% - Accent2 4 2 22 2" xfId="36614"/>
    <cellStyle name="20% - Accent2 4 2 23" xfId="14495"/>
    <cellStyle name="20% - Accent2 4 2 23 2" xfId="37270"/>
    <cellStyle name="20% - Accent2 4 2 24" xfId="15151"/>
    <cellStyle name="20% - Accent2 4 2 24 2" xfId="37926"/>
    <cellStyle name="20% - Accent2 4 2 25" xfId="15807"/>
    <cellStyle name="20% - Accent2 4 2 25 2" xfId="38582"/>
    <cellStyle name="20% - Accent2 4 2 26" xfId="16463"/>
    <cellStyle name="20% - Accent2 4 2 26 2" xfId="39238"/>
    <cellStyle name="20% - Accent2 4 2 27" xfId="17119"/>
    <cellStyle name="20% - Accent2 4 2 27 2" xfId="39894"/>
    <cellStyle name="20% - Accent2 4 2 28" xfId="17775"/>
    <cellStyle name="20% - Accent2 4 2 28 2" xfId="40550"/>
    <cellStyle name="20% - Accent2 4 2 29" xfId="18431"/>
    <cellStyle name="20% - Accent2 4 2 29 2" xfId="41206"/>
    <cellStyle name="20% - Accent2 4 2 3" xfId="719"/>
    <cellStyle name="20% - Accent2 4 2 3 10" xfId="8263"/>
    <cellStyle name="20% - Accent2 4 2 3 10 2" xfId="31038"/>
    <cellStyle name="20% - Accent2 4 2 3 11" xfId="8919"/>
    <cellStyle name="20% - Accent2 4 2 3 11 2" xfId="31694"/>
    <cellStyle name="20% - Accent2 4 2 3 12" xfId="9575"/>
    <cellStyle name="20% - Accent2 4 2 3 12 2" xfId="32350"/>
    <cellStyle name="20% - Accent2 4 2 3 13" xfId="10231"/>
    <cellStyle name="20% - Accent2 4 2 3 13 2" xfId="33006"/>
    <cellStyle name="20% - Accent2 4 2 3 14" xfId="10887"/>
    <cellStyle name="20% - Accent2 4 2 3 14 2" xfId="33662"/>
    <cellStyle name="20% - Accent2 4 2 3 15" xfId="11543"/>
    <cellStyle name="20% - Accent2 4 2 3 15 2" xfId="34318"/>
    <cellStyle name="20% - Accent2 4 2 3 16" xfId="12199"/>
    <cellStyle name="20% - Accent2 4 2 3 16 2" xfId="34974"/>
    <cellStyle name="20% - Accent2 4 2 3 17" xfId="12855"/>
    <cellStyle name="20% - Accent2 4 2 3 17 2" xfId="35630"/>
    <cellStyle name="20% - Accent2 4 2 3 18" xfId="13511"/>
    <cellStyle name="20% - Accent2 4 2 3 18 2" xfId="36286"/>
    <cellStyle name="20% - Accent2 4 2 3 19" xfId="14167"/>
    <cellStyle name="20% - Accent2 4 2 3 19 2" xfId="36942"/>
    <cellStyle name="20% - Accent2 4 2 3 2" xfId="1375"/>
    <cellStyle name="20% - Accent2 4 2 3 2 2" xfId="3671"/>
    <cellStyle name="20% - Accent2 4 2 3 2 2 2" xfId="26446"/>
    <cellStyle name="20% - Accent2 4 2 3 2 3" xfId="24150"/>
    <cellStyle name="20% - Accent2 4 2 3 20" xfId="14823"/>
    <cellStyle name="20% - Accent2 4 2 3 20 2" xfId="37598"/>
    <cellStyle name="20% - Accent2 4 2 3 21" xfId="15479"/>
    <cellStyle name="20% - Accent2 4 2 3 21 2" xfId="38254"/>
    <cellStyle name="20% - Accent2 4 2 3 22" xfId="16135"/>
    <cellStyle name="20% - Accent2 4 2 3 22 2" xfId="38910"/>
    <cellStyle name="20% - Accent2 4 2 3 23" xfId="16791"/>
    <cellStyle name="20% - Accent2 4 2 3 23 2" xfId="39566"/>
    <cellStyle name="20% - Accent2 4 2 3 24" xfId="17447"/>
    <cellStyle name="20% - Accent2 4 2 3 24 2" xfId="40222"/>
    <cellStyle name="20% - Accent2 4 2 3 25" xfId="18103"/>
    <cellStyle name="20% - Accent2 4 2 3 25 2" xfId="40878"/>
    <cellStyle name="20% - Accent2 4 2 3 26" xfId="18759"/>
    <cellStyle name="20% - Accent2 4 2 3 26 2" xfId="41534"/>
    <cellStyle name="20% - Accent2 4 2 3 27" xfId="19415"/>
    <cellStyle name="20% - Accent2 4 2 3 27 2" xfId="42190"/>
    <cellStyle name="20% - Accent2 4 2 3 28" xfId="20071"/>
    <cellStyle name="20% - Accent2 4 2 3 28 2" xfId="42846"/>
    <cellStyle name="20% - Accent2 4 2 3 29" xfId="20727"/>
    <cellStyle name="20% - Accent2 4 2 3 29 2" xfId="43502"/>
    <cellStyle name="20% - Accent2 4 2 3 3" xfId="2031"/>
    <cellStyle name="20% - Accent2 4 2 3 3 2" xfId="4327"/>
    <cellStyle name="20% - Accent2 4 2 3 3 2 2" xfId="27102"/>
    <cellStyle name="20% - Accent2 4 2 3 3 3" xfId="24806"/>
    <cellStyle name="20% - Accent2 4 2 3 30" xfId="21383"/>
    <cellStyle name="20% - Accent2 4 2 3 30 2" xfId="44158"/>
    <cellStyle name="20% - Accent2 4 2 3 31" xfId="22039"/>
    <cellStyle name="20% - Accent2 4 2 3 31 2" xfId="44814"/>
    <cellStyle name="20% - Accent2 4 2 3 32" xfId="22695"/>
    <cellStyle name="20% - Accent2 4 2 3 32 2" xfId="45470"/>
    <cellStyle name="20% - Accent2 4 2 3 33" xfId="23494"/>
    <cellStyle name="20% - Accent2 4 2 3 4" xfId="4983"/>
    <cellStyle name="20% - Accent2 4 2 3 4 2" xfId="27758"/>
    <cellStyle name="20% - Accent2 4 2 3 5" xfId="5639"/>
    <cellStyle name="20% - Accent2 4 2 3 5 2" xfId="28414"/>
    <cellStyle name="20% - Accent2 4 2 3 6" xfId="6295"/>
    <cellStyle name="20% - Accent2 4 2 3 6 2" xfId="29070"/>
    <cellStyle name="20% - Accent2 4 2 3 7" xfId="3015"/>
    <cellStyle name="20% - Accent2 4 2 3 7 2" xfId="25790"/>
    <cellStyle name="20% - Accent2 4 2 3 8" xfId="6951"/>
    <cellStyle name="20% - Accent2 4 2 3 8 2" xfId="29726"/>
    <cellStyle name="20% - Accent2 4 2 3 9" xfId="7607"/>
    <cellStyle name="20% - Accent2 4 2 3 9 2" xfId="30382"/>
    <cellStyle name="20% - Accent2 4 2 30" xfId="19087"/>
    <cellStyle name="20% - Accent2 4 2 30 2" xfId="41862"/>
    <cellStyle name="20% - Accent2 4 2 31" xfId="19743"/>
    <cellStyle name="20% - Accent2 4 2 31 2" xfId="42518"/>
    <cellStyle name="20% - Accent2 4 2 32" xfId="20399"/>
    <cellStyle name="20% - Accent2 4 2 32 2" xfId="43174"/>
    <cellStyle name="20% - Accent2 4 2 33" xfId="21055"/>
    <cellStyle name="20% - Accent2 4 2 33 2" xfId="43830"/>
    <cellStyle name="20% - Accent2 4 2 34" xfId="21711"/>
    <cellStyle name="20% - Accent2 4 2 34 2" xfId="44486"/>
    <cellStyle name="20% - Accent2 4 2 35" xfId="22367"/>
    <cellStyle name="20% - Accent2 4 2 35 2" xfId="45142"/>
    <cellStyle name="20% - Accent2 4 2 36" xfId="23023"/>
    <cellStyle name="20% - Accent2 4 2 4" xfId="392"/>
    <cellStyle name="20% - Accent2 4 2 4 2" xfId="2687"/>
    <cellStyle name="20% - Accent2 4 2 4 2 2" xfId="25462"/>
    <cellStyle name="20% - Accent2 4 2 4 3" xfId="23166"/>
    <cellStyle name="20% - Accent2 4 2 5" xfId="1047"/>
    <cellStyle name="20% - Accent2 4 2 5 2" xfId="3343"/>
    <cellStyle name="20% - Accent2 4 2 5 2 2" xfId="26118"/>
    <cellStyle name="20% - Accent2 4 2 5 3" xfId="23822"/>
    <cellStyle name="20% - Accent2 4 2 6" xfId="1703"/>
    <cellStyle name="20% - Accent2 4 2 6 2" xfId="3999"/>
    <cellStyle name="20% - Accent2 4 2 6 2 2" xfId="26774"/>
    <cellStyle name="20% - Accent2 4 2 6 3" xfId="24478"/>
    <cellStyle name="20% - Accent2 4 2 7" xfId="4655"/>
    <cellStyle name="20% - Accent2 4 2 7 2" xfId="27430"/>
    <cellStyle name="20% - Accent2 4 2 8" xfId="5311"/>
    <cellStyle name="20% - Accent2 4 2 8 2" xfId="28086"/>
    <cellStyle name="20% - Accent2 4 2 9" xfId="5967"/>
    <cellStyle name="20% - Accent2 4 2 9 2" xfId="28742"/>
    <cellStyle name="20% - Accent2 4 20" xfId="11800"/>
    <cellStyle name="20% - Accent2 4 20 2" xfId="34575"/>
    <cellStyle name="20% - Accent2 4 21" xfId="12456"/>
    <cellStyle name="20% - Accent2 4 21 2" xfId="35231"/>
    <cellStyle name="20% - Accent2 4 22" xfId="13112"/>
    <cellStyle name="20% - Accent2 4 22 2" xfId="35887"/>
    <cellStyle name="20% - Accent2 4 23" xfId="13768"/>
    <cellStyle name="20% - Accent2 4 23 2" xfId="36543"/>
    <cellStyle name="20% - Accent2 4 24" xfId="14424"/>
    <cellStyle name="20% - Accent2 4 24 2" xfId="37199"/>
    <cellStyle name="20% - Accent2 4 25" xfId="15080"/>
    <cellStyle name="20% - Accent2 4 25 2" xfId="37855"/>
    <cellStyle name="20% - Accent2 4 26" xfId="15736"/>
    <cellStyle name="20% - Accent2 4 26 2" xfId="38511"/>
    <cellStyle name="20% - Accent2 4 27" xfId="16392"/>
    <cellStyle name="20% - Accent2 4 27 2" xfId="39167"/>
    <cellStyle name="20% - Accent2 4 28" xfId="17048"/>
    <cellStyle name="20% - Accent2 4 28 2" xfId="39823"/>
    <cellStyle name="20% - Accent2 4 29" xfId="17704"/>
    <cellStyle name="20% - Accent2 4 29 2" xfId="40479"/>
    <cellStyle name="20% - Accent2 4 3" xfId="505"/>
    <cellStyle name="20% - Accent2 4 3 10" xfId="6737"/>
    <cellStyle name="20% - Accent2 4 3 10 2" xfId="29512"/>
    <cellStyle name="20% - Accent2 4 3 11" xfId="7393"/>
    <cellStyle name="20% - Accent2 4 3 11 2" xfId="30168"/>
    <cellStyle name="20% - Accent2 4 3 12" xfId="8049"/>
    <cellStyle name="20% - Accent2 4 3 12 2" xfId="30824"/>
    <cellStyle name="20% - Accent2 4 3 13" xfId="8705"/>
    <cellStyle name="20% - Accent2 4 3 13 2" xfId="31480"/>
    <cellStyle name="20% - Accent2 4 3 14" xfId="9361"/>
    <cellStyle name="20% - Accent2 4 3 14 2" xfId="32136"/>
    <cellStyle name="20% - Accent2 4 3 15" xfId="10017"/>
    <cellStyle name="20% - Accent2 4 3 15 2" xfId="32792"/>
    <cellStyle name="20% - Accent2 4 3 16" xfId="10673"/>
    <cellStyle name="20% - Accent2 4 3 16 2" xfId="33448"/>
    <cellStyle name="20% - Accent2 4 3 17" xfId="11329"/>
    <cellStyle name="20% - Accent2 4 3 17 2" xfId="34104"/>
    <cellStyle name="20% - Accent2 4 3 18" xfId="11985"/>
    <cellStyle name="20% - Accent2 4 3 18 2" xfId="34760"/>
    <cellStyle name="20% - Accent2 4 3 19" xfId="12641"/>
    <cellStyle name="20% - Accent2 4 3 19 2" xfId="35416"/>
    <cellStyle name="20% - Accent2 4 3 2" xfId="833"/>
    <cellStyle name="20% - Accent2 4 3 2 10" xfId="8377"/>
    <cellStyle name="20% - Accent2 4 3 2 10 2" xfId="31152"/>
    <cellStyle name="20% - Accent2 4 3 2 11" xfId="9033"/>
    <cellStyle name="20% - Accent2 4 3 2 11 2" xfId="31808"/>
    <cellStyle name="20% - Accent2 4 3 2 12" xfId="9689"/>
    <cellStyle name="20% - Accent2 4 3 2 12 2" xfId="32464"/>
    <cellStyle name="20% - Accent2 4 3 2 13" xfId="10345"/>
    <cellStyle name="20% - Accent2 4 3 2 13 2" xfId="33120"/>
    <cellStyle name="20% - Accent2 4 3 2 14" xfId="11001"/>
    <cellStyle name="20% - Accent2 4 3 2 14 2" xfId="33776"/>
    <cellStyle name="20% - Accent2 4 3 2 15" xfId="11657"/>
    <cellStyle name="20% - Accent2 4 3 2 15 2" xfId="34432"/>
    <cellStyle name="20% - Accent2 4 3 2 16" xfId="12313"/>
    <cellStyle name="20% - Accent2 4 3 2 16 2" xfId="35088"/>
    <cellStyle name="20% - Accent2 4 3 2 17" xfId="12969"/>
    <cellStyle name="20% - Accent2 4 3 2 17 2" xfId="35744"/>
    <cellStyle name="20% - Accent2 4 3 2 18" xfId="13625"/>
    <cellStyle name="20% - Accent2 4 3 2 18 2" xfId="36400"/>
    <cellStyle name="20% - Accent2 4 3 2 19" xfId="14281"/>
    <cellStyle name="20% - Accent2 4 3 2 19 2" xfId="37056"/>
    <cellStyle name="20% - Accent2 4 3 2 2" xfId="1489"/>
    <cellStyle name="20% - Accent2 4 3 2 2 2" xfId="3785"/>
    <cellStyle name="20% - Accent2 4 3 2 2 2 2" xfId="26560"/>
    <cellStyle name="20% - Accent2 4 3 2 2 3" xfId="24264"/>
    <cellStyle name="20% - Accent2 4 3 2 20" xfId="14937"/>
    <cellStyle name="20% - Accent2 4 3 2 20 2" xfId="37712"/>
    <cellStyle name="20% - Accent2 4 3 2 21" xfId="15593"/>
    <cellStyle name="20% - Accent2 4 3 2 21 2" xfId="38368"/>
    <cellStyle name="20% - Accent2 4 3 2 22" xfId="16249"/>
    <cellStyle name="20% - Accent2 4 3 2 22 2" xfId="39024"/>
    <cellStyle name="20% - Accent2 4 3 2 23" xfId="16905"/>
    <cellStyle name="20% - Accent2 4 3 2 23 2" xfId="39680"/>
    <cellStyle name="20% - Accent2 4 3 2 24" xfId="17561"/>
    <cellStyle name="20% - Accent2 4 3 2 24 2" xfId="40336"/>
    <cellStyle name="20% - Accent2 4 3 2 25" xfId="18217"/>
    <cellStyle name="20% - Accent2 4 3 2 25 2" xfId="40992"/>
    <cellStyle name="20% - Accent2 4 3 2 26" xfId="18873"/>
    <cellStyle name="20% - Accent2 4 3 2 26 2" xfId="41648"/>
    <cellStyle name="20% - Accent2 4 3 2 27" xfId="19529"/>
    <cellStyle name="20% - Accent2 4 3 2 27 2" xfId="42304"/>
    <cellStyle name="20% - Accent2 4 3 2 28" xfId="20185"/>
    <cellStyle name="20% - Accent2 4 3 2 28 2" xfId="42960"/>
    <cellStyle name="20% - Accent2 4 3 2 29" xfId="20841"/>
    <cellStyle name="20% - Accent2 4 3 2 29 2" xfId="43616"/>
    <cellStyle name="20% - Accent2 4 3 2 3" xfId="2145"/>
    <cellStyle name="20% - Accent2 4 3 2 3 2" xfId="4441"/>
    <cellStyle name="20% - Accent2 4 3 2 3 2 2" xfId="27216"/>
    <cellStyle name="20% - Accent2 4 3 2 3 3" xfId="24920"/>
    <cellStyle name="20% - Accent2 4 3 2 30" xfId="21497"/>
    <cellStyle name="20% - Accent2 4 3 2 30 2" xfId="44272"/>
    <cellStyle name="20% - Accent2 4 3 2 31" xfId="22153"/>
    <cellStyle name="20% - Accent2 4 3 2 31 2" xfId="44928"/>
    <cellStyle name="20% - Accent2 4 3 2 32" xfId="22809"/>
    <cellStyle name="20% - Accent2 4 3 2 32 2" xfId="45584"/>
    <cellStyle name="20% - Accent2 4 3 2 33" xfId="23608"/>
    <cellStyle name="20% - Accent2 4 3 2 4" xfId="5097"/>
    <cellStyle name="20% - Accent2 4 3 2 4 2" xfId="27872"/>
    <cellStyle name="20% - Accent2 4 3 2 5" xfId="5753"/>
    <cellStyle name="20% - Accent2 4 3 2 5 2" xfId="28528"/>
    <cellStyle name="20% - Accent2 4 3 2 6" xfId="6409"/>
    <cellStyle name="20% - Accent2 4 3 2 6 2" xfId="29184"/>
    <cellStyle name="20% - Accent2 4 3 2 7" xfId="3129"/>
    <cellStyle name="20% - Accent2 4 3 2 7 2" xfId="25904"/>
    <cellStyle name="20% - Accent2 4 3 2 8" xfId="7065"/>
    <cellStyle name="20% - Accent2 4 3 2 8 2" xfId="29840"/>
    <cellStyle name="20% - Accent2 4 3 2 9" xfId="7721"/>
    <cellStyle name="20% - Accent2 4 3 2 9 2" xfId="30496"/>
    <cellStyle name="20% - Accent2 4 3 20" xfId="13297"/>
    <cellStyle name="20% - Accent2 4 3 20 2" xfId="36072"/>
    <cellStyle name="20% - Accent2 4 3 21" xfId="13953"/>
    <cellStyle name="20% - Accent2 4 3 21 2" xfId="36728"/>
    <cellStyle name="20% - Accent2 4 3 22" xfId="14609"/>
    <cellStyle name="20% - Accent2 4 3 22 2" xfId="37384"/>
    <cellStyle name="20% - Accent2 4 3 23" xfId="15265"/>
    <cellStyle name="20% - Accent2 4 3 23 2" xfId="38040"/>
    <cellStyle name="20% - Accent2 4 3 24" xfId="15921"/>
    <cellStyle name="20% - Accent2 4 3 24 2" xfId="38696"/>
    <cellStyle name="20% - Accent2 4 3 25" xfId="16577"/>
    <cellStyle name="20% - Accent2 4 3 25 2" xfId="39352"/>
    <cellStyle name="20% - Accent2 4 3 26" xfId="17233"/>
    <cellStyle name="20% - Accent2 4 3 26 2" xfId="40008"/>
    <cellStyle name="20% - Accent2 4 3 27" xfId="17889"/>
    <cellStyle name="20% - Accent2 4 3 27 2" xfId="40664"/>
    <cellStyle name="20% - Accent2 4 3 28" xfId="18545"/>
    <cellStyle name="20% - Accent2 4 3 28 2" xfId="41320"/>
    <cellStyle name="20% - Accent2 4 3 29" xfId="19201"/>
    <cellStyle name="20% - Accent2 4 3 29 2" xfId="41976"/>
    <cellStyle name="20% - Accent2 4 3 3" xfId="1161"/>
    <cellStyle name="20% - Accent2 4 3 3 2" xfId="2801"/>
    <cellStyle name="20% - Accent2 4 3 3 2 2" xfId="25576"/>
    <cellStyle name="20% - Accent2 4 3 3 3" xfId="23936"/>
    <cellStyle name="20% - Accent2 4 3 30" xfId="19857"/>
    <cellStyle name="20% - Accent2 4 3 30 2" xfId="42632"/>
    <cellStyle name="20% - Accent2 4 3 31" xfId="20513"/>
    <cellStyle name="20% - Accent2 4 3 31 2" xfId="43288"/>
    <cellStyle name="20% - Accent2 4 3 32" xfId="21169"/>
    <cellStyle name="20% - Accent2 4 3 32 2" xfId="43944"/>
    <cellStyle name="20% - Accent2 4 3 33" xfId="21825"/>
    <cellStyle name="20% - Accent2 4 3 33 2" xfId="44600"/>
    <cellStyle name="20% - Accent2 4 3 34" xfId="22481"/>
    <cellStyle name="20% - Accent2 4 3 34 2" xfId="45256"/>
    <cellStyle name="20% - Accent2 4 3 35" xfId="23280"/>
    <cellStyle name="20% - Accent2 4 3 4" xfId="1817"/>
    <cellStyle name="20% - Accent2 4 3 4 2" xfId="3457"/>
    <cellStyle name="20% - Accent2 4 3 4 2 2" xfId="26232"/>
    <cellStyle name="20% - Accent2 4 3 4 3" xfId="24592"/>
    <cellStyle name="20% - Accent2 4 3 5" xfId="4113"/>
    <cellStyle name="20% - Accent2 4 3 5 2" xfId="26888"/>
    <cellStyle name="20% - Accent2 4 3 6" xfId="4769"/>
    <cellStyle name="20% - Accent2 4 3 6 2" xfId="27544"/>
    <cellStyle name="20% - Accent2 4 3 7" xfId="5425"/>
    <cellStyle name="20% - Accent2 4 3 7 2" xfId="28200"/>
    <cellStyle name="20% - Accent2 4 3 8" xfId="6081"/>
    <cellStyle name="20% - Accent2 4 3 8 2" xfId="28856"/>
    <cellStyle name="20% - Accent2 4 3 9" xfId="2473"/>
    <cellStyle name="20% - Accent2 4 3 9 2" xfId="25248"/>
    <cellStyle name="20% - Accent2 4 30" xfId="18360"/>
    <cellStyle name="20% - Accent2 4 30 2" xfId="41135"/>
    <cellStyle name="20% - Accent2 4 31" xfId="19016"/>
    <cellStyle name="20% - Accent2 4 31 2" xfId="41791"/>
    <cellStyle name="20% - Accent2 4 32" xfId="19672"/>
    <cellStyle name="20% - Accent2 4 32 2" xfId="42447"/>
    <cellStyle name="20% - Accent2 4 33" xfId="20328"/>
    <cellStyle name="20% - Accent2 4 33 2" xfId="43103"/>
    <cellStyle name="20% - Accent2 4 34" xfId="20984"/>
    <cellStyle name="20% - Accent2 4 34 2" xfId="43759"/>
    <cellStyle name="20% - Accent2 4 35" xfId="21640"/>
    <cellStyle name="20% - Accent2 4 35 2" xfId="44415"/>
    <cellStyle name="20% - Accent2 4 36" xfId="22296"/>
    <cellStyle name="20% - Accent2 4 36 2" xfId="45071"/>
    <cellStyle name="20% - Accent2 4 37" xfId="235"/>
    <cellStyle name="20% - Accent2 4 38" xfId="22952"/>
    <cellStyle name="20% - Accent2 4 4" xfId="648"/>
    <cellStyle name="20% - Accent2 4 4 10" xfId="8192"/>
    <cellStyle name="20% - Accent2 4 4 10 2" xfId="30967"/>
    <cellStyle name="20% - Accent2 4 4 11" xfId="8848"/>
    <cellStyle name="20% - Accent2 4 4 11 2" xfId="31623"/>
    <cellStyle name="20% - Accent2 4 4 12" xfId="9504"/>
    <cellStyle name="20% - Accent2 4 4 12 2" xfId="32279"/>
    <cellStyle name="20% - Accent2 4 4 13" xfId="10160"/>
    <cellStyle name="20% - Accent2 4 4 13 2" xfId="32935"/>
    <cellStyle name="20% - Accent2 4 4 14" xfId="10816"/>
    <cellStyle name="20% - Accent2 4 4 14 2" xfId="33591"/>
    <cellStyle name="20% - Accent2 4 4 15" xfId="11472"/>
    <cellStyle name="20% - Accent2 4 4 15 2" xfId="34247"/>
    <cellStyle name="20% - Accent2 4 4 16" xfId="12128"/>
    <cellStyle name="20% - Accent2 4 4 16 2" xfId="34903"/>
    <cellStyle name="20% - Accent2 4 4 17" xfId="12784"/>
    <cellStyle name="20% - Accent2 4 4 17 2" xfId="35559"/>
    <cellStyle name="20% - Accent2 4 4 18" xfId="13440"/>
    <cellStyle name="20% - Accent2 4 4 18 2" xfId="36215"/>
    <cellStyle name="20% - Accent2 4 4 19" xfId="14096"/>
    <cellStyle name="20% - Accent2 4 4 19 2" xfId="36871"/>
    <cellStyle name="20% - Accent2 4 4 2" xfId="1304"/>
    <cellStyle name="20% - Accent2 4 4 2 2" xfId="3600"/>
    <cellStyle name="20% - Accent2 4 4 2 2 2" xfId="26375"/>
    <cellStyle name="20% - Accent2 4 4 2 3" xfId="24079"/>
    <cellStyle name="20% - Accent2 4 4 20" xfId="14752"/>
    <cellStyle name="20% - Accent2 4 4 20 2" xfId="37527"/>
    <cellStyle name="20% - Accent2 4 4 21" xfId="15408"/>
    <cellStyle name="20% - Accent2 4 4 21 2" xfId="38183"/>
    <cellStyle name="20% - Accent2 4 4 22" xfId="16064"/>
    <cellStyle name="20% - Accent2 4 4 22 2" xfId="38839"/>
    <cellStyle name="20% - Accent2 4 4 23" xfId="16720"/>
    <cellStyle name="20% - Accent2 4 4 23 2" xfId="39495"/>
    <cellStyle name="20% - Accent2 4 4 24" xfId="17376"/>
    <cellStyle name="20% - Accent2 4 4 24 2" xfId="40151"/>
    <cellStyle name="20% - Accent2 4 4 25" xfId="18032"/>
    <cellStyle name="20% - Accent2 4 4 25 2" xfId="40807"/>
    <cellStyle name="20% - Accent2 4 4 26" xfId="18688"/>
    <cellStyle name="20% - Accent2 4 4 26 2" xfId="41463"/>
    <cellStyle name="20% - Accent2 4 4 27" xfId="19344"/>
    <cellStyle name="20% - Accent2 4 4 27 2" xfId="42119"/>
    <cellStyle name="20% - Accent2 4 4 28" xfId="20000"/>
    <cellStyle name="20% - Accent2 4 4 28 2" xfId="42775"/>
    <cellStyle name="20% - Accent2 4 4 29" xfId="20656"/>
    <cellStyle name="20% - Accent2 4 4 29 2" xfId="43431"/>
    <cellStyle name="20% - Accent2 4 4 3" xfId="1960"/>
    <cellStyle name="20% - Accent2 4 4 3 2" xfId="4256"/>
    <cellStyle name="20% - Accent2 4 4 3 2 2" xfId="27031"/>
    <cellStyle name="20% - Accent2 4 4 3 3" xfId="24735"/>
    <cellStyle name="20% - Accent2 4 4 30" xfId="21312"/>
    <cellStyle name="20% - Accent2 4 4 30 2" xfId="44087"/>
    <cellStyle name="20% - Accent2 4 4 31" xfId="21968"/>
    <cellStyle name="20% - Accent2 4 4 31 2" xfId="44743"/>
    <cellStyle name="20% - Accent2 4 4 32" xfId="22624"/>
    <cellStyle name="20% - Accent2 4 4 32 2" xfId="45399"/>
    <cellStyle name="20% - Accent2 4 4 33" xfId="23423"/>
    <cellStyle name="20% - Accent2 4 4 4" xfId="4912"/>
    <cellStyle name="20% - Accent2 4 4 4 2" xfId="27687"/>
    <cellStyle name="20% - Accent2 4 4 5" xfId="5568"/>
    <cellStyle name="20% - Accent2 4 4 5 2" xfId="28343"/>
    <cellStyle name="20% - Accent2 4 4 6" xfId="6224"/>
    <cellStyle name="20% - Accent2 4 4 6 2" xfId="28999"/>
    <cellStyle name="20% - Accent2 4 4 7" xfId="2944"/>
    <cellStyle name="20% - Accent2 4 4 7 2" xfId="25719"/>
    <cellStyle name="20% - Accent2 4 4 8" xfId="6880"/>
    <cellStyle name="20% - Accent2 4 4 8 2" xfId="29655"/>
    <cellStyle name="20% - Accent2 4 4 9" xfId="7536"/>
    <cellStyle name="20% - Accent2 4 4 9 2" xfId="30311"/>
    <cellStyle name="20% - Accent2 4 5" xfId="321"/>
    <cellStyle name="20% - Accent2 4 5 2" xfId="2616"/>
    <cellStyle name="20% - Accent2 4 5 2 2" xfId="25391"/>
    <cellStyle name="20% - Accent2 4 5 3" xfId="23095"/>
    <cellStyle name="20% - Accent2 4 6" xfId="976"/>
    <cellStyle name="20% - Accent2 4 6 2" xfId="3272"/>
    <cellStyle name="20% - Accent2 4 6 2 2" xfId="26047"/>
    <cellStyle name="20% - Accent2 4 6 3" xfId="23751"/>
    <cellStyle name="20% - Accent2 4 7" xfId="1632"/>
    <cellStyle name="20% - Accent2 4 7 2" xfId="3928"/>
    <cellStyle name="20% - Accent2 4 7 2 2" xfId="26703"/>
    <cellStyle name="20% - Accent2 4 7 3" xfId="24407"/>
    <cellStyle name="20% - Accent2 4 8" xfId="4584"/>
    <cellStyle name="20% - Accent2 4 8 2" xfId="27359"/>
    <cellStyle name="20% - Accent2 4 9" xfId="5240"/>
    <cellStyle name="20% - Accent2 4 9 2" xfId="28015"/>
    <cellStyle name="20% - Accent2 40" xfId="20283"/>
    <cellStyle name="20% - Accent2 40 2" xfId="43058"/>
    <cellStyle name="20% - Accent2 41" xfId="20939"/>
    <cellStyle name="20% - Accent2 41 2" xfId="43714"/>
    <cellStyle name="20% - Accent2 42" xfId="21595"/>
    <cellStyle name="20% - Accent2 42 2" xfId="44370"/>
    <cellStyle name="20% - Accent2 43" xfId="22251"/>
    <cellStyle name="20% - Accent2 43 2" xfId="45026"/>
    <cellStyle name="20% - Accent2 44" xfId="190"/>
    <cellStyle name="20% - Accent2 45" xfId="22907"/>
    <cellStyle name="20% - Accent2 5" xfId="104"/>
    <cellStyle name="20% - Accent2 5 10" xfId="5910"/>
    <cellStyle name="20% - Accent2 5 10 2" xfId="28685"/>
    <cellStyle name="20% - Accent2 5 11" xfId="2302"/>
    <cellStyle name="20% - Accent2 5 11 2" xfId="25077"/>
    <cellStyle name="20% - Accent2 5 12" xfId="6566"/>
    <cellStyle name="20% - Accent2 5 12 2" xfId="29341"/>
    <cellStyle name="20% - Accent2 5 13" xfId="7222"/>
    <cellStyle name="20% - Accent2 5 13 2" xfId="29997"/>
    <cellStyle name="20% - Accent2 5 14" xfId="7878"/>
    <cellStyle name="20% - Accent2 5 14 2" xfId="30653"/>
    <cellStyle name="20% - Accent2 5 15" xfId="8534"/>
    <cellStyle name="20% - Accent2 5 15 2" xfId="31309"/>
    <cellStyle name="20% - Accent2 5 16" xfId="9190"/>
    <cellStyle name="20% - Accent2 5 16 2" xfId="31965"/>
    <cellStyle name="20% - Accent2 5 17" xfId="9846"/>
    <cellStyle name="20% - Accent2 5 17 2" xfId="32621"/>
    <cellStyle name="20% - Accent2 5 18" xfId="10502"/>
    <cellStyle name="20% - Accent2 5 18 2" xfId="33277"/>
    <cellStyle name="20% - Accent2 5 19" xfId="11158"/>
    <cellStyle name="20% - Accent2 5 19 2" xfId="33933"/>
    <cellStyle name="20% - Accent2 5 2" xfId="175"/>
    <cellStyle name="20% - Accent2 5 2 10" xfId="2373"/>
    <cellStyle name="20% - Accent2 5 2 10 2" xfId="25148"/>
    <cellStyle name="20% - Accent2 5 2 11" xfId="6637"/>
    <cellStyle name="20% - Accent2 5 2 11 2" xfId="29412"/>
    <cellStyle name="20% - Accent2 5 2 12" xfId="7293"/>
    <cellStyle name="20% - Accent2 5 2 12 2" xfId="30068"/>
    <cellStyle name="20% - Accent2 5 2 13" xfId="7949"/>
    <cellStyle name="20% - Accent2 5 2 13 2" xfId="30724"/>
    <cellStyle name="20% - Accent2 5 2 14" xfId="8605"/>
    <cellStyle name="20% - Accent2 5 2 14 2" xfId="31380"/>
    <cellStyle name="20% - Accent2 5 2 15" xfId="9261"/>
    <cellStyle name="20% - Accent2 5 2 15 2" xfId="32036"/>
    <cellStyle name="20% - Accent2 5 2 16" xfId="9917"/>
    <cellStyle name="20% - Accent2 5 2 16 2" xfId="32692"/>
    <cellStyle name="20% - Accent2 5 2 17" xfId="10573"/>
    <cellStyle name="20% - Accent2 5 2 17 2" xfId="33348"/>
    <cellStyle name="20% - Accent2 5 2 18" xfId="11229"/>
    <cellStyle name="20% - Accent2 5 2 18 2" xfId="34004"/>
    <cellStyle name="20% - Accent2 5 2 19" xfId="11885"/>
    <cellStyle name="20% - Accent2 5 2 19 2" xfId="34660"/>
    <cellStyle name="20% - Accent2 5 2 2" xfId="589"/>
    <cellStyle name="20% - Accent2 5 2 2 10" xfId="6822"/>
    <cellStyle name="20% - Accent2 5 2 2 10 2" xfId="29597"/>
    <cellStyle name="20% - Accent2 5 2 2 11" xfId="7478"/>
    <cellStyle name="20% - Accent2 5 2 2 11 2" xfId="30253"/>
    <cellStyle name="20% - Accent2 5 2 2 12" xfId="8134"/>
    <cellStyle name="20% - Accent2 5 2 2 12 2" xfId="30909"/>
    <cellStyle name="20% - Accent2 5 2 2 13" xfId="8790"/>
    <cellStyle name="20% - Accent2 5 2 2 13 2" xfId="31565"/>
    <cellStyle name="20% - Accent2 5 2 2 14" xfId="9446"/>
    <cellStyle name="20% - Accent2 5 2 2 14 2" xfId="32221"/>
    <cellStyle name="20% - Accent2 5 2 2 15" xfId="10102"/>
    <cellStyle name="20% - Accent2 5 2 2 15 2" xfId="32877"/>
    <cellStyle name="20% - Accent2 5 2 2 16" xfId="10758"/>
    <cellStyle name="20% - Accent2 5 2 2 16 2" xfId="33533"/>
    <cellStyle name="20% - Accent2 5 2 2 17" xfId="11414"/>
    <cellStyle name="20% - Accent2 5 2 2 17 2" xfId="34189"/>
    <cellStyle name="20% - Accent2 5 2 2 18" xfId="12070"/>
    <cellStyle name="20% - Accent2 5 2 2 18 2" xfId="34845"/>
    <cellStyle name="20% - Accent2 5 2 2 19" xfId="12726"/>
    <cellStyle name="20% - Accent2 5 2 2 19 2" xfId="35501"/>
    <cellStyle name="20% - Accent2 5 2 2 2" xfId="918"/>
    <cellStyle name="20% - Accent2 5 2 2 2 10" xfId="8462"/>
    <cellStyle name="20% - Accent2 5 2 2 2 10 2" xfId="31237"/>
    <cellStyle name="20% - Accent2 5 2 2 2 11" xfId="9118"/>
    <cellStyle name="20% - Accent2 5 2 2 2 11 2" xfId="31893"/>
    <cellStyle name="20% - Accent2 5 2 2 2 12" xfId="9774"/>
    <cellStyle name="20% - Accent2 5 2 2 2 12 2" xfId="32549"/>
    <cellStyle name="20% - Accent2 5 2 2 2 13" xfId="10430"/>
    <cellStyle name="20% - Accent2 5 2 2 2 13 2" xfId="33205"/>
    <cellStyle name="20% - Accent2 5 2 2 2 14" xfId="11086"/>
    <cellStyle name="20% - Accent2 5 2 2 2 14 2" xfId="33861"/>
    <cellStyle name="20% - Accent2 5 2 2 2 15" xfId="11742"/>
    <cellStyle name="20% - Accent2 5 2 2 2 15 2" xfId="34517"/>
    <cellStyle name="20% - Accent2 5 2 2 2 16" xfId="12398"/>
    <cellStyle name="20% - Accent2 5 2 2 2 16 2" xfId="35173"/>
    <cellStyle name="20% - Accent2 5 2 2 2 17" xfId="13054"/>
    <cellStyle name="20% - Accent2 5 2 2 2 17 2" xfId="35829"/>
    <cellStyle name="20% - Accent2 5 2 2 2 18" xfId="13710"/>
    <cellStyle name="20% - Accent2 5 2 2 2 18 2" xfId="36485"/>
    <cellStyle name="20% - Accent2 5 2 2 2 19" xfId="14366"/>
    <cellStyle name="20% - Accent2 5 2 2 2 19 2" xfId="37141"/>
    <cellStyle name="20% - Accent2 5 2 2 2 2" xfId="1574"/>
    <cellStyle name="20% - Accent2 5 2 2 2 2 2" xfId="3870"/>
    <cellStyle name="20% - Accent2 5 2 2 2 2 2 2" xfId="26645"/>
    <cellStyle name="20% - Accent2 5 2 2 2 2 3" xfId="24349"/>
    <cellStyle name="20% - Accent2 5 2 2 2 20" xfId="15022"/>
    <cellStyle name="20% - Accent2 5 2 2 2 20 2" xfId="37797"/>
    <cellStyle name="20% - Accent2 5 2 2 2 21" xfId="15678"/>
    <cellStyle name="20% - Accent2 5 2 2 2 21 2" xfId="38453"/>
    <cellStyle name="20% - Accent2 5 2 2 2 22" xfId="16334"/>
    <cellStyle name="20% - Accent2 5 2 2 2 22 2" xfId="39109"/>
    <cellStyle name="20% - Accent2 5 2 2 2 23" xfId="16990"/>
    <cellStyle name="20% - Accent2 5 2 2 2 23 2" xfId="39765"/>
    <cellStyle name="20% - Accent2 5 2 2 2 24" xfId="17646"/>
    <cellStyle name="20% - Accent2 5 2 2 2 24 2" xfId="40421"/>
    <cellStyle name="20% - Accent2 5 2 2 2 25" xfId="18302"/>
    <cellStyle name="20% - Accent2 5 2 2 2 25 2" xfId="41077"/>
    <cellStyle name="20% - Accent2 5 2 2 2 26" xfId="18958"/>
    <cellStyle name="20% - Accent2 5 2 2 2 26 2" xfId="41733"/>
    <cellStyle name="20% - Accent2 5 2 2 2 27" xfId="19614"/>
    <cellStyle name="20% - Accent2 5 2 2 2 27 2" xfId="42389"/>
    <cellStyle name="20% - Accent2 5 2 2 2 28" xfId="20270"/>
    <cellStyle name="20% - Accent2 5 2 2 2 28 2" xfId="43045"/>
    <cellStyle name="20% - Accent2 5 2 2 2 29" xfId="20926"/>
    <cellStyle name="20% - Accent2 5 2 2 2 29 2" xfId="43701"/>
    <cellStyle name="20% - Accent2 5 2 2 2 3" xfId="2230"/>
    <cellStyle name="20% - Accent2 5 2 2 2 3 2" xfId="4526"/>
    <cellStyle name="20% - Accent2 5 2 2 2 3 2 2" xfId="27301"/>
    <cellStyle name="20% - Accent2 5 2 2 2 3 3" xfId="25005"/>
    <cellStyle name="20% - Accent2 5 2 2 2 30" xfId="21582"/>
    <cellStyle name="20% - Accent2 5 2 2 2 30 2" xfId="44357"/>
    <cellStyle name="20% - Accent2 5 2 2 2 31" xfId="22238"/>
    <cellStyle name="20% - Accent2 5 2 2 2 31 2" xfId="45013"/>
    <cellStyle name="20% - Accent2 5 2 2 2 32" xfId="22894"/>
    <cellStyle name="20% - Accent2 5 2 2 2 32 2" xfId="45669"/>
    <cellStyle name="20% - Accent2 5 2 2 2 33" xfId="23693"/>
    <cellStyle name="20% - Accent2 5 2 2 2 4" xfId="5182"/>
    <cellStyle name="20% - Accent2 5 2 2 2 4 2" xfId="27957"/>
    <cellStyle name="20% - Accent2 5 2 2 2 5" xfId="5838"/>
    <cellStyle name="20% - Accent2 5 2 2 2 5 2" xfId="28613"/>
    <cellStyle name="20% - Accent2 5 2 2 2 6" xfId="6494"/>
    <cellStyle name="20% - Accent2 5 2 2 2 6 2" xfId="29269"/>
    <cellStyle name="20% - Accent2 5 2 2 2 7" xfId="3214"/>
    <cellStyle name="20% - Accent2 5 2 2 2 7 2" xfId="25989"/>
    <cellStyle name="20% - Accent2 5 2 2 2 8" xfId="7150"/>
    <cellStyle name="20% - Accent2 5 2 2 2 8 2" xfId="29925"/>
    <cellStyle name="20% - Accent2 5 2 2 2 9" xfId="7806"/>
    <cellStyle name="20% - Accent2 5 2 2 2 9 2" xfId="30581"/>
    <cellStyle name="20% - Accent2 5 2 2 20" xfId="13382"/>
    <cellStyle name="20% - Accent2 5 2 2 20 2" xfId="36157"/>
    <cellStyle name="20% - Accent2 5 2 2 21" xfId="14038"/>
    <cellStyle name="20% - Accent2 5 2 2 21 2" xfId="36813"/>
    <cellStyle name="20% - Accent2 5 2 2 22" xfId="14694"/>
    <cellStyle name="20% - Accent2 5 2 2 22 2" xfId="37469"/>
    <cellStyle name="20% - Accent2 5 2 2 23" xfId="15350"/>
    <cellStyle name="20% - Accent2 5 2 2 23 2" xfId="38125"/>
    <cellStyle name="20% - Accent2 5 2 2 24" xfId="16006"/>
    <cellStyle name="20% - Accent2 5 2 2 24 2" xfId="38781"/>
    <cellStyle name="20% - Accent2 5 2 2 25" xfId="16662"/>
    <cellStyle name="20% - Accent2 5 2 2 25 2" xfId="39437"/>
    <cellStyle name="20% - Accent2 5 2 2 26" xfId="17318"/>
    <cellStyle name="20% - Accent2 5 2 2 26 2" xfId="40093"/>
    <cellStyle name="20% - Accent2 5 2 2 27" xfId="17974"/>
    <cellStyle name="20% - Accent2 5 2 2 27 2" xfId="40749"/>
    <cellStyle name="20% - Accent2 5 2 2 28" xfId="18630"/>
    <cellStyle name="20% - Accent2 5 2 2 28 2" xfId="41405"/>
    <cellStyle name="20% - Accent2 5 2 2 29" xfId="19286"/>
    <cellStyle name="20% - Accent2 5 2 2 29 2" xfId="42061"/>
    <cellStyle name="20% - Accent2 5 2 2 3" xfId="1246"/>
    <cellStyle name="20% - Accent2 5 2 2 3 2" xfId="2886"/>
    <cellStyle name="20% - Accent2 5 2 2 3 2 2" xfId="25661"/>
    <cellStyle name="20% - Accent2 5 2 2 3 3" xfId="24021"/>
    <cellStyle name="20% - Accent2 5 2 2 30" xfId="19942"/>
    <cellStyle name="20% - Accent2 5 2 2 30 2" xfId="42717"/>
    <cellStyle name="20% - Accent2 5 2 2 31" xfId="20598"/>
    <cellStyle name="20% - Accent2 5 2 2 31 2" xfId="43373"/>
    <cellStyle name="20% - Accent2 5 2 2 32" xfId="21254"/>
    <cellStyle name="20% - Accent2 5 2 2 32 2" xfId="44029"/>
    <cellStyle name="20% - Accent2 5 2 2 33" xfId="21910"/>
    <cellStyle name="20% - Accent2 5 2 2 33 2" xfId="44685"/>
    <cellStyle name="20% - Accent2 5 2 2 34" xfId="22566"/>
    <cellStyle name="20% - Accent2 5 2 2 34 2" xfId="45341"/>
    <cellStyle name="20% - Accent2 5 2 2 35" xfId="23365"/>
    <cellStyle name="20% - Accent2 5 2 2 4" xfId="1902"/>
    <cellStyle name="20% - Accent2 5 2 2 4 2" xfId="3542"/>
    <cellStyle name="20% - Accent2 5 2 2 4 2 2" xfId="26317"/>
    <cellStyle name="20% - Accent2 5 2 2 4 3" xfId="24677"/>
    <cellStyle name="20% - Accent2 5 2 2 5" xfId="4198"/>
    <cellStyle name="20% - Accent2 5 2 2 5 2" xfId="26973"/>
    <cellStyle name="20% - Accent2 5 2 2 6" xfId="4854"/>
    <cellStyle name="20% - Accent2 5 2 2 6 2" xfId="27629"/>
    <cellStyle name="20% - Accent2 5 2 2 7" xfId="5510"/>
    <cellStyle name="20% - Accent2 5 2 2 7 2" xfId="28285"/>
    <cellStyle name="20% - Accent2 5 2 2 8" xfId="6166"/>
    <cellStyle name="20% - Accent2 5 2 2 8 2" xfId="28941"/>
    <cellStyle name="20% - Accent2 5 2 2 9" xfId="2558"/>
    <cellStyle name="20% - Accent2 5 2 2 9 2" xfId="25333"/>
    <cellStyle name="20% - Accent2 5 2 20" xfId="12541"/>
    <cellStyle name="20% - Accent2 5 2 20 2" xfId="35316"/>
    <cellStyle name="20% - Accent2 5 2 21" xfId="13197"/>
    <cellStyle name="20% - Accent2 5 2 21 2" xfId="35972"/>
    <cellStyle name="20% - Accent2 5 2 22" xfId="13853"/>
    <cellStyle name="20% - Accent2 5 2 22 2" xfId="36628"/>
    <cellStyle name="20% - Accent2 5 2 23" xfId="14509"/>
    <cellStyle name="20% - Accent2 5 2 23 2" xfId="37284"/>
    <cellStyle name="20% - Accent2 5 2 24" xfId="15165"/>
    <cellStyle name="20% - Accent2 5 2 24 2" xfId="37940"/>
    <cellStyle name="20% - Accent2 5 2 25" xfId="15821"/>
    <cellStyle name="20% - Accent2 5 2 25 2" xfId="38596"/>
    <cellStyle name="20% - Accent2 5 2 26" xfId="16477"/>
    <cellStyle name="20% - Accent2 5 2 26 2" xfId="39252"/>
    <cellStyle name="20% - Accent2 5 2 27" xfId="17133"/>
    <cellStyle name="20% - Accent2 5 2 27 2" xfId="39908"/>
    <cellStyle name="20% - Accent2 5 2 28" xfId="17789"/>
    <cellStyle name="20% - Accent2 5 2 28 2" xfId="40564"/>
    <cellStyle name="20% - Accent2 5 2 29" xfId="18445"/>
    <cellStyle name="20% - Accent2 5 2 29 2" xfId="41220"/>
    <cellStyle name="20% - Accent2 5 2 3" xfId="733"/>
    <cellStyle name="20% - Accent2 5 2 3 10" xfId="8277"/>
    <cellStyle name="20% - Accent2 5 2 3 10 2" xfId="31052"/>
    <cellStyle name="20% - Accent2 5 2 3 11" xfId="8933"/>
    <cellStyle name="20% - Accent2 5 2 3 11 2" xfId="31708"/>
    <cellStyle name="20% - Accent2 5 2 3 12" xfId="9589"/>
    <cellStyle name="20% - Accent2 5 2 3 12 2" xfId="32364"/>
    <cellStyle name="20% - Accent2 5 2 3 13" xfId="10245"/>
    <cellStyle name="20% - Accent2 5 2 3 13 2" xfId="33020"/>
    <cellStyle name="20% - Accent2 5 2 3 14" xfId="10901"/>
    <cellStyle name="20% - Accent2 5 2 3 14 2" xfId="33676"/>
    <cellStyle name="20% - Accent2 5 2 3 15" xfId="11557"/>
    <cellStyle name="20% - Accent2 5 2 3 15 2" xfId="34332"/>
    <cellStyle name="20% - Accent2 5 2 3 16" xfId="12213"/>
    <cellStyle name="20% - Accent2 5 2 3 16 2" xfId="34988"/>
    <cellStyle name="20% - Accent2 5 2 3 17" xfId="12869"/>
    <cellStyle name="20% - Accent2 5 2 3 17 2" xfId="35644"/>
    <cellStyle name="20% - Accent2 5 2 3 18" xfId="13525"/>
    <cellStyle name="20% - Accent2 5 2 3 18 2" xfId="36300"/>
    <cellStyle name="20% - Accent2 5 2 3 19" xfId="14181"/>
    <cellStyle name="20% - Accent2 5 2 3 19 2" xfId="36956"/>
    <cellStyle name="20% - Accent2 5 2 3 2" xfId="1389"/>
    <cellStyle name="20% - Accent2 5 2 3 2 2" xfId="3685"/>
    <cellStyle name="20% - Accent2 5 2 3 2 2 2" xfId="26460"/>
    <cellStyle name="20% - Accent2 5 2 3 2 3" xfId="24164"/>
    <cellStyle name="20% - Accent2 5 2 3 20" xfId="14837"/>
    <cellStyle name="20% - Accent2 5 2 3 20 2" xfId="37612"/>
    <cellStyle name="20% - Accent2 5 2 3 21" xfId="15493"/>
    <cellStyle name="20% - Accent2 5 2 3 21 2" xfId="38268"/>
    <cellStyle name="20% - Accent2 5 2 3 22" xfId="16149"/>
    <cellStyle name="20% - Accent2 5 2 3 22 2" xfId="38924"/>
    <cellStyle name="20% - Accent2 5 2 3 23" xfId="16805"/>
    <cellStyle name="20% - Accent2 5 2 3 23 2" xfId="39580"/>
    <cellStyle name="20% - Accent2 5 2 3 24" xfId="17461"/>
    <cellStyle name="20% - Accent2 5 2 3 24 2" xfId="40236"/>
    <cellStyle name="20% - Accent2 5 2 3 25" xfId="18117"/>
    <cellStyle name="20% - Accent2 5 2 3 25 2" xfId="40892"/>
    <cellStyle name="20% - Accent2 5 2 3 26" xfId="18773"/>
    <cellStyle name="20% - Accent2 5 2 3 26 2" xfId="41548"/>
    <cellStyle name="20% - Accent2 5 2 3 27" xfId="19429"/>
    <cellStyle name="20% - Accent2 5 2 3 27 2" xfId="42204"/>
    <cellStyle name="20% - Accent2 5 2 3 28" xfId="20085"/>
    <cellStyle name="20% - Accent2 5 2 3 28 2" xfId="42860"/>
    <cellStyle name="20% - Accent2 5 2 3 29" xfId="20741"/>
    <cellStyle name="20% - Accent2 5 2 3 29 2" xfId="43516"/>
    <cellStyle name="20% - Accent2 5 2 3 3" xfId="2045"/>
    <cellStyle name="20% - Accent2 5 2 3 3 2" xfId="4341"/>
    <cellStyle name="20% - Accent2 5 2 3 3 2 2" xfId="27116"/>
    <cellStyle name="20% - Accent2 5 2 3 3 3" xfId="24820"/>
    <cellStyle name="20% - Accent2 5 2 3 30" xfId="21397"/>
    <cellStyle name="20% - Accent2 5 2 3 30 2" xfId="44172"/>
    <cellStyle name="20% - Accent2 5 2 3 31" xfId="22053"/>
    <cellStyle name="20% - Accent2 5 2 3 31 2" xfId="44828"/>
    <cellStyle name="20% - Accent2 5 2 3 32" xfId="22709"/>
    <cellStyle name="20% - Accent2 5 2 3 32 2" xfId="45484"/>
    <cellStyle name="20% - Accent2 5 2 3 33" xfId="23508"/>
    <cellStyle name="20% - Accent2 5 2 3 4" xfId="4997"/>
    <cellStyle name="20% - Accent2 5 2 3 4 2" xfId="27772"/>
    <cellStyle name="20% - Accent2 5 2 3 5" xfId="5653"/>
    <cellStyle name="20% - Accent2 5 2 3 5 2" xfId="28428"/>
    <cellStyle name="20% - Accent2 5 2 3 6" xfId="6309"/>
    <cellStyle name="20% - Accent2 5 2 3 6 2" xfId="29084"/>
    <cellStyle name="20% - Accent2 5 2 3 7" xfId="3029"/>
    <cellStyle name="20% - Accent2 5 2 3 7 2" xfId="25804"/>
    <cellStyle name="20% - Accent2 5 2 3 8" xfId="6965"/>
    <cellStyle name="20% - Accent2 5 2 3 8 2" xfId="29740"/>
    <cellStyle name="20% - Accent2 5 2 3 9" xfId="7621"/>
    <cellStyle name="20% - Accent2 5 2 3 9 2" xfId="30396"/>
    <cellStyle name="20% - Accent2 5 2 30" xfId="19101"/>
    <cellStyle name="20% - Accent2 5 2 30 2" xfId="41876"/>
    <cellStyle name="20% - Accent2 5 2 31" xfId="19757"/>
    <cellStyle name="20% - Accent2 5 2 31 2" xfId="42532"/>
    <cellStyle name="20% - Accent2 5 2 32" xfId="20413"/>
    <cellStyle name="20% - Accent2 5 2 32 2" xfId="43188"/>
    <cellStyle name="20% - Accent2 5 2 33" xfId="21069"/>
    <cellStyle name="20% - Accent2 5 2 33 2" xfId="43844"/>
    <cellStyle name="20% - Accent2 5 2 34" xfId="21725"/>
    <cellStyle name="20% - Accent2 5 2 34 2" xfId="44500"/>
    <cellStyle name="20% - Accent2 5 2 35" xfId="22381"/>
    <cellStyle name="20% - Accent2 5 2 35 2" xfId="45156"/>
    <cellStyle name="20% - Accent2 5 2 36" xfId="23037"/>
    <cellStyle name="20% - Accent2 5 2 4" xfId="406"/>
    <cellStyle name="20% - Accent2 5 2 4 2" xfId="2701"/>
    <cellStyle name="20% - Accent2 5 2 4 2 2" xfId="25476"/>
    <cellStyle name="20% - Accent2 5 2 4 3" xfId="23180"/>
    <cellStyle name="20% - Accent2 5 2 5" xfId="1061"/>
    <cellStyle name="20% - Accent2 5 2 5 2" xfId="3357"/>
    <cellStyle name="20% - Accent2 5 2 5 2 2" xfId="26132"/>
    <cellStyle name="20% - Accent2 5 2 5 3" xfId="23836"/>
    <cellStyle name="20% - Accent2 5 2 6" xfId="1717"/>
    <cellStyle name="20% - Accent2 5 2 6 2" xfId="4013"/>
    <cellStyle name="20% - Accent2 5 2 6 2 2" xfId="26788"/>
    <cellStyle name="20% - Accent2 5 2 6 3" xfId="24492"/>
    <cellStyle name="20% - Accent2 5 2 7" xfId="4669"/>
    <cellStyle name="20% - Accent2 5 2 7 2" xfId="27444"/>
    <cellStyle name="20% - Accent2 5 2 8" xfId="5325"/>
    <cellStyle name="20% - Accent2 5 2 8 2" xfId="28100"/>
    <cellStyle name="20% - Accent2 5 2 9" xfId="5981"/>
    <cellStyle name="20% - Accent2 5 2 9 2" xfId="28756"/>
    <cellStyle name="20% - Accent2 5 20" xfId="11814"/>
    <cellStyle name="20% - Accent2 5 20 2" xfId="34589"/>
    <cellStyle name="20% - Accent2 5 21" xfId="12470"/>
    <cellStyle name="20% - Accent2 5 21 2" xfId="35245"/>
    <cellStyle name="20% - Accent2 5 22" xfId="13126"/>
    <cellStyle name="20% - Accent2 5 22 2" xfId="35901"/>
    <cellStyle name="20% - Accent2 5 23" xfId="13782"/>
    <cellStyle name="20% - Accent2 5 23 2" xfId="36557"/>
    <cellStyle name="20% - Accent2 5 24" xfId="14438"/>
    <cellStyle name="20% - Accent2 5 24 2" xfId="37213"/>
    <cellStyle name="20% - Accent2 5 25" xfId="15094"/>
    <cellStyle name="20% - Accent2 5 25 2" xfId="37869"/>
    <cellStyle name="20% - Accent2 5 26" xfId="15750"/>
    <cellStyle name="20% - Accent2 5 26 2" xfId="38525"/>
    <cellStyle name="20% - Accent2 5 27" xfId="16406"/>
    <cellStyle name="20% - Accent2 5 27 2" xfId="39181"/>
    <cellStyle name="20% - Accent2 5 28" xfId="17062"/>
    <cellStyle name="20% - Accent2 5 28 2" xfId="39837"/>
    <cellStyle name="20% - Accent2 5 29" xfId="17718"/>
    <cellStyle name="20% - Accent2 5 29 2" xfId="40493"/>
    <cellStyle name="20% - Accent2 5 3" xfId="519"/>
    <cellStyle name="20% - Accent2 5 3 10" xfId="6751"/>
    <cellStyle name="20% - Accent2 5 3 10 2" xfId="29526"/>
    <cellStyle name="20% - Accent2 5 3 11" xfId="7407"/>
    <cellStyle name="20% - Accent2 5 3 11 2" xfId="30182"/>
    <cellStyle name="20% - Accent2 5 3 12" xfId="8063"/>
    <cellStyle name="20% - Accent2 5 3 12 2" xfId="30838"/>
    <cellStyle name="20% - Accent2 5 3 13" xfId="8719"/>
    <cellStyle name="20% - Accent2 5 3 13 2" xfId="31494"/>
    <cellStyle name="20% - Accent2 5 3 14" xfId="9375"/>
    <cellStyle name="20% - Accent2 5 3 14 2" xfId="32150"/>
    <cellStyle name="20% - Accent2 5 3 15" xfId="10031"/>
    <cellStyle name="20% - Accent2 5 3 15 2" xfId="32806"/>
    <cellStyle name="20% - Accent2 5 3 16" xfId="10687"/>
    <cellStyle name="20% - Accent2 5 3 16 2" xfId="33462"/>
    <cellStyle name="20% - Accent2 5 3 17" xfId="11343"/>
    <cellStyle name="20% - Accent2 5 3 17 2" xfId="34118"/>
    <cellStyle name="20% - Accent2 5 3 18" xfId="11999"/>
    <cellStyle name="20% - Accent2 5 3 18 2" xfId="34774"/>
    <cellStyle name="20% - Accent2 5 3 19" xfId="12655"/>
    <cellStyle name="20% - Accent2 5 3 19 2" xfId="35430"/>
    <cellStyle name="20% - Accent2 5 3 2" xfId="847"/>
    <cellStyle name="20% - Accent2 5 3 2 10" xfId="8391"/>
    <cellStyle name="20% - Accent2 5 3 2 10 2" xfId="31166"/>
    <cellStyle name="20% - Accent2 5 3 2 11" xfId="9047"/>
    <cellStyle name="20% - Accent2 5 3 2 11 2" xfId="31822"/>
    <cellStyle name="20% - Accent2 5 3 2 12" xfId="9703"/>
    <cellStyle name="20% - Accent2 5 3 2 12 2" xfId="32478"/>
    <cellStyle name="20% - Accent2 5 3 2 13" xfId="10359"/>
    <cellStyle name="20% - Accent2 5 3 2 13 2" xfId="33134"/>
    <cellStyle name="20% - Accent2 5 3 2 14" xfId="11015"/>
    <cellStyle name="20% - Accent2 5 3 2 14 2" xfId="33790"/>
    <cellStyle name="20% - Accent2 5 3 2 15" xfId="11671"/>
    <cellStyle name="20% - Accent2 5 3 2 15 2" xfId="34446"/>
    <cellStyle name="20% - Accent2 5 3 2 16" xfId="12327"/>
    <cellStyle name="20% - Accent2 5 3 2 16 2" xfId="35102"/>
    <cellStyle name="20% - Accent2 5 3 2 17" xfId="12983"/>
    <cellStyle name="20% - Accent2 5 3 2 17 2" xfId="35758"/>
    <cellStyle name="20% - Accent2 5 3 2 18" xfId="13639"/>
    <cellStyle name="20% - Accent2 5 3 2 18 2" xfId="36414"/>
    <cellStyle name="20% - Accent2 5 3 2 19" xfId="14295"/>
    <cellStyle name="20% - Accent2 5 3 2 19 2" xfId="37070"/>
    <cellStyle name="20% - Accent2 5 3 2 2" xfId="1503"/>
    <cellStyle name="20% - Accent2 5 3 2 2 2" xfId="3799"/>
    <cellStyle name="20% - Accent2 5 3 2 2 2 2" xfId="26574"/>
    <cellStyle name="20% - Accent2 5 3 2 2 3" xfId="24278"/>
    <cellStyle name="20% - Accent2 5 3 2 20" xfId="14951"/>
    <cellStyle name="20% - Accent2 5 3 2 20 2" xfId="37726"/>
    <cellStyle name="20% - Accent2 5 3 2 21" xfId="15607"/>
    <cellStyle name="20% - Accent2 5 3 2 21 2" xfId="38382"/>
    <cellStyle name="20% - Accent2 5 3 2 22" xfId="16263"/>
    <cellStyle name="20% - Accent2 5 3 2 22 2" xfId="39038"/>
    <cellStyle name="20% - Accent2 5 3 2 23" xfId="16919"/>
    <cellStyle name="20% - Accent2 5 3 2 23 2" xfId="39694"/>
    <cellStyle name="20% - Accent2 5 3 2 24" xfId="17575"/>
    <cellStyle name="20% - Accent2 5 3 2 24 2" xfId="40350"/>
    <cellStyle name="20% - Accent2 5 3 2 25" xfId="18231"/>
    <cellStyle name="20% - Accent2 5 3 2 25 2" xfId="41006"/>
    <cellStyle name="20% - Accent2 5 3 2 26" xfId="18887"/>
    <cellStyle name="20% - Accent2 5 3 2 26 2" xfId="41662"/>
    <cellStyle name="20% - Accent2 5 3 2 27" xfId="19543"/>
    <cellStyle name="20% - Accent2 5 3 2 27 2" xfId="42318"/>
    <cellStyle name="20% - Accent2 5 3 2 28" xfId="20199"/>
    <cellStyle name="20% - Accent2 5 3 2 28 2" xfId="42974"/>
    <cellStyle name="20% - Accent2 5 3 2 29" xfId="20855"/>
    <cellStyle name="20% - Accent2 5 3 2 29 2" xfId="43630"/>
    <cellStyle name="20% - Accent2 5 3 2 3" xfId="2159"/>
    <cellStyle name="20% - Accent2 5 3 2 3 2" xfId="4455"/>
    <cellStyle name="20% - Accent2 5 3 2 3 2 2" xfId="27230"/>
    <cellStyle name="20% - Accent2 5 3 2 3 3" xfId="24934"/>
    <cellStyle name="20% - Accent2 5 3 2 30" xfId="21511"/>
    <cellStyle name="20% - Accent2 5 3 2 30 2" xfId="44286"/>
    <cellStyle name="20% - Accent2 5 3 2 31" xfId="22167"/>
    <cellStyle name="20% - Accent2 5 3 2 31 2" xfId="44942"/>
    <cellStyle name="20% - Accent2 5 3 2 32" xfId="22823"/>
    <cellStyle name="20% - Accent2 5 3 2 32 2" xfId="45598"/>
    <cellStyle name="20% - Accent2 5 3 2 33" xfId="23622"/>
    <cellStyle name="20% - Accent2 5 3 2 4" xfId="5111"/>
    <cellStyle name="20% - Accent2 5 3 2 4 2" xfId="27886"/>
    <cellStyle name="20% - Accent2 5 3 2 5" xfId="5767"/>
    <cellStyle name="20% - Accent2 5 3 2 5 2" xfId="28542"/>
    <cellStyle name="20% - Accent2 5 3 2 6" xfId="6423"/>
    <cellStyle name="20% - Accent2 5 3 2 6 2" xfId="29198"/>
    <cellStyle name="20% - Accent2 5 3 2 7" xfId="3143"/>
    <cellStyle name="20% - Accent2 5 3 2 7 2" xfId="25918"/>
    <cellStyle name="20% - Accent2 5 3 2 8" xfId="7079"/>
    <cellStyle name="20% - Accent2 5 3 2 8 2" xfId="29854"/>
    <cellStyle name="20% - Accent2 5 3 2 9" xfId="7735"/>
    <cellStyle name="20% - Accent2 5 3 2 9 2" xfId="30510"/>
    <cellStyle name="20% - Accent2 5 3 20" xfId="13311"/>
    <cellStyle name="20% - Accent2 5 3 20 2" xfId="36086"/>
    <cellStyle name="20% - Accent2 5 3 21" xfId="13967"/>
    <cellStyle name="20% - Accent2 5 3 21 2" xfId="36742"/>
    <cellStyle name="20% - Accent2 5 3 22" xfId="14623"/>
    <cellStyle name="20% - Accent2 5 3 22 2" xfId="37398"/>
    <cellStyle name="20% - Accent2 5 3 23" xfId="15279"/>
    <cellStyle name="20% - Accent2 5 3 23 2" xfId="38054"/>
    <cellStyle name="20% - Accent2 5 3 24" xfId="15935"/>
    <cellStyle name="20% - Accent2 5 3 24 2" xfId="38710"/>
    <cellStyle name="20% - Accent2 5 3 25" xfId="16591"/>
    <cellStyle name="20% - Accent2 5 3 25 2" xfId="39366"/>
    <cellStyle name="20% - Accent2 5 3 26" xfId="17247"/>
    <cellStyle name="20% - Accent2 5 3 26 2" xfId="40022"/>
    <cellStyle name="20% - Accent2 5 3 27" xfId="17903"/>
    <cellStyle name="20% - Accent2 5 3 27 2" xfId="40678"/>
    <cellStyle name="20% - Accent2 5 3 28" xfId="18559"/>
    <cellStyle name="20% - Accent2 5 3 28 2" xfId="41334"/>
    <cellStyle name="20% - Accent2 5 3 29" xfId="19215"/>
    <cellStyle name="20% - Accent2 5 3 29 2" xfId="41990"/>
    <cellStyle name="20% - Accent2 5 3 3" xfId="1175"/>
    <cellStyle name="20% - Accent2 5 3 3 2" xfId="2815"/>
    <cellStyle name="20% - Accent2 5 3 3 2 2" xfId="25590"/>
    <cellStyle name="20% - Accent2 5 3 3 3" xfId="23950"/>
    <cellStyle name="20% - Accent2 5 3 30" xfId="19871"/>
    <cellStyle name="20% - Accent2 5 3 30 2" xfId="42646"/>
    <cellStyle name="20% - Accent2 5 3 31" xfId="20527"/>
    <cellStyle name="20% - Accent2 5 3 31 2" xfId="43302"/>
    <cellStyle name="20% - Accent2 5 3 32" xfId="21183"/>
    <cellStyle name="20% - Accent2 5 3 32 2" xfId="43958"/>
    <cellStyle name="20% - Accent2 5 3 33" xfId="21839"/>
    <cellStyle name="20% - Accent2 5 3 33 2" xfId="44614"/>
    <cellStyle name="20% - Accent2 5 3 34" xfId="22495"/>
    <cellStyle name="20% - Accent2 5 3 34 2" xfId="45270"/>
    <cellStyle name="20% - Accent2 5 3 35" xfId="23294"/>
    <cellStyle name="20% - Accent2 5 3 4" xfId="1831"/>
    <cellStyle name="20% - Accent2 5 3 4 2" xfId="3471"/>
    <cellStyle name="20% - Accent2 5 3 4 2 2" xfId="26246"/>
    <cellStyle name="20% - Accent2 5 3 4 3" xfId="24606"/>
    <cellStyle name="20% - Accent2 5 3 5" xfId="4127"/>
    <cellStyle name="20% - Accent2 5 3 5 2" xfId="26902"/>
    <cellStyle name="20% - Accent2 5 3 6" xfId="4783"/>
    <cellStyle name="20% - Accent2 5 3 6 2" xfId="27558"/>
    <cellStyle name="20% - Accent2 5 3 7" xfId="5439"/>
    <cellStyle name="20% - Accent2 5 3 7 2" xfId="28214"/>
    <cellStyle name="20% - Accent2 5 3 8" xfId="6095"/>
    <cellStyle name="20% - Accent2 5 3 8 2" xfId="28870"/>
    <cellStyle name="20% - Accent2 5 3 9" xfId="2487"/>
    <cellStyle name="20% - Accent2 5 3 9 2" xfId="25262"/>
    <cellStyle name="20% - Accent2 5 30" xfId="18374"/>
    <cellStyle name="20% - Accent2 5 30 2" xfId="41149"/>
    <cellStyle name="20% - Accent2 5 31" xfId="19030"/>
    <cellStyle name="20% - Accent2 5 31 2" xfId="41805"/>
    <cellStyle name="20% - Accent2 5 32" xfId="19686"/>
    <cellStyle name="20% - Accent2 5 32 2" xfId="42461"/>
    <cellStyle name="20% - Accent2 5 33" xfId="20342"/>
    <cellStyle name="20% - Accent2 5 33 2" xfId="43117"/>
    <cellStyle name="20% - Accent2 5 34" xfId="20998"/>
    <cellStyle name="20% - Accent2 5 34 2" xfId="43773"/>
    <cellStyle name="20% - Accent2 5 35" xfId="21654"/>
    <cellStyle name="20% - Accent2 5 35 2" xfId="44429"/>
    <cellStyle name="20% - Accent2 5 36" xfId="22310"/>
    <cellStyle name="20% - Accent2 5 36 2" xfId="45085"/>
    <cellStyle name="20% - Accent2 5 37" xfId="249"/>
    <cellStyle name="20% - Accent2 5 38" xfId="22966"/>
    <cellStyle name="20% - Accent2 5 4" xfId="662"/>
    <cellStyle name="20% - Accent2 5 4 10" xfId="8206"/>
    <cellStyle name="20% - Accent2 5 4 10 2" xfId="30981"/>
    <cellStyle name="20% - Accent2 5 4 11" xfId="8862"/>
    <cellStyle name="20% - Accent2 5 4 11 2" xfId="31637"/>
    <cellStyle name="20% - Accent2 5 4 12" xfId="9518"/>
    <cellStyle name="20% - Accent2 5 4 12 2" xfId="32293"/>
    <cellStyle name="20% - Accent2 5 4 13" xfId="10174"/>
    <cellStyle name="20% - Accent2 5 4 13 2" xfId="32949"/>
    <cellStyle name="20% - Accent2 5 4 14" xfId="10830"/>
    <cellStyle name="20% - Accent2 5 4 14 2" xfId="33605"/>
    <cellStyle name="20% - Accent2 5 4 15" xfId="11486"/>
    <cellStyle name="20% - Accent2 5 4 15 2" xfId="34261"/>
    <cellStyle name="20% - Accent2 5 4 16" xfId="12142"/>
    <cellStyle name="20% - Accent2 5 4 16 2" xfId="34917"/>
    <cellStyle name="20% - Accent2 5 4 17" xfId="12798"/>
    <cellStyle name="20% - Accent2 5 4 17 2" xfId="35573"/>
    <cellStyle name="20% - Accent2 5 4 18" xfId="13454"/>
    <cellStyle name="20% - Accent2 5 4 18 2" xfId="36229"/>
    <cellStyle name="20% - Accent2 5 4 19" xfId="14110"/>
    <cellStyle name="20% - Accent2 5 4 19 2" xfId="36885"/>
    <cellStyle name="20% - Accent2 5 4 2" xfId="1318"/>
    <cellStyle name="20% - Accent2 5 4 2 2" xfId="3614"/>
    <cellStyle name="20% - Accent2 5 4 2 2 2" xfId="26389"/>
    <cellStyle name="20% - Accent2 5 4 2 3" xfId="24093"/>
    <cellStyle name="20% - Accent2 5 4 20" xfId="14766"/>
    <cellStyle name="20% - Accent2 5 4 20 2" xfId="37541"/>
    <cellStyle name="20% - Accent2 5 4 21" xfId="15422"/>
    <cellStyle name="20% - Accent2 5 4 21 2" xfId="38197"/>
    <cellStyle name="20% - Accent2 5 4 22" xfId="16078"/>
    <cellStyle name="20% - Accent2 5 4 22 2" xfId="38853"/>
    <cellStyle name="20% - Accent2 5 4 23" xfId="16734"/>
    <cellStyle name="20% - Accent2 5 4 23 2" xfId="39509"/>
    <cellStyle name="20% - Accent2 5 4 24" xfId="17390"/>
    <cellStyle name="20% - Accent2 5 4 24 2" xfId="40165"/>
    <cellStyle name="20% - Accent2 5 4 25" xfId="18046"/>
    <cellStyle name="20% - Accent2 5 4 25 2" xfId="40821"/>
    <cellStyle name="20% - Accent2 5 4 26" xfId="18702"/>
    <cellStyle name="20% - Accent2 5 4 26 2" xfId="41477"/>
    <cellStyle name="20% - Accent2 5 4 27" xfId="19358"/>
    <cellStyle name="20% - Accent2 5 4 27 2" xfId="42133"/>
    <cellStyle name="20% - Accent2 5 4 28" xfId="20014"/>
    <cellStyle name="20% - Accent2 5 4 28 2" xfId="42789"/>
    <cellStyle name="20% - Accent2 5 4 29" xfId="20670"/>
    <cellStyle name="20% - Accent2 5 4 29 2" xfId="43445"/>
    <cellStyle name="20% - Accent2 5 4 3" xfId="1974"/>
    <cellStyle name="20% - Accent2 5 4 3 2" xfId="4270"/>
    <cellStyle name="20% - Accent2 5 4 3 2 2" xfId="27045"/>
    <cellStyle name="20% - Accent2 5 4 3 3" xfId="24749"/>
    <cellStyle name="20% - Accent2 5 4 30" xfId="21326"/>
    <cellStyle name="20% - Accent2 5 4 30 2" xfId="44101"/>
    <cellStyle name="20% - Accent2 5 4 31" xfId="21982"/>
    <cellStyle name="20% - Accent2 5 4 31 2" xfId="44757"/>
    <cellStyle name="20% - Accent2 5 4 32" xfId="22638"/>
    <cellStyle name="20% - Accent2 5 4 32 2" xfId="45413"/>
    <cellStyle name="20% - Accent2 5 4 33" xfId="23437"/>
    <cellStyle name="20% - Accent2 5 4 4" xfId="4926"/>
    <cellStyle name="20% - Accent2 5 4 4 2" xfId="27701"/>
    <cellStyle name="20% - Accent2 5 4 5" xfId="5582"/>
    <cellStyle name="20% - Accent2 5 4 5 2" xfId="28357"/>
    <cellStyle name="20% - Accent2 5 4 6" xfId="6238"/>
    <cellStyle name="20% - Accent2 5 4 6 2" xfId="29013"/>
    <cellStyle name="20% - Accent2 5 4 7" xfId="2958"/>
    <cellStyle name="20% - Accent2 5 4 7 2" xfId="25733"/>
    <cellStyle name="20% - Accent2 5 4 8" xfId="6894"/>
    <cellStyle name="20% - Accent2 5 4 8 2" xfId="29669"/>
    <cellStyle name="20% - Accent2 5 4 9" xfId="7550"/>
    <cellStyle name="20% - Accent2 5 4 9 2" xfId="30325"/>
    <cellStyle name="20% - Accent2 5 5" xfId="335"/>
    <cellStyle name="20% - Accent2 5 5 2" xfId="2630"/>
    <cellStyle name="20% - Accent2 5 5 2 2" xfId="25405"/>
    <cellStyle name="20% - Accent2 5 5 3" xfId="23109"/>
    <cellStyle name="20% - Accent2 5 6" xfId="990"/>
    <cellStyle name="20% - Accent2 5 6 2" xfId="3286"/>
    <cellStyle name="20% - Accent2 5 6 2 2" xfId="26061"/>
    <cellStyle name="20% - Accent2 5 6 3" xfId="23765"/>
    <cellStyle name="20% - Accent2 5 7" xfId="1646"/>
    <cellStyle name="20% - Accent2 5 7 2" xfId="3942"/>
    <cellStyle name="20% - Accent2 5 7 2 2" xfId="26717"/>
    <cellStyle name="20% - Accent2 5 7 3" xfId="24421"/>
    <cellStyle name="20% - Accent2 5 8" xfId="4598"/>
    <cellStyle name="20% - Accent2 5 8 2" xfId="27373"/>
    <cellStyle name="20% - Accent2 5 9" xfId="5254"/>
    <cellStyle name="20% - Accent2 5 9 2" xfId="28029"/>
    <cellStyle name="20% - Accent2 6" xfId="117"/>
    <cellStyle name="20% - Accent2 6 10" xfId="2315"/>
    <cellStyle name="20% - Accent2 6 10 2" xfId="25090"/>
    <cellStyle name="20% - Accent2 6 11" xfId="6579"/>
    <cellStyle name="20% - Accent2 6 11 2" xfId="29354"/>
    <cellStyle name="20% - Accent2 6 12" xfId="7235"/>
    <cellStyle name="20% - Accent2 6 12 2" xfId="30010"/>
    <cellStyle name="20% - Accent2 6 13" xfId="7891"/>
    <cellStyle name="20% - Accent2 6 13 2" xfId="30666"/>
    <cellStyle name="20% - Accent2 6 14" xfId="8547"/>
    <cellStyle name="20% - Accent2 6 14 2" xfId="31322"/>
    <cellStyle name="20% - Accent2 6 15" xfId="9203"/>
    <cellStyle name="20% - Accent2 6 15 2" xfId="31978"/>
    <cellStyle name="20% - Accent2 6 16" xfId="9859"/>
    <cellStyle name="20% - Accent2 6 16 2" xfId="32634"/>
    <cellStyle name="20% - Accent2 6 17" xfId="10515"/>
    <cellStyle name="20% - Accent2 6 17 2" xfId="33290"/>
    <cellStyle name="20% - Accent2 6 18" xfId="11171"/>
    <cellStyle name="20% - Accent2 6 18 2" xfId="33946"/>
    <cellStyle name="20% - Accent2 6 19" xfId="11827"/>
    <cellStyle name="20% - Accent2 6 19 2" xfId="34602"/>
    <cellStyle name="20% - Accent2 6 2" xfId="531"/>
    <cellStyle name="20% - Accent2 6 2 10" xfId="6764"/>
    <cellStyle name="20% - Accent2 6 2 10 2" xfId="29539"/>
    <cellStyle name="20% - Accent2 6 2 11" xfId="7420"/>
    <cellStyle name="20% - Accent2 6 2 11 2" xfId="30195"/>
    <cellStyle name="20% - Accent2 6 2 12" xfId="8076"/>
    <cellStyle name="20% - Accent2 6 2 12 2" xfId="30851"/>
    <cellStyle name="20% - Accent2 6 2 13" xfId="8732"/>
    <cellStyle name="20% - Accent2 6 2 13 2" xfId="31507"/>
    <cellStyle name="20% - Accent2 6 2 14" xfId="9388"/>
    <cellStyle name="20% - Accent2 6 2 14 2" xfId="32163"/>
    <cellStyle name="20% - Accent2 6 2 15" xfId="10044"/>
    <cellStyle name="20% - Accent2 6 2 15 2" xfId="32819"/>
    <cellStyle name="20% - Accent2 6 2 16" xfId="10700"/>
    <cellStyle name="20% - Accent2 6 2 16 2" xfId="33475"/>
    <cellStyle name="20% - Accent2 6 2 17" xfId="11356"/>
    <cellStyle name="20% - Accent2 6 2 17 2" xfId="34131"/>
    <cellStyle name="20% - Accent2 6 2 18" xfId="12012"/>
    <cellStyle name="20% - Accent2 6 2 18 2" xfId="34787"/>
    <cellStyle name="20% - Accent2 6 2 19" xfId="12668"/>
    <cellStyle name="20% - Accent2 6 2 19 2" xfId="35443"/>
    <cellStyle name="20% - Accent2 6 2 2" xfId="860"/>
    <cellStyle name="20% - Accent2 6 2 2 10" xfId="8404"/>
    <cellStyle name="20% - Accent2 6 2 2 10 2" xfId="31179"/>
    <cellStyle name="20% - Accent2 6 2 2 11" xfId="9060"/>
    <cellStyle name="20% - Accent2 6 2 2 11 2" xfId="31835"/>
    <cellStyle name="20% - Accent2 6 2 2 12" xfId="9716"/>
    <cellStyle name="20% - Accent2 6 2 2 12 2" xfId="32491"/>
    <cellStyle name="20% - Accent2 6 2 2 13" xfId="10372"/>
    <cellStyle name="20% - Accent2 6 2 2 13 2" xfId="33147"/>
    <cellStyle name="20% - Accent2 6 2 2 14" xfId="11028"/>
    <cellStyle name="20% - Accent2 6 2 2 14 2" xfId="33803"/>
    <cellStyle name="20% - Accent2 6 2 2 15" xfId="11684"/>
    <cellStyle name="20% - Accent2 6 2 2 15 2" xfId="34459"/>
    <cellStyle name="20% - Accent2 6 2 2 16" xfId="12340"/>
    <cellStyle name="20% - Accent2 6 2 2 16 2" xfId="35115"/>
    <cellStyle name="20% - Accent2 6 2 2 17" xfId="12996"/>
    <cellStyle name="20% - Accent2 6 2 2 17 2" xfId="35771"/>
    <cellStyle name="20% - Accent2 6 2 2 18" xfId="13652"/>
    <cellStyle name="20% - Accent2 6 2 2 18 2" xfId="36427"/>
    <cellStyle name="20% - Accent2 6 2 2 19" xfId="14308"/>
    <cellStyle name="20% - Accent2 6 2 2 19 2" xfId="37083"/>
    <cellStyle name="20% - Accent2 6 2 2 2" xfId="1516"/>
    <cellStyle name="20% - Accent2 6 2 2 2 2" xfId="3812"/>
    <cellStyle name="20% - Accent2 6 2 2 2 2 2" xfId="26587"/>
    <cellStyle name="20% - Accent2 6 2 2 2 3" xfId="24291"/>
    <cellStyle name="20% - Accent2 6 2 2 20" xfId="14964"/>
    <cellStyle name="20% - Accent2 6 2 2 20 2" xfId="37739"/>
    <cellStyle name="20% - Accent2 6 2 2 21" xfId="15620"/>
    <cellStyle name="20% - Accent2 6 2 2 21 2" xfId="38395"/>
    <cellStyle name="20% - Accent2 6 2 2 22" xfId="16276"/>
    <cellStyle name="20% - Accent2 6 2 2 22 2" xfId="39051"/>
    <cellStyle name="20% - Accent2 6 2 2 23" xfId="16932"/>
    <cellStyle name="20% - Accent2 6 2 2 23 2" xfId="39707"/>
    <cellStyle name="20% - Accent2 6 2 2 24" xfId="17588"/>
    <cellStyle name="20% - Accent2 6 2 2 24 2" xfId="40363"/>
    <cellStyle name="20% - Accent2 6 2 2 25" xfId="18244"/>
    <cellStyle name="20% - Accent2 6 2 2 25 2" xfId="41019"/>
    <cellStyle name="20% - Accent2 6 2 2 26" xfId="18900"/>
    <cellStyle name="20% - Accent2 6 2 2 26 2" xfId="41675"/>
    <cellStyle name="20% - Accent2 6 2 2 27" xfId="19556"/>
    <cellStyle name="20% - Accent2 6 2 2 27 2" xfId="42331"/>
    <cellStyle name="20% - Accent2 6 2 2 28" xfId="20212"/>
    <cellStyle name="20% - Accent2 6 2 2 28 2" xfId="42987"/>
    <cellStyle name="20% - Accent2 6 2 2 29" xfId="20868"/>
    <cellStyle name="20% - Accent2 6 2 2 29 2" xfId="43643"/>
    <cellStyle name="20% - Accent2 6 2 2 3" xfId="2172"/>
    <cellStyle name="20% - Accent2 6 2 2 3 2" xfId="4468"/>
    <cellStyle name="20% - Accent2 6 2 2 3 2 2" xfId="27243"/>
    <cellStyle name="20% - Accent2 6 2 2 3 3" xfId="24947"/>
    <cellStyle name="20% - Accent2 6 2 2 30" xfId="21524"/>
    <cellStyle name="20% - Accent2 6 2 2 30 2" xfId="44299"/>
    <cellStyle name="20% - Accent2 6 2 2 31" xfId="22180"/>
    <cellStyle name="20% - Accent2 6 2 2 31 2" xfId="44955"/>
    <cellStyle name="20% - Accent2 6 2 2 32" xfId="22836"/>
    <cellStyle name="20% - Accent2 6 2 2 32 2" xfId="45611"/>
    <cellStyle name="20% - Accent2 6 2 2 33" xfId="23635"/>
    <cellStyle name="20% - Accent2 6 2 2 4" xfId="5124"/>
    <cellStyle name="20% - Accent2 6 2 2 4 2" xfId="27899"/>
    <cellStyle name="20% - Accent2 6 2 2 5" xfId="5780"/>
    <cellStyle name="20% - Accent2 6 2 2 5 2" xfId="28555"/>
    <cellStyle name="20% - Accent2 6 2 2 6" xfId="6436"/>
    <cellStyle name="20% - Accent2 6 2 2 6 2" xfId="29211"/>
    <cellStyle name="20% - Accent2 6 2 2 7" xfId="3156"/>
    <cellStyle name="20% - Accent2 6 2 2 7 2" xfId="25931"/>
    <cellStyle name="20% - Accent2 6 2 2 8" xfId="7092"/>
    <cellStyle name="20% - Accent2 6 2 2 8 2" xfId="29867"/>
    <cellStyle name="20% - Accent2 6 2 2 9" xfId="7748"/>
    <cellStyle name="20% - Accent2 6 2 2 9 2" xfId="30523"/>
    <cellStyle name="20% - Accent2 6 2 20" xfId="13324"/>
    <cellStyle name="20% - Accent2 6 2 20 2" xfId="36099"/>
    <cellStyle name="20% - Accent2 6 2 21" xfId="13980"/>
    <cellStyle name="20% - Accent2 6 2 21 2" xfId="36755"/>
    <cellStyle name="20% - Accent2 6 2 22" xfId="14636"/>
    <cellStyle name="20% - Accent2 6 2 22 2" xfId="37411"/>
    <cellStyle name="20% - Accent2 6 2 23" xfId="15292"/>
    <cellStyle name="20% - Accent2 6 2 23 2" xfId="38067"/>
    <cellStyle name="20% - Accent2 6 2 24" xfId="15948"/>
    <cellStyle name="20% - Accent2 6 2 24 2" xfId="38723"/>
    <cellStyle name="20% - Accent2 6 2 25" xfId="16604"/>
    <cellStyle name="20% - Accent2 6 2 25 2" xfId="39379"/>
    <cellStyle name="20% - Accent2 6 2 26" xfId="17260"/>
    <cellStyle name="20% - Accent2 6 2 26 2" xfId="40035"/>
    <cellStyle name="20% - Accent2 6 2 27" xfId="17916"/>
    <cellStyle name="20% - Accent2 6 2 27 2" xfId="40691"/>
    <cellStyle name="20% - Accent2 6 2 28" xfId="18572"/>
    <cellStyle name="20% - Accent2 6 2 28 2" xfId="41347"/>
    <cellStyle name="20% - Accent2 6 2 29" xfId="19228"/>
    <cellStyle name="20% - Accent2 6 2 29 2" xfId="42003"/>
    <cellStyle name="20% - Accent2 6 2 3" xfId="1188"/>
    <cellStyle name="20% - Accent2 6 2 3 2" xfId="2828"/>
    <cellStyle name="20% - Accent2 6 2 3 2 2" xfId="25603"/>
    <cellStyle name="20% - Accent2 6 2 3 3" xfId="23963"/>
    <cellStyle name="20% - Accent2 6 2 30" xfId="19884"/>
    <cellStyle name="20% - Accent2 6 2 30 2" xfId="42659"/>
    <cellStyle name="20% - Accent2 6 2 31" xfId="20540"/>
    <cellStyle name="20% - Accent2 6 2 31 2" xfId="43315"/>
    <cellStyle name="20% - Accent2 6 2 32" xfId="21196"/>
    <cellStyle name="20% - Accent2 6 2 32 2" xfId="43971"/>
    <cellStyle name="20% - Accent2 6 2 33" xfId="21852"/>
    <cellStyle name="20% - Accent2 6 2 33 2" xfId="44627"/>
    <cellStyle name="20% - Accent2 6 2 34" xfId="22508"/>
    <cellStyle name="20% - Accent2 6 2 34 2" xfId="45283"/>
    <cellStyle name="20% - Accent2 6 2 35" xfId="23307"/>
    <cellStyle name="20% - Accent2 6 2 4" xfId="1844"/>
    <cellStyle name="20% - Accent2 6 2 4 2" xfId="3484"/>
    <cellStyle name="20% - Accent2 6 2 4 2 2" xfId="26259"/>
    <cellStyle name="20% - Accent2 6 2 4 3" xfId="24619"/>
    <cellStyle name="20% - Accent2 6 2 5" xfId="4140"/>
    <cellStyle name="20% - Accent2 6 2 5 2" xfId="26915"/>
    <cellStyle name="20% - Accent2 6 2 6" xfId="4796"/>
    <cellStyle name="20% - Accent2 6 2 6 2" xfId="27571"/>
    <cellStyle name="20% - Accent2 6 2 7" xfId="5452"/>
    <cellStyle name="20% - Accent2 6 2 7 2" xfId="28227"/>
    <cellStyle name="20% - Accent2 6 2 8" xfId="6108"/>
    <cellStyle name="20% - Accent2 6 2 8 2" xfId="28883"/>
    <cellStyle name="20% - Accent2 6 2 9" xfId="2500"/>
    <cellStyle name="20% - Accent2 6 2 9 2" xfId="25275"/>
    <cellStyle name="20% - Accent2 6 20" xfId="12483"/>
    <cellStyle name="20% - Accent2 6 20 2" xfId="35258"/>
    <cellStyle name="20% - Accent2 6 21" xfId="13139"/>
    <cellStyle name="20% - Accent2 6 21 2" xfId="35914"/>
    <cellStyle name="20% - Accent2 6 22" xfId="13795"/>
    <cellStyle name="20% - Accent2 6 22 2" xfId="36570"/>
    <cellStyle name="20% - Accent2 6 23" xfId="14451"/>
    <cellStyle name="20% - Accent2 6 23 2" xfId="37226"/>
    <cellStyle name="20% - Accent2 6 24" xfId="15107"/>
    <cellStyle name="20% - Accent2 6 24 2" xfId="37882"/>
    <cellStyle name="20% - Accent2 6 25" xfId="15763"/>
    <cellStyle name="20% - Accent2 6 25 2" xfId="38538"/>
    <cellStyle name="20% - Accent2 6 26" xfId="16419"/>
    <cellStyle name="20% - Accent2 6 26 2" xfId="39194"/>
    <cellStyle name="20% - Accent2 6 27" xfId="17075"/>
    <cellStyle name="20% - Accent2 6 27 2" xfId="39850"/>
    <cellStyle name="20% - Accent2 6 28" xfId="17731"/>
    <cellStyle name="20% - Accent2 6 28 2" xfId="40506"/>
    <cellStyle name="20% - Accent2 6 29" xfId="18387"/>
    <cellStyle name="20% - Accent2 6 29 2" xfId="41162"/>
    <cellStyle name="20% - Accent2 6 3" xfId="675"/>
    <cellStyle name="20% - Accent2 6 3 10" xfId="8219"/>
    <cellStyle name="20% - Accent2 6 3 10 2" xfId="30994"/>
    <cellStyle name="20% - Accent2 6 3 11" xfId="8875"/>
    <cellStyle name="20% - Accent2 6 3 11 2" xfId="31650"/>
    <cellStyle name="20% - Accent2 6 3 12" xfId="9531"/>
    <cellStyle name="20% - Accent2 6 3 12 2" xfId="32306"/>
    <cellStyle name="20% - Accent2 6 3 13" xfId="10187"/>
    <cellStyle name="20% - Accent2 6 3 13 2" xfId="32962"/>
    <cellStyle name="20% - Accent2 6 3 14" xfId="10843"/>
    <cellStyle name="20% - Accent2 6 3 14 2" xfId="33618"/>
    <cellStyle name="20% - Accent2 6 3 15" xfId="11499"/>
    <cellStyle name="20% - Accent2 6 3 15 2" xfId="34274"/>
    <cellStyle name="20% - Accent2 6 3 16" xfId="12155"/>
    <cellStyle name="20% - Accent2 6 3 16 2" xfId="34930"/>
    <cellStyle name="20% - Accent2 6 3 17" xfId="12811"/>
    <cellStyle name="20% - Accent2 6 3 17 2" xfId="35586"/>
    <cellStyle name="20% - Accent2 6 3 18" xfId="13467"/>
    <cellStyle name="20% - Accent2 6 3 18 2" xfId="36242"/>
    <cellStyle name="20% - Accent2 6 3 19" xfId="14123"/>
    <cellStyle name="20% - Accent2 6 3 19 2" xfId="36898"/>
    <cellStyle name="20% - Accent2 6 3 2" xfId="1331"/>
    <cellStyle name="20% - Accent2 6 3 2 2" xfId="3627"/>
    <cellStyle name="20% - Accent2 6 3 2 2 2" xfId="26402"/>
    <cellStyle name="20% - Accent2 6 3 2 3" xfId="24106"/>
    <cellStyle name="20% - Accent2 6 3 20" xfId="14779"/>
    <cellStyle name="20% - Accent2 6 3 20 2" xfId="37554"/>
    <cellStyle name="20% - Accent2 6 3 21" xfId="15435"/>
    <cellStyle name="20% - Accent2 6 3 21 2" xfId="38210"/>
    <cellStyle name="20% - Accent2 6 3 22" xfId="16091"/>
    <cellStyle name="20% - Accent2 6 3 22 2" xfId="38866"/>
    <cellStyle name="20% - Accent2 6 3 23" xfId="16747"/>
    <cellStyle name="20% - Accent2 6 3 23 2" xfId="39522"/>
    <cellStyle name="20% - Accent2 6 3 24" xfId="17403"/>
    <cellStyle name="20% - Accent2 6 3 24 2" xfId="40178"/>
    <cellStyle name="20% - Accent2 6 3 25" xfId="18059"/>
    <cellStyle name="20% - Accent2 6 3 25 2" xfId="40834"/>
    <cellStyle name="20% - Accent2 6 3 26" xfId="18715"/>
    <cellStyle name="20% - Accent2 6 3 26 2" xfId="41490"/>
    <cellStyle name="20% - Accent2 6 3 27" xfId="19371"/>
    <cellStyle name="20% - Accent2 6 3 27 2" xfId="42146"/>
    <cellStyle name="20% - Accent2 6 3 28" xfId="20027"/>
    <cellStyle name="20% - Accent2 6 3 28 2" xfId="42802"/>
    <cellStyle name="20% - Accent2 6 3 29" xfId="20683"/>
    <cellStyle name="20% - Accent2 6 3 29 2" xfId="43458"/>
    <cellStyle name="20% - Accent2 6 3 3" xfId="1987"/>
    <cellStyle name="20% - Accent2 6 3 3 2" xfId="4283"/>
    <cellStyle name="20% - Accent2 6 3 3 2 2" xfId="27058"/>
    <cellStyle name="20% - Accent2 6 3 3 3" xfId="24762"/>
    <cellStyle name="20% - Accent2 6 3 30" xfId="21339"/>
    <cellStyle name="20% - Accent2 6 3 30 2" xfId="44114"/>
    <cellStyle name="20% - Accent2 6 3 31" xfId="21995"/>
    <cellStyle name="20% - Accent2 6 3 31 2" xfId="44770"/>
    <cellStyle name="20% - Accent2 6 3 32" xfId="22651"/>
    <cellStyle name="20% - Accent2 6 3 32 2" xfId="45426"/>
    <cellStyle name="20% - Accent2 6 3 33" xfId="23450"/>
    <cellStyle name="20% - Accent2 6 3 4" xfId="4939"/>
    <cellStyle name="20% - Accent2 6 3 4 2" xfId="27714"/>
    <cellStyle name="20% - Accent2 6 3 5" xfId="5595"/>
    <cellStyle name="20% - Accent2 6 3 5 2" xfId="28370"/>
    <cellStyle name="20% - Accent2 6 3 6" xfId="6251"/>
    <cellStyle name="20% - Accent2 6 3 6 2" xfId="29026"/>
    <cellStyle name="20% - Accent2 6 3 7" xfId="2971"/>
    <cellStyle name="20% - Accent2 6 3 7 2" xfId="25746"/>
    <cellStyle name="20% - Accent2 6 3 8" xfId="6907"/>
    <cellStyle name="20% - Accent2 6 3 8 2" xfId="29682"/>
    <cellStyle name="20% - Accent2 6 3 9" xfId="7563"/>
    <cellStyle name="20% - Accent2 6 3 9 2" xfId="30338"/>
    <cellStyle name="20% - Accent2 6 30" xfId="19043"/>
    <cellStyle name="20% - Accent2 6 30 2" xfId="41818"/>
    <cellStyle name="20% - Accent2 6 31" xfId="19699"/>
    <cellStyle name="20% - Accent2 6 31 2" xfId="42474"/>
    <cellStyle name="20% - Accent2 6 32" xfId="20355"/>
    <cellStyle name="20% - Accent2 6 32 2" xfId="43130"/>
    <cellStyle name="20% - Accent2 6 33" xfId="21011"/>
    <cellStyle name="20% - Accent2 6 33 2" xfId="43786"/>
    <cellStyle name="20% - Accent2 6 34" xfId="21667"/>
    <cellStyle name="20% - Accent2 6 34 2" xfId="44442"/>
    <cellStyle name="20% - Accent2 6 35" xfId="22323"/>
    <cellStyle name="20% - Accent2 6 35 2" xfId="45098"/>
    <cellStyle name="20% - Accent2 6 36" xfId="262"/>
    <cellStyle name="20% - Accent2 6 37" xfId="22979"/>
    <cellStyle name="20% - Accent2 6 4" xfId="348"/>
    <cellStyle name="20% - Accent2 6 4 2" xfId="2643"/>
    <cellStyle name="20% - Accent2 6 4 2 2" xfId="25418"/>
    <cellStyle name="20% - Accent2 6 4 3" xfId="23122"/>
    <cellStyle name="20% - Accent2 6 5" xfId="1003"/>
    <cellStyle name="20% - Accent2 6 5 2" xfId="3299"/>
    <cellStyle name="20% - Accent2 6 5 2 2" xfId="26074"/>
    <cellStyle name="20% - Accent2 6 5 3" xfId="23778"/>
    <cellStyle name="20% - Accent2 6 6" xfId="1659"/>
    <cellStyle name="20% - Accent2 6 6 2" xfId="3955"/>
    <cellStyle name="20% - Accent2 6 6 2 2" xfId="26730"/>
    <cellStyle name="20% - Accent2 6 6 3" xfId="24434"/>
    <cellStyle name="20% - Accent2 6 7" xfId="4611"/>
    <cellStyle name="20% - Accent2 6 7 2" xfId="27386"/>
    <cellStyle name="20% - Accent2 6 8" xfId="5267"/>
    <cellStyle name="20% - Accent2 6 8 2" xfId="28042"/>
    <cellStyle name="20% - Accent2 6 9" xfId="5923"/>
    <cellStyle name="20% - Accent2 6 9 2" xfId="28698"/>
    <cellStyle name="20% - Accent2 7" xfId="421"/>
    <cellStyle name="20% - Accent2 7 10" xfId="6652"/>
    <cellStyle name="20% - Accent2 7 10 2" xfId="29427"/>
    <cellStyle name="20% - Accent2 7 11" xfId="7308"/>
    <cellStyle name="20% - Accent2 7 11 2" xfId="30083"/>
    <cellStyle name="20% - Accent2 7 12" xfId="7964"/>
    <cellStyle name="20% - Accent2 7 12 2" xfId="30739"/>
    <cellStyle name="20% - Accent2 7 13" xfId="8620"/>
    <cellStyle name="20% - Accent2 7 13 2" xfId="31395"/>
    <cellStyle name="20% - Accent2 7 14" xfId="9276"/>
    <cellStyle name="20% - Accent2 7 14 2" xfId="32051"/>
    <cellStyle name="20% - Accent2 7 15" xfId="9932"/>
    <cellStyle name="20% - Accent2 7 15 2" xfId="32707"/>
    <cellStyle name="20% - Accent2 7 16" xfId="10588"/>
    <cellStyle name="20% - Accent2 7 16 2" xfId="33363"/>
    <cellStyle name="20% - Accent2 7 17" xfId="11244"/>
    <cellStyle name="20% - Accent2 7 17 2" xfId="34019"/>
    <cellStyle name="20% - Accent2 7 18" xfId="11900"/>
    <cellStyle name="20% - Accent2 7 18 2" xfId="34675"/>
    <cellStyle name="20% - Accent2 7 19" xfId="12556"/>
    <cellStyle name="20% - Accent2 7 19 2" xfId="35331"/>
    <cellStyle name="20% - Accent2 7 2" xfId="748"/>
    <cellStyle name="20% - Accent2 7 2 10" xfId="8292"/>
    <cellStyle name="20% - Accent2 7 2 10 2" xfId="31067"/>
    <cellStyle name="20% - Accent2 7 2 11" xfId="8948"/>
    <cellStyle name="20% - Accent2 7 2 11 2" xfId="31723"/>
    <cellStyle name="20% - Accent2 7 2 12" xfId="9604"/>
    <cellStyle name="20% - Accent2 7 2 12 2" xfId="32379"/>
    <cellStyle name="20% - Accent2 7 2 13" xfId="10260"/>
    <cellStyle name="20% - Accent2 7 2 13 2" xfId="33035"/>
    <cellStyle name="20% - Accent2 7 2 14" xfId="10916"/>
    <cellStyle name="20% - Accent2 7 2 14 2" xfId="33691"/>
    <cellStyle name="20% - Accent2 7 2 15" xfId="11572"/>
    <cellStyle name="20% - Accent2 7 2 15 2" xfId="34347"/>
    <cellStyle name="20% - Accent2 7 2 16" xfId="12228"/>
    <cellStyle name="20% - Accent2 7 2 16 2" xfId="35003"/>
    <cellStyle name="20% - Accent2 7 2 17" xfId="12884"/>
    <cellStyle name="20% - Accent2 7 2 17 2" xfId="35659"/>
    <cellStyle name="20% - Accent2 7 2 18" xfId="13540"/>
    <cellStyle name="20% - Accent2 7 2 18 2" xfId="36315"/>
    <cellStyle name="20% - Accent2 7 2 19" xfId="14196"/>
    <cellStyle name="20% - Accent2 7 2 19 2" xfId="36971"/>
    <cellStyle name="20% - Accent2 7 2 2" xfId="1404"/>
    <cellStyle name="20% - Accent2 7 2 2 2" xfId="3700"/>
    <cellStyle name="20% - Accent2 7 2 2 2 2" xfId="26475"/>
    <cellStyle name="20% - Accent2 7 2 2 3" xfId="24179"/>
    <cellStyle name="20% - Accent2 7 2 20" xfId="14852"/>
    <cellStyle name="20% - Accent2 7 2 20 2" xfId="37627"/>
    <cellStyle name="20% - Accent2 7 2 21" xfId="15508"/>
    <cellStyle name="20% - Accent2 7 2 21 2" xfId="38283"/>
    <cellStyle name="20% - Accent2 7 2 22" xfId="16164"/>
    <cellStyle name="20% - Accent2 7 2 22 2" xfId="38939"/>
    <cellStyle name="20% - Accent2 7 2 23" xfId="16820"/>
    <cellStyle name="20% - Accent2 7 2 23 2" xfId="39595"/>
    <cellStyle name="20% - Accent2 7 2 24" xfId="17476"/>
    <cellStyle name="20% - Accent2 7 2 24 2" xfId="40251"/>
    <cellStyle name="20% - Accent2 7 2 25" xfId="18132"/>
    <cellStyle name="20% - Accent2 7 2 25 2" xfId="40907"/>
    <cellStyle name="20% - Accent2 7 2 26" xfId="18788"/>
    <cellStyle name="20% - Accent2 7 2 26 2" xfId="41563"/>
    <cellStyle name="20% - Accent2 7 2 27" xfId="19444"/>
    <cellStyle name="20% - Accent2 7 2 27 2" xfId="42219"/>
    <cellStyle name="20% - Accent2 7 2 28" xfId="20100"/>
    <cellStyle name="20% - Accent2 7 2 28 2" xfId="42875"/>
    <cellStyle name="20% - Accent2 7 2 29" xfId="20756"/>
    <cellStyle name="20% - Accent2 7 2 29 2" xfId="43531"/>
    <cellStyle name="20% - Accent2 7 2 3" xfId="2060"/>
    <cellStyle name="20% - Accent2 7 2 3 2" xfId="4356"/>
    <cellStyle name="20% - Accent2 7 2 3 2 2" xfId="27131"/>
    <cellStyle name="20% - Accent2 7 2 3 3" xfId="24835"/>
    <cellStyle name="20% - Accent2 7 2 30" xfId="21412"/>
    <cellStyle name="20% - Accent2 7 2 30 2" xfId="44187"/>
    <cellStyle name="20% - Accent2 7 2 31" xfId="22068"/>
    <cellStyle name="20% - Accent2 7 2 31 2" xfId="44843"/>
    <cellStyle name="20% - Accent2 7 2 32" xfId="22724"/>
    <cellStyle name="20% - Accent2 7 2 32 2" xfId="45499"/>
    <cellStyle name="20% - Accent2 7 2 33" xfId="23523"/>
    <cellStyle name="20% - Accent2 7 2 4" xfId="5012"/>
    <cellStyle name="20% - Accent2 7 2 4 2" xfId="27787"/>
    <cellStyle name="20% - Accent2 7 2 5" xfId="5668"/>
    <cellStyle name="20% - Accent2 7 2 5 2" xfId="28443"/>
    <cellStyle name="20% - Accent2 7 2 6" xfId="6324"/>
    <cellStyle name="20% - Accent2 7 2 6 2" xfId="29099"/>
    <cellStyle name="20% - Accent2 7 2 7" xfId="3044"/>
    <cellStyle name="20% - Accent2 7 2 7 2" xfId="25819"/>
    <cellStyle name="20% - Accent2 7 2 8" xfId="6980"/>
    <cellStyle name="20% - Accent2 7 2 8 2" xfId="29755"/>
    <cellStyle name="20% - Accent2 7 2 9" xfId="7636"/>
    <cellStyle name="20% - Accent2 7 2 9 2" xfId="30411"/>
    <cellStyle name="20% - Accent2 7 20" xfId="13212"/>
    <cellStyle name="20% - Accent2 7 20 2" xfId="35987"/>
    <cellStyle name="20% - Accent2 7 21" xfId="13868"/>
    <cellStyle name="20% - Accent2 7 21 2" xfId="36643"/>
    <cellStyle name="20% - Accent2 7 22" xfId="14524"/>
    <cellStyle name="20% - Accent2 7 22 2" xfId="37299"/>
    <cellStyle name="20% - Accent2 7 23" xfId="15180"/>
    <cellStyle name="20% - Accent2 7 23 2" xfId="37955"/>
    <cellStyle name="20% - Accent2 7 24" xfId="15836"/>
    <cellStyle name="20% - Accent2 7 24 2" xfId="38611"/>
    <cellStyle name="20% - Accent2 7 25" xfId="16492"/>
    <cellStyle name="20% - Accent2 7 25 2" xfId="39267"/>
    <cellStyle name="20% - Accent2 7 26" xfId="17148"/>
    <cellStyle name="20% - Accent2 7 26 2" xfId="39923"/>
    <cellStyle name="20% - Accent2 7 27" xfId="17804"/>
    <cellStyle name="20% - Accent2 7 27 2" xfId="40579"/>
    <cellStyle name="20% - Accent2 7 28" xfId="18460"/>
    <cellStyle name="20% - Accent2 7 28 2" xfId="41235"/>
    <cellStyle name="20% - Accent2 7 29" xfId="19116"/>
    <cellStyle name="20% - Accent2 7 29 2" xfId="41891"/>
    <cellStyle name="20% - Accent2 7 3" xfId="1076"/>
    <cellStyle name="20% - Accent2 7 3 2" xfId="2716"/>
    <cellStyle name="20% - Accent2 7 3 2 2" xfId="25491"/>
    <cellStyle name="20% - Accent2 7 3 3" xfId="23851"/>
    <cellStyle name="20% - Accent2 7 30" xfId="19772"/>
    <cellStyle name="20% - Accent2 7 30 2" xfId="42547"/>
    <cellStyle name="20% - Accent2 7 31" xfId="20428"/>
    <cellStyle name="20% - Accent2 7 31 2" xfId="43203"/>
    <cellStyle name="20% - Accent2 7 32" xfId="21084"/>
    <cellStyle name="20% - Accent2 7 32 2" xfId="43859"/>
    <cellStyle name="20% - Accent2 7 33" xfId="21740"/>
    <cellStyle name="20% - Accent2 7 33 2" xfId="44515"/>
    <cellStyle name="20% - Accent2 7 34" xfId="22396"/>
    <cellStyle name="20% - Accent2 7 34 2" xfId="45171"/>
    <cellStyle name="20% - Accent2 7 35" xfId="23195"/>
    <cellStyle name="20% - Accent2 7 4" xfId="1732"/>
    <cellStyle name="20% - Accent2 7 4 2" xfId="3372"/>
    <cellStyle name="20% - Accent2 7 4 2 2" xfId="26147"/>
    <cellStyle name="20% - Accent2 7 4 3" xfId="24507"/>
    <cellStyle name="20% - Accent2 7 5" xfId="4028"/>
    <cellStyle name="20% - Accent2 7 5 2" xfId="26803"/>
    <cellStyle name="20% - Accent2 7 6" xfId="4684"/>
    <cellStyle name="20% - Accent2 7 6 2" xfId="27459"/>
    <cellStyle name="20% - Accent2 7 7" xfId="5340"/>
    <cellStyle name="20% - Accent2 7 7 2" xfId="28115"/>
    <cellStyle name="20% - Accent2 7 8" xfId="5996"/>
    <cellStyle name="20% - Accent2 7 8 2" xfId="28771"/>
    <cellStyle name="20% - Accent2 7 9" xfId="2388"/>
    <cellStyle name="20% - Accent2 7 9 2" xfId="25163"/>
    <cellStyle name="20% - Accent2 8" xfId="435"/>
    <cellStyle name="20% - Accent2 8 10" xfId="6666"/>
    <cellStyle name="20% - Accent2 8 10 2" xfId="29441"/>
    <cellStyle name="20% - Accent2 8 11" xfId="7322"/>
    <cellStyle name="20% - Accent2 8 11 2" xfId="30097"/>
    <cellStyle name="20% - Accent2 8 12" xfId="7978"/>
    <cellStyle name="20% - Accent2 8 12 2" xfId="30753"/>
    <cellStyle name="20% - Accent2 8 13" xfId="8634"/>
    <cellStyle name="20% - Accent2 8 13 2" xfId="31409"/>
    <cellStyle name="20% - Accent2 8 14" xfId="9290"/>
    <cellStyle name="20% - Accent2 8 14 2" xfId="32065"/>
    <cellStyle name="20% - Accent2 8 15" xfId="9946"/>
    <cellStyle name="20% - Accent2 8 15 2" xfId="32721"/>
    <cellStyle name="20% - Accent2 8 16" xfId="10602"/>
    <cellStyle name="20% - Accent2 8 16 2" xfId="33377"/>
    <cellStyle name="20% - Accent2 8 17" xfId="11258"/>
    <cellStyle name="20% - Accent2 8 17 2" xfId="34033"/>
    <cellStyle name="20% - Accent2 8 18" xfId="11914"/>
    <cellStyle name="20% - Accent2 8 18 2" xfId="34689"/>
    <cellStyle name="20% - Accent2 8 19" xfId="12570"/>
    <cellStyle name="20% - Accent2 8 19 2" xfId="35345"/>
    <cellStyle name="20% - Accent2 8 2" xfId="762"/>
    <cellStyle name="20% - Accent2 8 2 10" xfId="8306"/>
    <cellStyle name="20% - Accent2 8 2 10 2" xfId="31081"/>
    <cellStyle name="20% - Accent2 8 2 11" xfId="8962"/>
    <cellStyle name="20% - Accent2 8 2 11 2" xfId="31737"/>
    <cellStyle name="20% - Accent2 8 2 12" xfId="9618"/>
    <cellStyle name="20% - Accent2 8 2 12 2" xfId="32393"/>
    <cellStyle name="20% - Accent2 8 2 13" xfId="10274"/>
    <cellStyle name="20% - Accent2 8 2 13 2" xfId="33049"/>
    <cellStyle name="20% - Accent2 8 2 14" xfId="10930"/>
    <cellStyle name="20% - Accent2 8 2 14 2" xfId="33705"/>
    <cellStyle name="20% - Accent2 8 2 15" xfId="11586"/>
    <cellStyle name="20% - Accent2 8 2 15 2" xfId="34361"/>
    <cellStyle name="20% - Accent2 8 2 16" xfId="12242"/>
    <cellStyle name="20% - Accent2 8 2 16 2" xfId="35017"/>
    <cellStyle name="20% - Accent2 8 2 17" xfId="12898"/>
    <cellStyle name="20% - Accent2 8 2 17 2" xfId="35673"/>
    <cellStyle name="20% - Accent2 8 2 18" xfId="13554"/>
    <cellStyle name="20% - Accent2 8 2 18 2" xfId="36329"/>
    <cellStyle name="20% - Accent2 8 2 19" xfId="14210"/>
    <cellStyle name="20% - Accent2 8 2 19 2" xfId="36985"/>
    <cellStyle name="20% - Accent2 8 2 2" xfId="1418"/>
    <cellStyle name="20% - Accent2 8 2 2 2" xfId="3714"/>
    <cellStyle name="20% - Accent2 8 2 2 2 2" xfId="26489"/>
    <cellStyle name="20% - Accent2 8 2 2 3" xfId="24193"/>
    <cellStyle name="20% - Accent2 8 2 20" xfId="14866"/>
    <cellStyle name="20% - Accent2 8 2 20 2" xfId="37641"/>
    <cellStyle name="20% - Accent2 8 2 21" xfId="15522"/>
    <cellStyle name="20% - Accent2 8 2 21 2" xfId="38297"/>
    <cellStyle name="20% - Accent2 8 2 22" xfId="16178"/>
    <cellStyle name="20% - Accent2 8 2 22 2" xfId="38953"/>
    <cellStyle name="20% - Accent2 8 2 23" xfId="16834"/>
    <cellStyle name="20% - Accent2 8 2 23 2" xfId="39609"/>
    <cellStyle name="20% - Accent2 8 2 24" xfId="17490"/>
    <cellStyle name="20% - Accent2 8 2 24 2" xfId="40265"/>
    <cellStyle name="20% - Accent2 8 2 25" xfId="18146"/>
    <cellStyle name="20% - Accent2 8 2 25 2" xfId="40921"/>
    <cellStyle name="20% - Accent2 8 2 26" xfId="18802"/>
    <cellStyle name="20% - Accent2 8 2 26 2" xfId="41577"/>
    <cellStyle name="20% - Accent2 8 2 27" xfId="19458"/>
    <cellStyle name="20% - Accent2 8 2 27 2" xfId="42233"/>
    <cellStyle name="20% - Accent2 8 2 28" xfId="20114"/>
    <cellStyle name="20% - Accent2 8 2 28 2" xfId="42889"/>
    <cellStyle name="20% - Accent2 8 2 29" xfId="20770"/>
    <cellStyle name="20% - Accent2 8 2 29 2" xfId="43545"/>
    <cellStyle name="20% - Accent2 8 2 3" xfId="2074"/>
    <cellStyle name="20% - Accent2 8 2 3 2" xfId="4370"/>
    <cellStyle name="20% - Accent2 8 2 3 2 2" xfId="27145"/>
    <cellStyle name="20% - Accent2 8 2 3 3" xfId="24849"/>
    <cellStyle name="20% - Accent2 8 2 30" xfId="21426"/>
    <cellStyle name="20% - Accent2 8 2 30 2" xfId="44201"/>
    <cellStyle name="20% - Accent2 8 2 31" xfId="22082"/>
    <cellStyle name="20% - Accent2 8 2 31 2" xfId="44857"/>
    <cellStyle name="20% - Accent2 8 2 32" xfId="22738"/>
    <cellStyle name="20% - Accent2 8 2 32 2" xfId="45513"/>
    <cellStyle name="20% - Accent2 8 2 33" xfId="23537"/>
    <cellStyle name="20% - Accent2 8 2 4" xfId="5026"/>
    <cellStyle name="20% - Accent2 8 2 4 2" xfId="27801"/>
    <cellStyle name="20% - Accent2 8 2 5" xfId="5682"/>
    <cellStyle name="20% - Accent2 8 2 5 2" xfId="28457"/>
    <cellStyle name="20% - Accent2 8 2 6" xfId="6338"/>
    <cellStyle name="20% - Accent2 8 2 6 2" xfId="29113"/>
    <cellStyle name="20% - Accent2 8 2 7" xfId="3058"/>
    <cellStyle name="20% - Accent2 8 2 7 2" xfId="25833"/>
    <cellStyle name="20% - Accent2 8 2 8" xfId="6994"/>
    <cellStyle name="20% - Accent2 8 2 8 2" xfId="29769"/>
    <cellStyle name="20% - Accent2 8 2 9" xfId="7650"/>
    <cellStyle name="20% - Accent2 8 2 9 2" xfId="30425"/>
    <cellStyle name="20% - Accent2 8 20" xfId="13226"/>
    <cellStyle name="20% - Accent2 8 20 2" xfId="36001"/>
    <cellStyle name="20% - Accent2 8 21" xfId="13882"/>
    <cellStyle name="20% - Accent2 8 21 2" xfId="36657"/>
    <cellStyle name="20% - Accent2 8 22" xfId="14538"/>
    <cellStyle name="20% - Accent2 8 22 2" xfId="37313"/>
    <cellStyle name="20% - Accent2 8 23" xfId="15194"/>
    <cellStyle name="20% - Accent2 8 23 2" xfId="37969"/>
    <cellStyle name="20% - Accent2 8 24" xfId="15850"/>
    <cellStyle name="20% - Accent2 8 24 2" xfId="38625"/>
    <cellStyle name="20% - Accent2 8 25" xfId="16506"/>
    <cellStyle name="20% - Accent2 8 25 2" xfId="39281"/>
    <cellStyle name="20% - Accent2 8 26" xfId="17162"/>
    <cellStyle name="20% - Accent2 8 26 2" xfId="39937"/>
    <cellStyle name="20% - Accent2 8 27" xfId="17818"/>
    <cellStyle name="20% - Accent2 8 27 2" xfId="40593"/>
    <cellStyle name="20% - Accent2 8 28" xfId="18474"/>
    <cellStyle name="20% - Accent2 8 28 2" xfId="41249"/>
    <cellStyle name="20% - Accent2 8 29" xfId="19130"/>
    <cellStyle name="20% - Accent2 8 29 2" xfId="41905"/>
    <cellStyle name="20% - Accent2 8 3" xfId="1090"/>
    <cellStyle name="20% - Accent2 8 3 2" xfId="2730"/>
    <cellStyle name="20% - Accent2 8 3 2 2" xfId="25505"/>
    <cellStyle name="20% - Accent2 8 3 3" xfId="23865"/>
    <cellStyle name="20% - Accent2 8 30" xfId="19786"/>
    <cellStyle name="20% - Accent2 8 30 2" xfId="42561"/>
    <cellStyle name="20% - Accent2 8 31" xfId="20442"/>
    <cellStyle name="20% - Accent2 8 31 2" xfId="43217"/>
    <cellStyle name="20% - Accent2 8 32" xfId="21098"/>
    <cellStyle name="20% - Accent2 8 32 2" xfId="43873"/>
    <cellStyle name="20% - Accent2 8 33" xfId="21754"/>
    <cellStyle name="20% - Accent2 8 33 2" xfId="44529"/>
    <cellStyle name="20% - Accent2 8 34" xfId="22410"/>
    <cellStyle name="20% - Accent2 8 34 2" xfId="45185"/>
    <cellStyle name="20% - Accent2 8 35" xfId="23209"/>
    <cellStyle name="20% - Accent2 8 4" xfId="1746"/>
    <cellStyle name="20% - Accent2 8 4 2" xfId="3386"/>
    <cellStyle name="20% - Accent2 8 4 2 2" xfId="26161"/>
    <cellStyle name="20% - Accent2 8 4 3" xfId="24521"/>
    <cellStyle name="20% - Accent2 8 5" xfId="4042"/>
    <cellStyle name="20% - Accent2 8 5 2" xfId="26817"/>
    <cellStyle name="20% - Accent2 8 6" xfId="4698"/>
    <cellStyle name="20% - Accent2 8 6 2" xfId="27473"/>
    <cellStyle name="20% - Accent2 8 7" xfId="5354"/>
    <cellStyle name="20% - Accent2 8 7 2" xfId="28129"/>
    <cellStyle name="20% - Accent2 8 8" xfId="6010"/>
    <cellStyle name="20% - Accent2 8 8 2" xfId="28785"/>
    <cellStyle name="20% - Accent2 8 9" xfId="2402"/>
    <cellStyle name="20% - Accent2 8 9 2" xfId="25177"/>
    <cellStyle name="20% - Accent2 9" xfId="449"/>
    <cellStyle name="20% - Accent2 9 10" xfId="6680"/>
    <cellStyle name="20% - Accent2 9 10 2" xfId="29455"/>
    <cellStyle name="20% - Accent2 9 11" xfId="7336"/>
    <cellStyle name="20% - Accent2 9 11 2" xfId="30111"/>
    <cellStyle name="20% - Accent2 9 12" xfId="7992"/>
    <cellStyle name="20% - Accent2 9 12 2" xfId="30767"/>
    <cellStyle name="20% - Accent2 9 13" xfId="8648"/>
    <cellStyle name="20% - Accent2 9 13 2" xfId="31423"/>
    <cellStyle name="20% - Accent2 9 14" xfId="9304"/>
    <cellStyle name="20% - Accent2 9 14 2" xfId="32079"/>
    <cellStyle name="20% - Accent2 9 15" xfId="9960"/>
    <cellStyle name="20% - Accent2 9 15 2" xfId="32735"/>
    <cellStyle name="20% - Accent2 9 16" xfId="10616"/>
    <cellStyle name="20% - Accent2 9 16 2" xfId="33391"/>
    <cellStyle name="20% - Accent2 9 17" xfId="11272"/>
    <cellStyle name="20% - Accent2 9 17 2" xfId="34047"/>
    <cellStyle name="20% - Accent2 9 18" xfId="11928"/>
    <cellStyle name="20% - Accent2 9 18 2" xfId="34703"/>
    <cellStyle name="20% - Accent2 9 19" xfId="12584"/>
    <cellStyle name="20% - Accent2 9 19 2" xfId="35359"/>
    <cellStyle name="20% - Accent2 9 2" xfId="776"/>
    <cellStyle name="20% - Accent2 9 2 10" xfId="8320"/>
    <cellStyle name="20% - Accent2 9 2 10 2" xfId="31095"/>
    <cellStyle name="20% - Accent2 9 2 11" xfId="8976"/>
    <cellStyle name="20% - Accent2 9 2 11 2" xfId="31751"/>
    <cellStyle name="20% - Accent2 9 2 12" xfId="9632"/>
    <cellStyle name="20% - Accent2 9 2 12 2" xfId="32407"/>
    <cellStyle name="20% - Accent2 9 2 13" xfId="10288"/>
    <cellStyle name="20% - Accent2 9 2 13 2" xfId="33063"/>
    <cellStyle name="20% - Accent2 9 2 14" xfId="10944"/>
    <cellStyle name="20% - Accent2 9 2 14 2" xfId="33719"/>
    <cellStyle name="20% - Accent2 9 2 15" xfId="11600"/>
    <cellStyle name="20% - Accent2 9 2 15 2" xfId="34375"/>
    <cellStyle name="20% - Accent2 9 2 16" xfId="12256"/>
    <cellStyle name="20% - Accent2 9 2 16 2" xfId="35031"/>
    <cellStyle name="20% - Accent2 9 2 17" xfId="12912"/>
    <cellStyle name="20% - Accent2 9 2 17 2" xfId="35687"/>
    <cellStyle name="20% - Accent2 9 2 18" xfId="13568"/>
    <cellStyle name="20% - Accent2 9 2 18 2" xfId="36343"/>
    <cellStyle name="20% - Accent2 9 2 19" xfId="14224"/>
    <cellStyle name="20% - Accent2 9 2 19 2" xfId="36999"/>
    <cellStyle name="20% - Accent2 9 2 2" xfId="1432"/>
    <cellStyle name="20% - Accent2 9 2 2 2" xfId="3728"/>
    <cellStyle name="20% - Accent2 9 2 2 2 2" xfId="26503"/>
    <cellStyle name="20% - Accent2 9 2 2 3" xfId="24207"/>
    <cellStyle name="20% - Accent2 9 2 20" xfId="14880"/>
    <cellStyle name="20% - Accent2 9 2 20 2" xfId="37655"/>
    <cellStyle name="20% - Accent2 9 2 21" xfId="15536"/>
    <cellStyle name="20% - Accent2 9 2 21 2" xfId="38311"/>
    <cellStyle name="20% - Accent2 9 2 22" xfId="16192"/>
    <cellStyle name="20% - Accent2 9 2 22 2" xfId="38967"/>
    <cellStyle name="20% - Accent2 9 2 23" xfId="16848"/>
    <cellStyle name="20% - Accent2 9 2 23 2" xfId="39623"/>
    <cellStyle name="20% - Accent2 9 2 24" xfId="17504"/>
    <cellStyle name="20% - Accent2 9 2 24 2" xfId="40279"/>
    <cellStyle name="20% - Accent2 9 2 25" xfId="18160"/>
    <cellStyle name="20% - Accent2 9 2 25 2" xfId="40935"/>
    <cellStyle name="20% - Accent2 9 2 26" xfId="18816"/>
    <cellStyle name="20% - Accent2 9 2 26 2" xfId="41591"/>
    <cellStyle name="20% - Accent2 9 2 27" xfId="19472"/>
    <cellStyle name="20% - Accent2 9 2 27 2" xfId="42247"/>
    <cellStyle name="20% - Accent2 9 2 28" xfId="20128"/>
    <cellStyle name="20% - Accent2 9 2 28 2" xfId="42903"/>
    <cellStyle name="20% - Accent2 9 2 29" xfId="20784"/>
    <cellStyle name="20% - Accent2 9 2 29 2" xfId="43559"/>
    <cellStyle name="20% - Accent2 9 2 3" xfId="2088"/>
    <cellStyle name="20% - Accent2 9 2 3 2" xfId="4384"/>
    <cellStyle name="20% - Accent2 9 2 3 2 2" xfId="27159"/>
    <cellStyle name="20% - Accent2 9 2 3 3" xfId="24863"/>
    <cellStyle name="20% - Accent2 9 2 30" xfId="21440"/>
    <cellStyle name="20% - Accent2 9 2 30 2" xfId="44215"/>
    <cellStyle name="20% - Accent2 9 2 31" xfId="22096"/>
    <cellStyle name="20% - Accent2 9 2 31 2" xfId="44871"/>
    <cellStyle name="20% - Accent2 9 2 32" xfId="22752"/>
    <cellStyle name="20% - Accent2 9 2 32 2" xfId="45527"/>
    <cellStyle name="20% - Accent2 9 2 33" xfId="23551"/>
    <cellStyle name="20% - Accent2 9 2 4" xfId="5040"/>
    <cellStyle name="20% - Accent2 9 2 4 2" xfId="27815"/>
    <cellStyle name="20% - Accent2 9 2 5" xfId="5696"/>
    <cellStyle name="20% - Accent2 9 2 5 2" xfId="28471"/>
    <cellStyle name="20% - Accent2 9 2 6" xfId="6352"/>
    <cellStyle name="20% - Accent2 9 2 6 2" xfId="29127"/>
    <cellStyle name="20% - Accent2 9 2 7" xfId="3072"/>
    <cellStyle name="20% - Accent2 9 2 7 2" xfId="25847"/>
    <cellStyle name="20% - Accent2 9 2 8" xfId="7008"/>
    <cellStyle name="20% - Accent2 9 2 8 2" xfId="29783"/>
    <cellStyle name="20% - Accent2 9 2 9" xfId="7664"/>
    <cellStyle name="20% - Accent2 9 2 9 2" xfId="30439"/>
    <cellStyle name="20% - Accent2 9 20" xfId="13240"/>
    <cellStyle name="20% - Accent2 9 20 2" xfId="36015"/>
    <cellStyle name="20% - Accent2 9 21" xfId="13896"/>
    <cellStyle name="20% - Accent2 9 21 2" xfId="36671"/>
    <cellStyle name="20% - Accent2 9 22" xfId="14552"/>
    <cellStyle name="20% - Accent2 9 22 2" xfId="37327"/>
    <cellStyle name="20% - Accent2 9 23" xfId="15208"/>
    <cellStyle name="20% - Accent2 9 23 2" xfId="37983"/>
    <cellStyle name="20% - Accent2 9 24" xfId="15864"/>
    <cellStyle name="20% - Accent2 9 24 2" xfId="38639"/>
    <cellStyle name="20% - Accent2 9 25" xfId="16520"/>
    <cellStyle name="20% - Accent2 9 25 2" xfId="39295"/>
    <cellStyle name="20% - Accent2 9 26" xfId="17176"/>
    <cellStyle name="20% - Accent2 9 26 2" xfId="39951"/>
    <cellStyle name="20% - Accent2 9 27" xfId="17832"/>
    <cellStyle name="20% - Accent2 9 27 2" xfId="40607"/>
    <cellStyle name="20% - Accent2 9 28" xfId="18488"/>
    <cellStyle name="20% - Accent2 9 28 2" xfId="41263"/>
    <cellStyle name="20% - Accent2 9 29" xfId="19144"/>
    <cellStyle name="20% - Accent2 9 29 2" xfId="41919"/>
    <cellStyle name="20% - Accent2 9 3" xfId="1104"/>
    <cellStyle name="20% - Accent2 9 3 2" xfId="2744"/>
    <cellStyle name="20% - Accent2 9 3 2 2" xfId="25519"/>
    <cellStyle name="20% - Accent2 9 3 3" xfId="23879"/>
    <cellStyle name="20% - Accent2 9 30" xfId="19800"/>
    <cellStyle name="20% - Accent2 9 30 2" xfId="42575"/>
    <cellStyle name="20% - Accent2 9 31" xfId="20456"/>
    <cellStyle name="20% - Accent2 9 31 2" xfId="43231"/>
    <cellStyle name="20% - Accent2 9 32" xfId="21112"/>
    <cellStyle name="20% - Accent2 9 32 2" xfId="43887"/>
    <cellStyle name="20% - Accent2 9 33" xfId="21768"/>
    <cellStyle name="20% - Accent2 9 33 2" xfId="44543"/>
    <cellStyle name="20% - Accent2 9 34" xfId="22424"/>
    <cellStyle name="20% - Accent2 9 34 2" xfId="45199"/>
    <cellStyle name="20% - Accent2 9 35" xfId="23223"/>
    <cellStyle name="20% - Accent2 9 4" xfId="1760"/>
    <cellStyle name="20% - Accent2 9 4 2" xfId="3400"/>
    <cellStyle name="20% - Accent2 9 4 2 2" xfId="26175"/>
    <cellStyle name="20% - Accent2 9 4 3" xfId="24535"/>
    <cellStyle name="20% - Accent2 9 5" xfId="4056"/>
    <cellStyle name="20% - Accent2 9 5 2" xfId="26831"/>
    <cellStyle name="20% - Accent2 9 6" xfId="4712"/>
    <cellStyle name="20% - Accent2 9 6 2" xfId="27487"/>
    <cellStyle name="20% - Accent2 9 7" xfId="5368"/>
    <cellStyle name="20% - Accent2 9 7 2" xfId="28143"/>
    <cellStyle name="20% - Accent2 9 8" xfId="6024"/>
    <cellStyle name="20% - Accent2 9 8 2" xfId="28799"/>
    <cellStyle name="20% - Accent2 9 9" xfId="2416"/>
    <cellStyle name="20% - Accent2 9 9 2" xfId="25191"/>
    <cellStyle name="20% - Accent3" xfId="30" builtinId="38" customBuiltin="1"/>
    <cellStyle name="20% - Accent3 10" xfId="463"/>
    <cellStyle name="20% - Accent3 10 10" xfId="6694"/>
    <cellStyle name="20% - Accent3 10 10 2" xfId="29469"/>
    <cellStyle name="20% - Accent3 10 11" xfId="7350"/>
    <cellStyle name="20% - Accent3 10 11 2" xfId="30125"/>
    <cellStyle name="20% - Accent3 10 12" xfId="8006"/>
    <cellStyle name="20% - Accent3 10 12 2" xfId="30781"/>
    <cellStyle name="20% - Accent3 10 13" xfId="8662"/>
    <cellStyle name="20% - Accent3 10 13 2" xfId="31437"/>
    <cellStyle name="20% - Accent3 10 14" xfId="9318"/>
    <cellStyle name="20% - Accent3 10 14 2" xfId="32093"/>
    <cellStyle name="20% - Accent3 10 15" xfId="9974"/>
    <cellStyle name="20% - Accent3 10 15 2" xfId="32749"/>
    <cellStyle name="20% - Accent3 10 16" xfId="10630"/>
    <cellStyle name="20% - Accent3 10 16 2" xfId="33405"/>
    <cellStyle name="20% - Accent3 10 17" xfId="11286"/>
    <cellStyle name="20% - Accent3 10 17 2" xfId="34061"/>
    <cellStyle name="20% - Accent3 10 18" xfId="11942"/>
    <cellStyle name="20% - Accent3 10 18 2" xfId="34717"/>
    <cellStyle name="20% - Accent3 10 19" xfId="12598"/>
    <cellStyle name="20% - Accent3 10 19 2" xfId="35373"/>
    <cellStyle name="20% - Accent3 10 2" xfId="790"/>
    <cellStyle name="20% - Accent3 10 2 10" xfId="8334"/>
    <cellStyle name="20% - Accent3 10 2 10 2" xfId="31109"/>
    <cellStyle name="20% - Accent3 10 2 11" xfId="8990"/>
    <cellStyle name="20% - Accent3 10 2 11 2" xfId="31765"/>
    <cellStyle name="20% - Accent3 10 2 12" xfId="9646"/>
    <cellStyle name="20% - Accent3 10 2 12 2" xfId="32421"/>
    <cellStyle name="20% - Accent3 10 2 13" xfId="10302"/>
    <cellStyle name="20% - Accent3 10 2 13 2" xfId="33077"/>
    <cellStyle name="20% - Accent3 10 2 14" xfId="10958"/>
    <cellStyle name="20% - Accent3 10 2 14 2" xfId="33733"/>
    <cellStyle name="20% - Accent3 10 2 15" xfId="11614"/>
    <cellStyle name="20% - Accent3 10 2 15 2" xfId="34389"/>
    <cellStyle name="20% - Accent3 10 2 16" xfId="12270"/>
    <cellStyle name="20% - Accent3 10 2 16 2" xfId="35045"/>
    <cellStyle name="20% - Accent3 10 2 17" xfId="12926"/>
    <cellStyle name="20% - Accent3 10 2 17 2" xfId="35701"/>
    <cellStyle name="20% - Accent3 10 2 18" xfId="13582"/>
    <cellStyle name="20% - Accent3 10 2 18 2" xfId="36357"/>
    <cellStyle name="20% - Accent3 10 2 19" xfId="14238"/>
    <cellStyle name="20% - Accent3 10 2 19 2" xfId="37013"/>
    <cellStyle name="20% - Accent3 10 2 2" xfId="1446"/>
    <cellStyle name="20% - Accent3 10 2 2 2" xfId="3742"/>
    <cellStyle name="20% - Accent3 10 2 2 2 2" xfId="26517"/>
    <cellStyle name="20% - Accent3 10 2 2 3" xfId="24221"/>
    <cellStyle name="20% - Accent3 10 2 20" xfId="14894"/>
    <cellStyle name="20% - Accent3 10 2 20 2" xfId="37669"/>
    <cellStyle name="20% - Accent3 10 2 21" xfId="15550"/>
    <cellStyle name="20% - Accent3 10 2 21 2" xfId="38325"/>
    <cellStyle name="20% - Accent3 10 2 22" xfId="16206"/>
    <cellStyle name="20% - Accent3 10 2 22 2" xfId="38981"/>
    <cellStyle name="20% - Accent3 10 2 23" xfId="16862"/>
    <cellStyle name="20% - Accent3 10 2 23 2" xfId="39637"/>
    <cellStyle name="20% - Accent3 10 2 24" xfId="17518"/>
    <cellStyle name="20% - Accent3 10 2 24 2" xfId="40293"/>
    <cellStyle name="20% - Accent3 10 2 25" xfId="18174"/>
    <cellStyle name="20% - Accent3 10 2 25 2" xfId="40949"/>
    <cellStyle name="20% - Accent3 10 2 26" xfId="18830"/>
    <cellStyle name="20% - Accent3 10 2 26 2" xfId="41605"/>
    <cellStyle name="20% - Accent3 10 2 27" xfId="19486"/>
    <cellStyle name="20% - Accent3 10 2 27 2" xfId="42261"/>
    <cellStyle name="20% - Accent3 10 2 28" xfId="20142"/>
    <cellStyle name="20% - Accent3 10 2 28 2" xfId="42917"/>
    <cellStyle name="20% - Accent3 10 2 29" xfId="20798"/>
    <cellStyle name="20% - Accent3 10 2 29 2" xfId="43573"/>
    <cellStyle name="20% - Accent3 10 2 3" xfId="2102"/>
    <cellStyle name="20% - Accent3 10 2 3 2" xfId="4398"/>
    <cellStyle name="20% - Accent3 10 2 3 2 2" xfId="27173"/>
    <cellStyle name="20% - Accent3 10 2 3 3" xfId="24877"/>
    <cellStyle name="20% - Accent3 10 2 30" xfId="21454"/>
    <cellStyle name="20% - Accent3 10 2 30 2" xfId="44229"/>
    <cellStyle name="20% - Accent3 10 2 31" xfId="22110"/>
    <cellStyle name="20% - Accent3 10 2 31 2" xfId="44885"/>
    <cellStyle name="20% - Accent3 10 2 32" xfId="22766"/>
    <cellStyle name="20% - Accent3 10 2 32 2" xfId="45541"/>
    <cellStyle name="20% - Accent3 10 2 33" xfId="23565"/>
    <cellStyle name="20% - Accent3 10 2 4" xfId="5054"/>
    <cellStyle name="20% - Accent3 10 2 4 2" xfId="27829"/>
    <cellStyle name="20% - Accent3 10 2 5" xfId="5710"/>
    <cellStyle name="20% - Accent3 10 2 5 2" xfId="28485"/>
    <cellStyle name="20% - Accent3 10 2 6" xfId="6366"/>
    <cellStyle name="20% - Accent3 10 2 6 2" xfId="29141"/>
    <cellStyle name="20% - Accent3 10 2 7" xfId="3086"/>
    <cellStyle name="20% - Accent3 10 2 7 2" xfId="25861"/>
    <cellStyle name="20% - Accent3 10 2 8" xfId="7022"/>
    <cellStyle name="20% - Accent3 10 2 8 2" xfId="29797"/>
    <cellStyle name="20% - Accent3 10 2 9" xfId="7678"/>
    <cellStyle name="20% - Accent3 10 2 9 2" xfId="30453"/>
    <cellStyle name="20% - Accent3 10 20" xfId="13254"/>
    <cellStyle name="20% - Accent3 10 20 2" xfId="36029"/>
    <cellStyle name="20% - Accent3 10 21" xfId="13910"/>
    <cellStyle name="20% - Accent3 10 21 2" xfId="36685"/>
    <cellStyle name="20% - Accent3 10 22" xfId="14566"/>
    <cellStyle name="20% - Accent3 10 22 2" xfId="37341"/>
    <cellStyle name="20% - Accent3 10 23" xfId="15222"/>
    <cellStyle name="20% - Accent3 10 23 2" xfId="37997"/>
    <cellStyle name="20% - Accent3 10 24" xfId="15878"/>
    <cellStyle name="20% - Accent3 10 24 2" xfId="38653"/>
    <cellStyle name="20% - Accent3 10 25" xfId="16534"/>
    <cellStyle name="20% - Accent3 10 25 2" xfId="39309"/>
    <cellStyle name="20% - Accent3 10 26" xfId="17190"/>
    <cellStyle name="20% - Accent3 10 26 2" xfId="39965"/>
    <cellStyle name="20% - Accent3 10 27" xfId="17846"/>
    <cellStyle name="20% - Accent3 10 27 2" xfId="40621"/>
    <cellStyle name="20% - Accent3 10 28" xfId="18502"/>
    <cellStyle name="20% - Accent3 10 28 2" xfId="41277"/>
    <cellStyle name="20% - Accent3 10 29" xfId="19158"/>
    <cellStyle name="20% - Accent3 10 29 2" xfId="41933"/>
    <cellStyle name="20% - Accent3 10 3" xfId="1118"/>
    <cellStyle name="20% - Accent3 10 3 2" xfId="2758"/>
    <cellStyle name="20% - Accent3 10 3 2 2" xfId="25533"/>
    <cellStyle name="20% - Accent3 10 3 3" xfId="23893"/>
    <cellStyle name="20% - Accent3 10 30" xfId="19814"/>
    <cellStyle name="20% - Accent3 10 30 2" xfId="42589"/>
    <cellStyle name="20% - Accent3 10 31" xfId="20470"/>
    <cellStyle name="20% - Accent3 10 31 2" xfId="43245"/>
    <cellStyle name="20% - Accent3 10 32" xfId="21126"/>
    <cellStyle name="20% - Accent3 10 32 2" xfId="43901"/>
    <cellStyle name="20% - Accent3 10 33" xfId="21782"/>
    <cellStyle name="20% - Accent3 10 33 2" xfId="44557"/>
    <cellStyle name="20% - Accent3 10 34" xfId="22438"/>
    <cellStyle name="20% - Accent3 10 34 2" xfId="45213"/>
    <cellStyle name="20% - Accent3 10 35" xfId="23237"/>
    <cellStyle name="20% - Accent3 10 4" xfId="1774"/>
    <cellStyle name="20% - Accent3 10 4 2" xfId="3414"/>
    <cellStyle name="20% - Accent3 10 4 2 2" xfId="26189"/>
    <cellStyle name="20% - Accent3 10 4 3" xfId="24549"/>
    <cellStyle name="20% - Accent3 10 5" xfId="4070"/>
    <cellStyle name="20% - Accent3 10 5 2" xfId="26845"/>
    <cellStyle name="20% - Accent3 10 6" xfId="4726"/>
    <cellStyle name="20% - Accent3 10 6 2" xfId="27501"/>
    <cellStyle name="20% - Accent3 10 7" xfId="5382"/>
    <cellStyle name="20% - Accent3 10 7 2" xfId="28157"/>
    <cellStyle name="20% - Accent3 10 8" xfId="6038"/>
    <cellStyle name="20% - Accent3 10 8 2" xfId="28813"/>
    <cellStyle name="20% - Accent3 10 9" xfId="2430"/>
    <cellStyle name="20% - Accent3 10 9 2" xfId="25205"/>
    <cellStyle name="20% - Accent3 11" xfId="605"/>
    <cellStyle name="20% - Accent3 11 10" xfId="8149"/>
    <cellStyle name="20% - Accent3 11 10 2" xfId="30924"/>
    <cellStyle name="20% - Accent3 11 11" xfId="8805"/>
    <cellStyle name="20% - Accent3 11 11 2" xfId="31580"/>
    <cellStyle name="20% - Accent3 11 12" xfId="9461"/>
    <cellStyle name="20% - Accent3 11 12 2" xfId="32236"/>
    <cellStyle name="20% - Accent3 11 13" xfId="10117"/>
    <cellStyle name="20% - Accent3 11 13 2" xfId="32892"/>
    <cellStyle name="20% - Accent3 11 14" xfId="10773"/>
    <cellStyle name="20% - Accent3 11 14 2" xfId="33548"/>
    <cellStyle name="20% - Accent3 11 15" xfId="11429"/>
    <cellStyle name="20% - Accent3 11 15 2" xfId="34204"/>
    <cellStyle name="20% - Accent3 11 16" xfId="12085"/>
    <cellStyle name="20% - Accent3 11 16 2" xfId="34860"/>
    <cellStyle name="20% - Accent3 11 17" xfId="12741"/>
    <cellStyle name="20% - Accent3 11 17 2" xfId="35516"/>
    <cellStyle name="20% - Accent3 11 18" xfId="13397"/>
    <cellStyle name="20% - Accent3 11 18 2" xfId="36172"/>
    <cellStyle name="20% - Accent3 11 19" xfId="14053"/>
    <cellStyle name="20% - Accent3 11 19 2" xfId="36828"/>
    <cellStyle name="20% - Accent3 11 2" xfId="1261"/>
    <cellStyle name="20% - Accent3 11 2 2" xfId="3557"/>
    <cellStyle name="20% - Accent3 11 2 2 2" xfId="26332"/>
    <cellStyle name="20% - Accent3 11 2 3" xfId="24036"/>
    <cellStyle name="20% - Accent3 11 20" xfId="14709"/>
    <cellStyle name="20% - Accent3 11 20 2" xfId="37484"/>
    <cellStyle name="20% - Accent3 11 21" xfId="15365"/>
    <cellStyle name="20% - Accent3 11 21 2" xfId="38140"/>
    <cellStyle name="20% - Accent3 11 22" xfId="16021"/>
    <cellStyle name="20% - Accent3 11 22 2" xfId="38796"/>
    <cellStyle name="20% - Accent3 11 23" xfId="16677"/>
    <cellStyle name="20% - Accent3 11 23 2" xfId="39452"/>
    <cellStyle name="20% - Accent3 11 24" xfId="17333"/>
    <cellStyle name="20% - Accent3 11 24 2" xfId="40108"/>
    <cellStyle name="20% - Accent3 11 25" xfId="17989"/>
    <cellStyle name="20% - Accent3 11 25 2" xfId="40764"/>
    <cellStyle name="20% - Accent3 11 26" xfId="18645"/>
    <cellStyle name="20% - Accent3 11 26 2" xfId="41420"/>
    <cellStyle name="20% - Accent3 11 27" xfId="19301"/>
    <cellStyle name="20% - Accent3 11 27 2" xfId="42076"/>
    <cellStyle name="20% - Accent3 11 28" xfId="19957"/>
    <cellStyle name="20% - Accent3 11 28 2" xfId="42732"/>
    <cellStyle name="20% - Accent3 11 29" xfId="20613"/>
    <cellStyle name="20% - Accent3 11 29 2" xfId="43388"/>
    <cellStyle name="20% - Accent3 11 3" xfId="1917"/>
    <cellStyle name="20% - Accent3 11 3 2" xfId="4213"/>
    <cellStyle name="20% - Accent3 11 3 2 2" xfId="26988"/>
    <cellStyle name="20% - Accent3 11 3 3" xfId="24692"/>
    <cellStyle name="20% - Accent3 11 30" xfId="21269"/>
    <cellStyle name="20% - Accent3 11 30 2" xfId="44044"/>
    <cellStyle name="20% - Accent3 11 31" xfId="21925"/>
    <cellStyle name="20% - Accent3 11 31 2" xfId="44700"/>
    <cellStyle name="20% - Accent3 11 32" xfId="22581"/>
    <cellStyle name="20% - Accent3 11 32 2" xfId="45356"/>
    <cellStyle name="20% - Accent3 11 33" xfId="23380"/>
    <cellStyle name="20% - Accent3 11 4" xfId="4869"/>
    <cellStyle name="20% - Accent3 11 4 2" xfId="27644"/>
    <cellStyle name="20% - Accent3 11 5" xfId="5525"/>
    <cellStyle name="20% - Accent3 11 5 2" xfId="28300"/>
    <cellStyle name="20% - Accent3 11 6" xfId="6181"/>
    <cellStyle name="20% - Accent3 11 6 2" xfId="28956"/>
    <cellStyle name="20% - Accent3 11 7" xfId="2901"/>
    <cellStyle name="20% - Accent3 11 7 2" xfId="25676"/>
    <cellStyle name="20% - Accent3 11 8" xfId="6837"/>
    <cellStyle name="20% - Accent3 11 8 2" xfId="29612"/>
    <cellStyle name="20% - Accent3 11 9" xfId="7493"/>
    <cellStyle name="20% - Accent3 11 9 2" xfId="30268"/>
    <cellStyle name="20% - Accent3 12" xfId="278"/>
    <cellStyle name="20% - Accent3 12 2" xfId="2573"/>
    <cellStyle name="20% - Accent3 12 2 2" xfId="25348"/>
    <cellStyle name="20% - Accent3 12 3" xfId="23052"/>
    <cellStyle name="20% - Accent3 13" xfId="933"/>
    <cellStyle name="20% - Accent3 13 2" xfId="3229"/>
    <cellStyle name="20% - Accent3 13 2 2" xfId="26004"/>
    <cellStyle name="20% - Accent3 13 3" xfId="23708"/>
    <cellStyle name="20% - Accent3 14" xfId="1589"/>
    <cellStyle name="20% - Accent3 14 2" xfId="3885"/>
    <cellStyle name="20% - Accent3 14 2 2" xfId="26660"/>
    <cellStyle name="20% - Accent3 14 3" xfId="24364"/>
    <cellStyle name="20% - Accent3 15" xfId="4541"/>
    <cellStyle name="20% - Accent3 15 2" xfId="27316"/>
    <cellStyle name="20% - Accent3 16" xfId="5197"/>
    <cellStyle name="20% - Accent3 16 2" xfId="27972"/>
    <cellStyle name="20% - Accent3 17" xfId="5853"/>
    <cellStyle name="20% - Accent3 17 2" xfId="28628"/>
    <cellStyle name="20% - Accent3 18" xfId="2245"/>
    <cellStyle name="20% - Accent3 18 2" xfId="25020"/>
    <cellStyle name="20% - Accent3 19" xfId="6509"/>
    <cellStyle name="20% - Accent3 19 2" xfId="29284"/>
    <cellStyle name="20% - Accent3 2" xfId="73"/>
    <cellStyle name="20% - Accent3 2 10" xfId="5869"/>
    <cellStyle name="20% - Accent3 2 10 2" xfId="28644"/>
    <cellStyle name="20% - Accent3 2 11" xfId="2261"/>
    <cellStyle name="20% - Accent3 2 11 2" xfId="25036"/>
    <cellStyle name="20% - Accent3 2 12" xfId="6525"/>
    <cellStyle name="20% - Accent3 2 12 2" xfId="29300"/>
    <cellStyle name="20% - Accent3 2 13" xfId="7181"/>
    <cellStyle name="20% - Accent3 2 13 2" xfId="29956"/>
    <cellStyle name="20% - Accent3 2 14" xfId="7837"/>
    <cellStyle name="20% - Accent3 2 14 2" xfId="30612"/>
    <cellStyle name="20% - Accent3 2 15" xfId="8493"/>
    <cellStyle name="20% - Accent3 2 15 2" xfId="31268"/>
    <cellStyle name="20% - Accent3 2 16" xfId="9149"/>
    <cellStyle name="20% - Accent3 2 16 2" xfId="31924"/>
    <cellStyle name="20% - Accent3 2 17" xfId="9805"/>
    <cellStyle name="20% - Accent3 2 17 2" xfId="32580"/>
    <cellStyle name="20% - Accent3 2 18" xfId="10461"/>
    <cellStyle name="20% - Accent3 2 18 2" xfId="33236"/>
    <cellStyle name="20% - Accent3 2 19" xfId="11117"/>
    <cellStyle name="20% - Accent3 2 19 2" xfId="33892"/>
    <cellStyle name="20% - Accent3 2 2" xfId="149"/>
    <cellStyle name="20% - Accent3 2 2 10" xfId="2347"/>
    <cellStyle name="20% - Accent3 2 2 10 2" xfId="25122"/>
    <cellStyle name="20% - Accent3 2 2 11" xfId="6611"/>
    <cellStyle name="20% - Accent3 2 2 11 2" xfId="29386"/>
    <cellStyle name="20% - Accent3 2 2 12" xfId="7267"/>
    <cellStyle name="20% - Accent3 2 2 12 2" xfId="30042"/>
    <cellStyle name="20% - Accent3 2 2 13" xfId="7923"/>
    <cellStyle name="20% - Accent3 2 2 13 2" xfId="30698"/>
    <cellStyle name="20% - Accent3 2 2 14" xfId="8579"/>
    <cellStyle name="20% - Accent3 2 2 14 2" xfId="31354"/>
    <cellStyle name="20% - Accent3 2 2 15" xfId="9235"/>
    <cellStyle name="20% - Accent3 2 2 15 2" xfId="32010"/>
    <cellStyle name="20% - Accent3 2 2 16" xfId="9891"/>
    <cellStyle name="20% - Accent3 2 2 16 2" xfId="32666"/>
    <cellStyle name="20% - Accent3 2 2 17" xfId="10547"/>
    <cellStyle name="20% - Accent3 2 2 17 2" xfId="33322"/>
    <cellStyle name="20% - Accent3 2 2 18" xfId="11203"/>
    <cellStyle name="20% - Accent3 2 2 18 2" xfId="33978"/>
    <cellStyle name="20% - Accent3 2 2 19" xfId="11859"/>
    <cellStyle name="20% - Accent3 2 2 19 2" xfId="34634"/>
    <cellStyle name="20% - Accent3 2 2 2" xfId="563"/>
    <cellStyle name="20% - Accent3 2 2 2 10" xfId="6796"/>
    <cellStyle name="20% - Accent3 2 2 2 10 2" xfId="29571"/>
    <cellStyle name="20% - Accent3 2 2 2 11" xfId="7452"/>
    <cellStyle name="20% - Accent3 2 2 2 11 2" xfId="30227"/>
    <cellStyle name="20% - Accent3 2 2 2 12" xfId="8108"/>
    <cellStyle name="20% - Accent3 2 2 2 12 2" xfId="30883"/>
    <cellStyle name="20% - Accent3 2 2 2 13" xfId="8764"/>
    <cellStyle name="20% - Accent3 2 2 2 13 2" xfId="31539"/>
    <cellStyle name="20% - Accent3 2 2 2 14" xfId="9420"/>
    <cellStyle name="20% - Accent3 2 2 2 14 2" xfId="32195"/>
    <cellStyle name="20% - Accent3 2 2 2 15" xfId="10076"/>
    <cellStyle name="20% - Accent3 2 2 2 15 2" xfId="32851"/>
    <cellStyle name="20% - Accent3 2 2 2 16" xfId="10732"/>
    <cellStyle name="20% - Accent3 2 2 2 16 2" xfId="33507"/>
    <cellStyle name="20% - Accent3 2 2 2 17" xfId="11388"/>
    <cellStyle name="20% - Accent3 2 2 2 17 2" xfId="34163"/>
    <cellStyle name="20% - Accent3 2 2 2 18" xfId="12044"/>
    <cellStyle name="20% - Accent3 2 2 2 18 2" xfId="34819"/>
    <cellStyle name="20% - Accent3 2 2 2 19" xfId="12700"/>
    <cellStyle name="20% - Accent3 2 2 2 19 2" xfId="35475"/>
    <cellStyle name="20% - Accent3 2 2 2 2" xfId="892"/>
    <cellStyle name="20% - Accent3 2 2 2 2 10" xfId="8436"/>
    <cellStyle name="20% - Accent3 2 2 2 2 10 2" xfId="31211"/>
    <cellStyle name="20% - Accent3 2 2 2 2 11" xfId="9092"/>
    <cellStyle name="20% - Accent3 2 2 2 2 11 2" xfId="31867"/>
    <cellStyle name="20% - Accent3 2 2 2 2 12" xfId="9748"/>
    <cellStyle name="20% - Accent3 2 2 2 2 12 2" xfId="32523"/>
    <cellStyle name="20% - Accent3 2 2 2 2 13" xfId="10404"/>
    <cellStyle name="20% - Accent3 2 2 2 2 13 2" xfId="33179"/>
    <cellStyle name="20% - Accent3 2 2 2 2 14" xfId="11060"/>
    <cellStyle name="20% - Accent3 2 2 2 2 14 2" xfId="33835"/>
    <cellStyle name="20% - Accent3 2 2 2 2 15" xfId="11716"/>
    <cellStyle name="20% - Accent3 2 2 2 2 15 2" xfId="34491"/>
    <cellStyle name="20% - Accent3 2 2 2 2 16" xfId="12372"/>
    <cellStyle name="20% - Accent3 2 2 2 2 16 2" xfId="35147"/>
    <cellStyle name="20% - Accent3 2 2 2 2 17" xfId="13028"/>
    <cellStyle name="20% - Accent3 2 2 2 2 17 2" xfId="35803"/>
    <cellStyle name="20% - Accent3 2 2 2 2 18" xfId="13684"/>
    <cellStyle name="20% - Accent3 2 2 2 2 18 2" xfId="36459"/>
    <cellStyle name="20% - Accent3 2 2 2 2 19" xfId="14340"/>
    <cellStyle name="20% - Accent3 2 2 2 2 19 2" xfId="37115"/>
    <cellStyle name="20% - Accent3 2 2 2 2 2" xfId="1548"/>
    <cellStyle name="20% - Accent3 2 2 2 2 2 2" xfId="3844"/>
    <cellStyle name="20% - Accent3 2 2 2 2 2 2 2" xfId="26619"/>
    <cellStyle name="20% - Accent3 2 2 2 2 2 3" xfId="24323"/>
    <cellStyle name="20% - Accent3 2 2 2 2 20" xfId="14996"/>
    <cellStyle name="20% - Accent3 2 2 2 2 20 2" xfId="37771"/>
    <cellStyle name="20% - Accent3 2 2 2 2 21" xfId="15652"/>
    <cellStyle name="20% - Accent3 2 2 2 2 21 2" xfId="38427"/>
    <cellStyle name="20% - Accent3 2 2 2 2 22" xfId="16308"/>
    <cellStyle name="20% - Accent3 2 2 2 2 22 2" xfId="39083"/>
    <cellStyle name="20% - Accent3 2 2 2 2 23" xfId="16964"/>
    <cellStyle name="20% - Accent3 2 2 2 2 23 2" xfId="39739"/>
    <cellStyle name="20% - Accent3 2 2 2 2 24" xfId="17620"/>
    <cellStyle name="20% - Accent3 2 2 2 2 24 2" xfId="40395"/>
    <cellStyle name="20% - Accent3 2 2 2 2 25" xfId="18276"/>
    <cellStyle name="20% - Accent3 2 2 2 2 25 2" xfId="41051"/>
    <cellStyle name="20% - Accent3 2 2 2 2 26" xfId="18932"/>
    <cellStyle name="20% - Accent3 2 2 2 2 26 2" xfId="41707"/>
    <cellStyle name="20% - Accent3 2 2 2 2 27" xfId="19588"/>
    <cellStyle name="20% - Accent3 2 2 2 2 27 2" xfId="42363"/>
    <cellStyle name="20% - Accent3 2 2 2 2 28" xfId="20244"/>
    <cellStyle name="20% - Accent3 2 2 2 2 28 2" xfId="43019"/>
    <cellStyle name="20% - Accent3 2 2 2 2 29" xfId="20900"/>
    <cellStyle name="20% - Accent3 2 2 2 2 29 2" xfId="43675"/>
    <cellStyle name="20% - Accent3 2 2 2 2 3" xfId="2204"/>
    <cellStyle name="20% - Accent3 2 2 2 2 3 2" xfId="4500"/>
    <cellStyle name="20% - Accent3 2 2 2 2 3 2 2" xfId="27275"/>
    <cellStyle name="20% - Accent3 2 2 2 2 3 3" xfId="24979"/>
    <cellStyle name="20% - Accent3 2 2 2 2 30" xfId="21556"/>
    <cellStyle name="20% - Accent3 2 2 2 2 30 2" xfId="44331"/>
    <cellStyle name="20% - Accent3 2 2 2 2 31" xfId="22212"/>
    <cellStyle name="20% - Accent3 2 2 2 2 31 2" xfId="44987"/>
    <cellStyle name="20% - Accent3 2 2 2 2 32" xfId="22868"/>
    <cellStyle name="20% - Accent3 2 2 2 2 32 2" xfId="45643"/>
    <cellStyle name="20% - Accent3 2 2 2 2 33" xfId="23667"/>
    <cellStyle name="20% - Accent3 2 2 2 2 4" xfId="5156"/>
    <cellStyle name="20% - Accent3 2 2 2 2 4 2" xfId="27931"/>
    <cellStyle name="20% - Accent3 2 2 2 2 5" xfId="5812"/>
    <cellStyle name="20% - Accent3 2 2 2 2 5 2" xfId="28587"/>
    <cellStyle name="20% - Accent3 2 2 2 2 6" xfId="6468"/>
    <cellStyle name="20% - Accent3 2 2 2 2 6 2" xfId="29243"/>
    <cellStyle name="20% - Accent3 2 2 2 2 7" xfId="3188"/>
    <cellStyle name="20% - Accent3 2 2 2 2 7 2" xfId="25963"/>
    <cellStyle name="20% - Accent3 2 2 2 2 8" xfId="7124"/>
    <cellStyle name="20% - Accent3 2 2 2 2 8 2" xfId="29899"/>
    <cellStyle name="20% - Accent3 2 2 2 2 9" xfId="7780"/>
    <cellStyle name="20% - Accent3 2 2 2 2 9 2" xfId="30555"/>
    <cellStyle name="20% - Accent3 2 2 2 20" xfId="13356"/>
    <cellStyle name="20% - Accent3 2 2 2 20 2" xfId="36131"/>
    <cellStyle name="20% - Accent3 2 2 2 21" xfId="14012"/>
    <cellStyle name="20% - Accent3 2 2 2 21 2" xfId="36787"/>
    <cellStyle name="20% - Accent3 2 2 2 22" xfId="14668"/>
    <cellStyle name="20% - Accent3 2 2 2 22 2" xfId="37443"/>
    <cellStyle name="20% - Accent3 2 2 2 23" xfId="15324"/>
    <cellStyle name="20% - Accent3 2 2 2 23 2" xfId="38099"/>
    <cellStyle name="20% - Accent3 2 2 2 24" xfId="15980"/>
    <cellStyle name="20% - Accent3 2 2 2 24 2" xfId="38755"/>
    <cellStyle name="20% - Accent3 2 2 2 25" xfId="16636"/>
    <cellStyle name="20% - Accent3 2 2 2 25 2" xfId="39411"/>
    <cellStyle name="20% - Accent3 2 2 2 26" xfId="17292"/>
    <cellStyle name="20% - Accent3 2 2 2 26 2" xfId="40067"/>
    <cellStyle name="20% - Accent3 2 2 2 27" xfId="17948"/>
    <cellStyle name="20% - Accent3 2 2 2 27 2" xfId="40723"/>
    <cellStyle name="20% - Accent3 2 2 2 28" xfId="18604"/>
    <cellStyle name="20% - Accent3 2 2 2 28 2" xfId="41379"/>
    <cellStyle name="20% - Accent3 2 2 2 29" xfId="19260"/>
    <cellStyle name="20% - Accent3 2 2 2 29 2" xfId="42035"/>
    <cellStyle name="20% - Accent3 2 2 2 3" xfId="1220"/>
    <cellStyle name="20% - Accent3 2 2 2 3 2" xfId="2860"/>
    <cellStyle name="20% - Accent3 2 2 2 3 2 2" xfId="25635"/>
    <cellStyle name="20% - Accent3 2 2 2 3 3" xfId="23995"/>
    <cellStyle name="20% - Accent3 2 2 2 30" xfId="19916"/>
    <cellStyle name="20% - Accent3 2 2 2 30 2" xfId="42691"/>
    <cellStyle name="20% - Accent3 2 2 2 31" xfId="20572"/>
    <cellStyle name="20% - Accent3 2 2 2 31 2" xfId="43347"/>
    <cellStyle name="20% - Accent3 2 2 2 32" xfId="21228"/>
    <cellStyle name="20% - Accent3 2 2 2 32 2" xfId="44003"/>
    <cellStyle name="20% - Accent3 2 2 2 33" xfId="21884"/>
    <cellStyle name="20% - Accent3 2 2 2 33 2" xfId="44659"/>
    <cellStyle name="20% - Accent3 2 2 2 34" xfId="22540"/>
    <cellStyle name="20% - Accent3 2 2 2 34 2" xfId="45315"/>
    <cellStyle name="20% - Accent3 2 2 2 35" xfId="23339"/>
    <cellStyle name="20% - Accent3 2 2 2 4" xfId="1876"/>
    <cellStyle name="20% - Accent3 2 2 2 4 2" xfId="3516"/>
    <cellStyle name="20% - Accent3 2 2 2 4 2 2" xfId="26291"/>
    <cellStyle name="20% - Accent3 2 2 2 4 3" xfId="24651"/>
    <cellStyle name="20% - Accent3 2 2 2 5" xfId="4172"/>
    <cellStyle name="20% - Accent3 2 2 2 5 2" xfId="26947"/>
    <cellStyle name="20% - Accent3 2 2 2 6" xfId="4828"/>
    <cellStyle name="20% - Accent3 2 2 2 6 2" xfId="27603"/>
    <cellStyle name="20% - Accent3 2 2 2 7" xfId="5484"/>
    <cellStyle name="20% - Accent3 2 2 2 7 2" xfId="28259"/>
    <cellStyle name="20% - Accent3 2 2 2 8" xfId="6140"/>
    <cellStyle name="20% - Accent3 2 2 2 8 2" xfId="28915"/>
    <cellStyle name="20% - Accent3 2 2 2 9" xfId="2532"/>
    <cellStyle name="20% - Accent3 2 2 2 9 2" xfId="25307"/>
    <cellStyle name="20% - Accent3 2 2 20" xfId="12515"/>
    <cellStyle name="20% - Accent3 2 2 20 2" xfId="35290"/>
    <cellStyle name="20% - Accent3 2 2 21" xfId="13171"/>
    <cellStyle name="20% - Accent3 2 2 21 2" xfId="35946"/>
    <cellStyle name="20% - Accent3 2 2 22" xfId="13827"/>
    <cellStyle name="20% - Accent3 2 2 22 2" xfId="36602"/>
    <cellStyle name="20% - Accent3 2 2 23" xfId="14483"/>
    <cellStyle name="20% - Accent3 2 2 23 2" xfId="37258"/>
    <cellStyle name="20% - Accent3 2 2 24" xfId="15139"/>
    <cellStyle name="20% - Accent3 2 2 24 2" xfId="37914"/>
    <cellStyle name="20% - Accent3 2 2 25" xfId="15795"/>
    <cellStyle name="20% - Accent3 2 2 25 2" xfId="38570"/>
    <cellStyle name="20% - Accent3 2 2 26" xfId="16451"/>
    <cellStyle name="20% - Accent3 2 2 26 2" xfId="39226"/>
    <cellStyle name="20% - Accent3 2 2 27" xfId="17107"/>
    <cellStyle name="20% - Accent3 2 2 27 2" xfId="39882"/>
    <cellStyle name="20% - Accent3 2 2 28" xfId="17763"/>
    <cellStyle name="20% - Accent3 2 2 28 2" xfId="40538"/>
    <cellStyle name="20% - Accent3 2 2 29" xfId="18419"/>
    <cellStyle name="20% - Accent3 2 2 29 2" xfId="41194"/>
    <cellStyle name="20% - Accent3 2 2 3" xfId="707"/>
    <cellStyle name="20% - Accent3 2 2 3 10" xfId="8251"/>
    <cellStyle name="20% - Accent3 2 2 3 10 2" xfId="31026"/>
    <cellStyle name="20% - Accent3 2 2 3 11" xfId="8907"/>
    <cellStyle name="20% - Accent3 2 2 3 11 2" xfId="31682"/>
    <cellStyle name="20% - Accent3 2 2 3 12" xfId="9563"/>
    <cellStyle name="20% - Accent3 2 2 3 12 2" xfId="32338"/>
    <cellStyle name="20% - Accent3 2 2 3 13" xfId="10219"/>
    <cellStyle name="20% - Accent3 2 2 3 13 2" xfId="32994"/>
    <cellStyle name="20% - Accent3 2 2 3 14" xfId="10875"/>
    <cellStyle name="20% - Accent3 2 2 3 14 2" xfId="33650"/>
    <cellStyle name="20% - Accent3 2 2 3 15" xfId="11531"/>
    <cellStyle name="20% - Accent3 2 2 3 15 2" xfId="34306"/>
    <cellStyle name="20% - Accent3 2 2 3 16" xfId="12187"/>
    <cellStyle name="20% - Accent3 2 2 3 16 2" xfId="34962"/>
    <cellStyle name="20% - Accent3 2 2 3 17" xfId="12843"/>
    <cellStyle name="20% - Accent3 2 2 3 17 2" xfId="35618"/>
    <cellStyle name="20% - Accent3 2 2 3 18" xfId="13499"/>
    <cellStyle name="20% - Accent3 2 2 3 18 2" xfId="36274"/>
    <cellStyle name="20% - Accent3 2 2 3 19" xfId="14155"/>
    <cellStyle name="20% - Accent3 2 2 3 19 2" xfId="36930"/>
    <cellStyle name="20% - Accent3 2 2 3 2" xfId="1363"/>
    <cellStyle name="20% - Accent3 2 2 3 2 2" xfId="3659"/>
    <cellStyle name="20% - Accent3 2 2 3 2 2 2" xfId="26434"/>
    <cellStyle name="20% - Accent3 2 2 3 2 3" xfId="24138"/>
    <cellStyle name="20% - Accent3 2 2 3 20" xfId="14811"/>
    <cellStyle name="20% - Accent3 2 2 3 20 2" xfId="37586"/>
    <cellStyle name="20% - Accent3 2 2 3 21" xfId="15467"/>
    <cellStyle name="20% - Accent3 2 2 3 21 2" xfId="38242"/>
    <cellStyle name="20% - Accent3 2 2 3 22" xfId="16123"/>
    <cellStyle name="20% - Accent3 2 2 3 22 2" xfId="38898"/>
    <cellStyle name="20% - Accent3 2 2 3 23" xfId="16779"/>
    <cellStyle name="20% - Accent3 2 2 3 23 2" xfId="39554"/>
    <cellStyle name="20% - Accent3 2 2 3 24" xfId="17435"/>
    <cellStyle name="20% - Accent3 2 2 3 24 2" xfId="40210"/>
    <cellStyle name="20% - Accent3 2 2 3 25" xfId="18091"/>
    <cellStyle name="20% - Accent3 2 2 3 25 2" xfId="40866"/>
    <cellStyle name="20% - Accent3 2 2 3 26" xfId="18747"/>
    <cellStyle name="20% - Accent3 2 2 3 26 2" xfId="41522"/>
    <cellStyle name="20% - Accent3 2 2 3 27" xfId="19403"/>
    <cellStyle name="20% - Accent3 2 2 3 27 2" xfId="42178"/>
    <cellStyle name="20% - Accent3 2 2 3 28" xfId="20059"/>
    <cellStyle name="20% - Accent3 2 2 3 28 2" xfId="42834"/>
    <cellStyle name="20% - Accent3 2 2 3 29" xfId="20715"/>
    <cellStyle name="20% - Accent3 2 2 3 29 2" xfId="43490"/>
    <cellStyle name="20% - Accent3 2 2 3 3" xfId="2019"/>
    <cellStyle name="20% - Accent3 2 2 3 3 2" xfId="4315"/>
    <cellStyle name="20% - Accent3 2 2 3 3 2 2" xfId="27090"/>
    <cellStyle name="20% - Accent3 2 2 3 3 3" xfId="24794"/>
    <cellStyle name="20% - Accent3 2 2 3 30" xfId="21371"/>
    <cellStyle name="20% - Accent3 2 2 3 30 2" xfId="44146"/>
    <cellStyle name="20% - Accent3 2 2 3 31" xfId="22027"/>
    <cellStyle name="20% - Accent3 2 2 3 31 2" xfId="44802"/>
    <cellStyle name="20% - Accent3 2 2 3 32" xfId="22683"/>
    <cellStyle name="20% - Accent3 2 2 3 32 2" xfId="45458"/>
    <cellStyle name="20% - Accent3 2 2 3 33" xfId="23482"/>
    <cellStyle name="20% - Accent3 2 2 3 4" xfId="4971"/>
    <cellStyle name="20% - Accent3 2 2 3 4 2" xfId="27746"/>
    <cellStyle name="20% - Accent3 2 2 3 5" xfId="5627"/>
    <cellStyle name="20% - Accent3 2 2 3 5 2" xfId="28402"/>
    <cellStyle name="20% - Accent3 2 2 3 6" xfId="6283"/>
    <cellStyle name="20% - Accent3 2 2 3 6 2" xfId="29058"/>
    <cellStyle name="20% - Accent3 2 2 3 7" xfId="3003"/>
    <cellStyle name="20% - Accent3 2 2 3 7 2" xfId="25778"/>
    <cellStyle name="20% - Accent3 2 2 3 8" xfId="6939"/>
    <cellStyle name="20% - Accent3 2 2 3 8 2" xfId="29714"/>
    <cellStyle name="20% - Accent3 2 2 3 9" xfId="7595"/>
    <cellStyle name="20% - Accent3 2 2 3 9 2" xfId="30370"/>
    <cellStyle name="20% - Accent3 2 2 30" xfId="19075"/>
    <cellStyle name="20% - Accent3 2 2 30 2" xfId="41850"/>
    <cellStyle name="20% - Accent3 2 2 31" xfId="19731"/>
    <cellStyle name="20% - Accent3 2 2 31 2" xfId="42506"/>
    <cellStyle name="20% - Accent3 2 2 32" xfId="20387"/>
    <cellStyle name="20% - Accent3 2 2 32 2" xfId="43162"/>
    <cellStyle name="20% - Accent3 2 2 33" xfId="21043"/>
    <cellStyle name="20% - Accent3 2 2 33 2" xfId="43818"/>
    <cellStyle name="20% - Accent3 2 2 34" xfId="21699"/>
    <cellStyle name="20% - Accent3 2 2 34 2" xfId="44474"/>
    <cellStyle name="20% - Accent3 2 2 35" xfId="22355"/>
    <cellStyle name="20% - Accent3 2 2 35 2" xfId="45130"/>
    <cellStyle name="20% - Accent3 2 2 36" xfId="23011"/>
    <cellStyle name="20% - Accent3 2 2 4" xfId="380"/>
    <cellStyle name="20% - Accent3 2 2 4 2" xfId="2675"/>
    <cellStyle name="20% - Accent3 2 2 4 2 2" xfId="25450"/>
    <cellStyle name="20% - Accent3 2 2 4 3" xfId="23154"/>
    <cellStyle name="20% - Accent3 2 2 5" xfId="1035"/>
    <cellStyle name="20% - Accent3 2 2 5 2" xfId="3331"/>
    <cellStyle name="20% - Accent3 2 2 5 2 2" xfId="26106"/>
    <cellStyle name="20% - Accent3 2 2 5 3" xfId="23810"/>
    <cellStyle name="20% - Accent3 2 2 6" xfId="1691"/>
    <cellStyle name="20% - Accent3 2 2 6 2" xfId="3987"/>
    <cellStyle name="20% - Accent3 2 2 6 2 2" xfId="26762"/>
    <cellStyle name="20% - Accent3 2 2 6 3" xfId="24466"/>
    <cellStyle name="20% - Accent3 2 2 7" xfId="4643"/>
    <cellStyle name="20% - Accent3 2 2 7 2" xfId="27418"/>
    <cellStyle name="20% - Accent3 2 2 8" xfId="5299"/>
    <cellStyle name="20% - Accent3 2 2 8 2" xfId="28074"/>
    <cellStyle name="20% - Accent3 2 2 9" xfId="5955"/>
    <cellStyle name="20% - Accent3 2 2 9 2" xfId="28730"/>
    <cellStyle name="20% - Accent3 2 20" xfId="11773"/>
    <cellStyle name="20% - Accent3 2 20 2" xfId="34548"/>
    <cellStyle name="20% - Accent3 2 21" xfId="12429"/>
    <cellStyle name="20% - Accent3 2 21 2" xfId="35204"/>
    <cellStyle name="20% - Accent3 2 22" xfId="13085"/>
    <cellStyle name="20% - Accent3 2 22 2" xfId="35860"/>
    <cellStyle name="20% - Accent3 2 23" xfId="13741"/>
    <cellStyle name="20% - Accent3 2 23 2" xfId="36516"/>
    <cellStyle name="20% - Accent3 2 24" xfId="14397"/>
    <cellStyle name="20% - Accent3 2 24 2" xfId="37172"/>
    <cellStyle name="20% - Accent3 2 25" xfId="15053"/>
    <cellStyle name="20% - Accent3 2 25 2" xfId="37828"/>
    <cellStyle name="20% - Accent3 2 26" xfId="15709"/>
    <cellStyle name="20% - Accent3 2 26 2" xfId="38484"/>
    <cellStyle name="20% - Accent3 2 27" xfId="16365"/>
    <cellStyle name="20% - Accent3 2 27 2" xfId="39140"/>
    <cellStyle name="20% - Accent3 2 28" xfId="17021"/>
    <cellStyle name="20% - Accent3 2 28 2" xfId="39796"/>
    <cellStyle name="20% - Accent3 2 29" xfId="17677"/>
    <cellStyle name="20% - Accent3 2 29 2" xfId="40452"/>
    <cellStyle name="20% - Accent3 2 3" xfId="479"/>
    <cellStyle name="20% - Accent3 2 3 10" xfId="6710"/>
    <cellStyle name="20% - Accent3 2 3 10 2" xfId="29485"/>
    <cellStyle name="20% - Accent3 2 3 11" xfId="7366"/>
    <cellStyle name="20% - Accent3 2 3 11 2" xfId="30141"/>
    <cellStyle name="20% - Accent3 2 3 12" xfId="8022"/>
    <cellStyle name="20% - Accent3 2 3 12 2" xfId="30797"/>
    <cellStyle name="20% - Accent3 2 3 13" xfId="8678"/>
    <cellStyle name="20% - Accent3 2 3 13 2" xfId="31453"/>
    <cellStyle name="20% - Accent3 2 3 14" xfId="9334"/>
    <cellStyle name="20% - Accent3 2 3 14 2" xfId="32109"/>
    <cellStyle name="20% - Accent3 2 3 15" xfId="9990"/>
    <cellStyle name="20% - Accent3 2 3 15 2" xfId="32765"/>
    <cellStyle name="20% - Accent3 2 3 16" xfId="10646"/>
    <cellStyle name="20% - Accent3 2 3 16 2" xfId="33421"/>
    <cellStyle name="20% - Accent3 2 3 17" xfId="11302"/>
    <cellStyle name="20% - Accent3 2 3 17 2" xfId="34077"/>
    <cellStyle name="20% - Accent3 2 3 18" xfId="11958"/>
    <cellStyle name="20% - Accent3 2 3 18 2" xfId="34733"/>
    <cellStyle name="20% - Accent3 2 3 19" xfId="12614"/>
    <cellStyle name="20% - Accent3 2 3 19 2" xfId="35389"/>
    <cellStyle name="20% - Accent3 2 3 2" xfId="806"/>
    <cellStyle name="20% - Accent3 2 3 2 10" xfId="8350"/>
    <cellStyle name="20% - Accent3 2 3 2 10 2" xfId="31125"/>
    <cellStyle name="20% - Accent3 2 3 2 11" xfId="9006"/>
    <cellStyle name="20% - Accent3 2 3 2 11 2" xfId="31781"/>
    <cellStyle name="20% - Accent3 2 3 2 12" xfId="9662"/>
    <cellStyle name="20% - Accent3 2 3 2 12 2" xfId="32437"/>
    <cellStyle name="20% - Accent3 2 3 2 13" xfId="10318"/>
    <cellStyle name="20% - Accent3 2 3 2 13 2" xfId="33093"/>
    <cellStyle name="20% - Accent3 2 3 2 14" xfId="10974"/>
    <cellStyle name="20% - Accent3 2 3 2 14 2" xfId="33749"/>
    <cellStyle name="20% - Accent3 2 3 2 15" xfId="11630"/>
    <cellStyle name="20% - Accent3 2 3 2 15 2" xfId="34405"/>
    <cellStyle name="20% - Accent3 2 3 2 16" xfId="12286"/>
    <cellStyle name="20% - Accent3 2 3 2 16 2" xfId="35061"/>
    <cellStyle name="20% - Accent3 2 3 2 17" xfId="12942"/>
    <cellStyle name="20% - Accent3 2 3 2 17 2" xfId="35717"/>
    <cellStyle name="20% - Accent3 2 3 2 18" xfId="13598"/>
    <cellStyle name="20% - Accent3 2 3 2 18 2" xfId="36373"/>
    <cellStyle name="20% - Accent3 2 3 2 19" xfId="14254"/>
    <cellStyle name="20% - Accent3 2 3 2 19 2" xfId="37029"/>
    <cellStyle name="20% - Accent3 2 3 2 2" xfId="1462"/>
    <cellStyle name="20% - Accent3 2 3 2 2 2" xfId="3758"/>
    <cellStyle name="20% - Accent3 2 3 2 2 2 2" xfId="26533"/>
    <cellStyle name="20% - Accent3 2 3 2 2 3" xfId="24237"/>
    <cellStyle name="20% - Accent3 2 3 2 20" xfId="14910"/>
    <cellStyle name="20% - Accent3 2 3 2 20 2" xfId="37685"/>
    <cellStyle name="20% - Accent3 2 3 2 21" xfId="15566"/>
    <cellStyle name="20% - Accent3 2 3 2 21 2" xfId="38341"/>
    <cellStyle name="20% - Accent3 2 3 2 22" xfId="16222"/>
    <cellStyle name="20% - Accent3 2 3 2 22 2" xfId="38997"/>
    <cellStyle name="20% - Accent3 2 3 2 23" xfId="16878"/>
    <cellStyle name="20% - Accent3 2 3 2 23 2" xfId="39653"/>
    <cellStyle name="20% - Accent3 2 3 2 24" xfId="17534"/>
    <cellStyle name="20% - Accent3 2 3 2 24 2" xfId="40309"/>
    <cellStyle name="20% - Accent3 2 3 2 25" xfId="18190"/>
    <cellStyle name="20% - Accent3 2 3 2 25 2" xfId="40965"/>
    <cellStyle name="20% - Accent3 2 3 2 26" xfId="18846"/>
    <cellStyle name="20% - Accent3 2 3 2 26 2" xfId="41621"/>
    <cellStyle name="20% - Accent3 2 3 2 27" xfId="19502"/>
    <cellStyle name="20% - Accent3 2 3 2 27 2" xfId="42277"/>
    <cellStyle name="20% - Accent3 2 3 2 28" xfId="20158"/>
    <cellStyle name="20% - Accent3 2 3 2 28 2" xfId="42933"/>
    <cellStyle name="20% - Accent3 2 3 2 29" xfId="20814"/>
    <cellStyle name="20% - Accent3 2 3 2 29 2" xfId="43589"/>
    <cellStyle name="20% - Accent3 2 3 2 3" xfId="2118"/>
    <cellStyle name="20% - Accent3 2 3 2 3 2" xfId="4414"/>
    <cellStyle name="20% - Accent3 2 3 2 3 2 2" xfId="27189"/>
    <cellStyle name="20% - Accent3 2 3 2 3 3" xfId="24893"/>
    <cellStyle name="20% - Accent3 2 3 2 30" xfId="21470"/>
    <cellStyle name="20% - Accent3 2 3 2 30 2" xfId="44245"/>
    <cellStyle name="20% - Accent3 2 3 2 31" xfId="22126"/>
    <cellStyle name="20% - Accent3 2 3 2 31 2" xfId="44901"/>
    <cellStyle name="20% - Accent3 2 3 2 32" xfId="22782"/>
    <cellStyle name="20% - Accent3 2 3 2 32 2" xfId="45557"/>
    <cellStyle name="20% - Accent3 2 3 2 33" xfId="23581"/>
    <cellStyle name="20% - Accent3 2 3 2 4" xfId="5070"/>
    <cellStyle name="20% - Accent3 2 3 2 4 2" xfId="27845"/>
    <cellStyle name="20% - Accent3 2 3 2 5" xfId="5726"/>
    <cellStyle name="20% - Accent3 2 3 2 5 2" xfId="28501"/>
    <cellStyle name="20% - Accent3 2 3 2 6" xfId="6382"/>
    <cellStyle name="20% - Accent3 2 3 2 6 2" xfId="29157"/>
    <cellStyle name="20% - Accent3 2 3 2 7" xfId="3102"/>
    <cellStyle name="20% - Accent3 2 3 2 7 2" xfId="25877"/>
    <cellStyle name="20% - Accent3 2 3 2 8" xfId="7038"/>
    <cellStyle name="20% - Accent3 2 3 2 8 2" xfId="29813"/>
    <cellStyle name="20% - Accent3 2 3 2 9" xfId="7694"/>
    <cellStyle name="20% - Accent3 2 3 2 9 2" xfId="30469"/>
    <cellStyle name="20% - Accent3 2 3 20" xfId="13270"/>
    <cellStyle name="20% - Accent3 2 3 20 2" xfId="36045"/>
    <cellStyle name="20% - Accent3 2 3 21" xfId="13926"/>
    <cellStyle name="20% - Accent3 2 3 21 2" xfId="36701"/>
    <cellStyle name="20% - Accent3 2 3 22" xfId="14582"/>
    <cellStyle name="20% - Accent3 2 3 22 2" xfId="37357"/>
    <cellStyle name="20% - Accent3 2 3 23" xfId="15238"/>
    <cellStyle name="20% - Accent3 2 3 23 2" xfId="38013"/>
    <cellStyle name="20% - Accent3 2 3 24" xfId="15894"/>
    <cellStyle name="20% - Accent3 2 3 24 2" xfId="38669"/>
    <cellStyle name="20% - Accent3 2 3 25" xfId="16550"/>
    <cellStyle name="20% - Accent3 2 3 25 2" xfId="39325"/>
    <cellStyle name="20% - Accent3 2 3 26" xfId="17206"/>
    <cellStyle name="20% - Accent3 2 3 26 2" xfId="39981"/>
    <cellStyle name="20% - Accent3 2 3 27" xfId="17862"/>
    <cellStyle name="20% - Accent3 2 3 27 2" xfId="40637"/>
    <cellStyle name="20% - Accent3 2 3 28" xfId="18518"/>
    <cellStyle name="20% - Accent3 2 3 28 2" xfId="41293"/>
    <cellStyle name="20% - Accent3 2 3 29" xfId="19174"/>
    <cellStyle name="20% - Accent3 2 3 29 2" xfId="41949"/>
    <cellStyle name="20% - Accent3 2 3 3" xfId="1134"/>
    <cellStyle name="20% - Accent3 2 3 3 2" xfId="2774"/>
    <cellStyle name="20% - Accent3 2 3 3 2 2" xfId="25549"/>
    <cellStyle name="20% - Accent3 2 3 3 3" xfId="23909"/>
    <cellStyle name="20% - Accent3 2 3 30" xfId="19830"/>
    <cellStyle name="20% - Accent3 2 3 30 2" xfId="42605"/>
    <cellStyle name="20% - Accent3 2 3 31" xfId="20486"/>
    <cellStyle name="20% - Accent3 2 3 31 2" xfId="43261"/>
    <cellStyle name="20% - Accent3 2 3 32" xfId="21142"/>
    <cellStyle name="20% - Accent3 2 3 32 2" xfId="43917"/>
    <cellStyle name="20% - Accent3 2 3 33" xfId="21798"/>
    <cellStyle name="20% - Accent3 2 3 33 2" xfId="44573"/>
    <cellStyle name="20% - Accent3 2 3 34" xfId="22454"/>
    <cellStyle name="20% - Accent3 2 3 34 2" xfId="45229"/>
    <cellStyle name="20% - Accent3 2 3 35" xfId="23253"/>
    <cellStyle name="20% - Accent3 2 3 4" xfId="1790"/>
    <cellStyle name="20% - Accent3 2 3 4 2" xfId="3430"/>
    <cellStyle name="20% - Accent3 2 3 4 2 2" xfId="26205"/>
    <cellStyle name="20% - Accent3 2 3 4 3" xfId="24565"/>
    <cellStyle name="20% - Accent3 2 3 5" xfId="4086"/>
    <cellStyle name="20% - Accent3 2 3 5 2" xfId="26861"/>
    <cellStyle name="20% - Accent3 2 3 6" xfId="4742"/>
    <cellStyle name="20% - Accent3 2 3 6 2" xfId="27517"/>
    <cellStyle name="20% - Accent3 2 3 7" xfId="5398"/>
    <cellStyle name="20% - Accent3 2 3 7 2" xfId="28173"/>
    <cellStyle name="20% - Accent3 2 3 8" xfId="6054"/>
    <cellStyle name="20% - Accent3 2 3 8 2" xfId="28829"/>
    <cellStyle name="20% - Accent3 2 3 9" xfId="2446"/>
    <cellStyle name="20% - Accent3 2 3 9 2" xfId="25221"/>
    <cellStyle name="20% - Accent3 2 30" xfId="18333"/>
    <cellStyle name="20% - Accent3 2 30 2" xfId="41108"/>
    <cellStyle name="20% - Accent3 2 31" xfId="18989"/>
    <cellStyle name="20% - Accent3 2 31 2" xfId="41764"/>
    <cellStyle name="20% - Accent3 2 32" xfId="19645"/>
    <cellStyle name="20% - Accent3 2 32 2" xfId="42420"/>
    <cellStyle name="20% - Accent3 2 33" xfId="20301"/>
    <cellStyle name="20% - Accent3 2 33 2" xfId="43076"/>
    <cellStyle name="20% - Accent3 2 34" xfId="20957"/>
    <cellStyle name="20% - Accent3 2 34 2" xfId="43732"/>
    <cellStyle name="20% - Accent3 2 35" xfId="21613"/>
    <cellStyle name="20% - Accent3 2 35 2" xfId="44388"/>
    <cellStyle name="20% - Accent3 2 36" xfId="22269"/>
    <cellStyle name="20% - Accent3 2 36 2" xfId="45044"/>
    <cellStyle name="20% - Accent3 2 37" xfId="208"/>
    <cellStyle name="20% - Accent3 2 38" xfId="22925"/>
    <cellStyle name="20% - Accent3 2 4" xfId="621"/>
    <cellStyle name="20% - Accent3 2 4 10" xfId="8165"/>
    <cellStyle name="20% - Accent3 2 4 10 2" xfId="30940"/>
    <cellStyle name="20% - Accent3 2 4 11" xfId="8821"/>
    <cellStyle name="20% - Accent3 2 4 11 2" xfId="31596"/>
    <cellStyle name="20% - Accent3 2 4 12" xfId="9477"/>
    <cellStyle name="20% - Accent3 2 4 12 2" xfId="32252"/>
    <cellStyle name="20% - Accent3 2 4 13" xfId="10133"/>
    <cellStyle name="20% - Accent3 2 4 13 2" xfId="32908"/>
    <cellStyle name="20% - Accent3 2 4 14" xfId="10789"/>
    <cellStyle name="20% - Accent3 2 4 14 2" xfId="33564"/>
    <cellStyle name="20% - Accent3 2 4 15" xfId="11445"/>
    <cellStyle name="20% - Accent3 2 4 15 2" xfId="34220"/>
    <cellStyle name="20% - Accent3 2 4 16" xfId="12101"/>
    <cellStyle name="20% - Accent3 2 4 16 2" xfId="34876"/>
    <cellStyle name="20% - Accent3 2 4 17" xfId="12757"/>
    <cellStyle name="20% - Accent3 2 4 17 2" xfId="35532"/>
    <cellStyle name="20% - Accent3 2 4 18" xfId="13413"/>
    <cellStyle name="20% - Accent3 2 4 18 2" xfId="36188"/>
    <cellStyle name="20% - Accent3 2 4 19" xfId="14069"/>
    <cellStyle name="20% - Accent3 2 4 19 2" xfId="36844"/>
    <cellStyle name="20% - Accent3 2 4 2" xfId="1277"/>
    <cellStyle name="20% - Accent3 2 4 2 2" xfId="3573"/>
    <cellStyle name="20% - Accent3 2 4 2 2 2" xfId="26348"/>
    <cellStyle name="20% - Accent3 2 4 2 3" xfId="24052"/>
    <cellStyle name="20% - Accent3 2 4 20" xfId="14725"/>
    <cellStyle name="20% - Accent3 2 4 20 2" xfId="37500"/>
    <cellStyle name="20% - Accent3 2 4 21" xfId="15381"/>
    <cellStyle name="20% - Accent3 2 4 21 2" xfId="38156"/>
    <cellStyle name="20% - Accent3 2 4 22" xfId="16037"/>
    <cellStyle name="20% - Accent3 2 4 22 2" xfId="38812"/>
    <cellStyle name="20% - Accent3 2 4 23" xfId="16693"/>
    <cellStyle name="20% - Accent3 2 4 23 2" xfId="39468"/>
    <cellStyle name="20% - Accent3 2 4 24" xfId="17349"/>
    <cellStyle name="20% - Accent3 2 4 24 2" xfId="40124"/>
    <cellStyle name="20% - Accent3 2 4 25" xfId="18005"/>
    <cellStyle name="20% - Accent3 2 4 25 2" xfId="40780"/>
    <cellStyle name="20% - Accent3 2 4 26" xfId="18661"/>
    <cellStyle name="20% - Accent3 2 4 26 2" xfId="41436"/>
    <cellStyle name="20% - Accent3 2 4 27" xfId="19317"/>
    <cellStyle name="20% - Accent3 2 4 27 2" xfId="42092"/>
    <cellStyle name="20% - Accent3 2 4 28" xfId="19973"/>
    <cellStyle name="20% - Accent3 2 4 28 2" xfId="42748"/>
    <cellStyle name="20% - Accent3 2 4 29" xfId="20629"/>
    <cellStyle name="20% - Accent3 2 4 29 2" xfId="43404"/>
    <cellStyle name="20% - Accent3 2 4 3" xfId="1933"/>
    <cellStyle name="20% - Accent3 2 4 3 2" xfId="4229"/>
    <cellStyle name="20% - Accent3 2 4 3 2 2" xfId="27004"/>
    <cellStyle name="20% - Accent3 2 4 3 3" xfId="24708"/>
    <cellStyle name="20% - Accent3 2 4 30" xfId="21285"/>
    <cellStyle name="20% - Accent3 2 4 30 2" xfId="44060"/>
    <cellStyle name="20% - Accent3 2 4 31" xfId="21941"/>
    <cellStyle name="20% - Accent3 2 4 31 2" xfId="44716"/>
    <cellStyle name="20% - Accent3 2 4 32" xfId="22597"/>
    <cellStyle name="20% - Accent3 2 4 32 2" xfId="45372"/>
    <cellStyle name="20% - Accent3 2 4 33" xfId="23396"/>
    <cellStyle name="20% - Accent3 2 4 4" xfId="4885"/>
    <cellStyle name="20% - Accent3 2 4 4 2" xfId="27660"/>
    <cellStyle name="20% - Accent3 2 4 5" xfId="5541"/>
    <cellStyle name="20% - Accent3 2 4 5 2" xfId="28316"/>
    <cellStyle name="20% - Accent3 2 4 6" xfId="6197"/>
    <cellStyle name="20% - Accent3 2 4 6 2" xfId="28972"/>
    <cellStyle name="20% - Accent3 2 4 7" xfId="2917"/>
    <cellStyle name="20% - Accent3 2 4 7 2" xfId="25692"/>
    <cellStyle name="20% - Accent3 2 4 8" xfId="6853"/>
    <cellStyle name="20% - Accent3 2 4 8 2" xfId="29628"/>
    <cellStyle name="20% - Accent3 2 4 9" xfId="7509"/>
    <cellStyle name="20% - Accent3 2 4 9 2" xfId="30284"/>
    <cellStyle name="20% - Accent3 2 5" xfId="294"/>
    <cellStyle name="20% - Accent3 2 5 2" xfId="2589"/>
    <cellStyle name="20% - Accent3 2 5 2 2" xfId="25364"/>
    <cellStyle name="20% - Accent3 2 5 3" xfId="23068"/>
    <cellStyle name="20% - Accent3 2 6" xfId="949"/>
    <cellStyle name="20% - Accent3 2 6 2" xfId="3245"/>
    <cellStyle name="20% - Accent3 2 6 2 2" xfId="26020"/>
    <cellStyle name="20% - Accent3 2 6 3" xfId="23724"/>
    <cellStyle name="20% - Accent3 2 7" xfId="1605"/>
    <cellStyle name="20% - Accent3 2 7 2" xfId="3901"/>
    <cellStyle name="20% - Accent3 2 7 2 2" xfId="26676"/>
    <cellStyle name="20% - Accent3 2 7 3" xfId="24380"/>
    <cellStyle name="20% - Accent3 2 8" xfId="4557"/>
    <cellStyle name="20% - Accent3 2 8 2" xfId="27332"/>
    <cellStyle name="20% - Accent3 2 9" xfId="5213"/>
    <cellStyle name="20% - Accent3 2 9 2" xfId="27988"/>
    <cellStyle name="20% - Accent3 20" xfId="7165"/>
    <cellStyle name="20% - Accent3 20 2" xfId="29940"/>
    <cellStyle name="20% - Accent3 21" xfId="7821"/>
    <cellStyle name="20% - Accent3 21 2" xfId="30596"/>
    <cellStyle name="20% - Accent3 22" xfId="8477"/>
    <cellStyle name="20% - Accent3 22 2" xfId="31252"/>
    <cellStyle name="20% - Accent3 23" xfId="9133"/>
    <cellStyle name="20% - Accent3 23 2" xfId="31908"/>
    <cellStyle name="20% - Accent3 24" xfId="9789"/>
    <cellStyle name="20% - Accent3 24 2" xfId="32564"/>
    <cellStyle name="20% - Accent3 25" xfId="10445"/>
    <cellStyle name="20% - Accent3 25 2" xfId="33220"/>
    <cellStyle name="20% - Accent3 26" xfId="11101"/>
    <cellStyle name="20% - Accent3 26 2" xfId="33876"/>
    <cellStyle name="20% - Accent3 27" xfId="11757"/>
    <cellStyle name="20% - Accent3 27 2" xfId="34532"/>
    <cellStyle name="20% - Accent3 28" xfId="12413"/>
    <cellStyle name="20% - Accent3 28 2" xfId="35188"/>
    <cellStyle name="20% - Accent3 29" xfId="13069"/>
    <cellStyle name="20% - Accent3 29 2" xfId="35844"/>
    <cellStyle name="20% - Accent3 3" xfId="57"/>
    <cellStyle name="20% - Accent3 3 10" xfId="5884"/>
    <cellStyle name="20% - Accent3 3 10 2" xfId="28659"/>
    <cellStyle name="20% - Accent3 3 11" xfId="2276"/>
    <cellStyle name="20% - Accent3 3 11 2" xfId="25051"/>
    <cellStyle name="20% - Accent3 3 12" xfId="6540"/>
    <cellStyle name="20% - Accent3 3 12 2" xfId="29315"/>
    <cellStyle name="20% - Accent3 3 13" xfId="7196"/>
    <cellStyle name="20% - Accent3 3 13 2" xfId="29971"/>
    <cellStyle name="20% - Accent3 3 14" xfId="7852"/>
    <cellStyle name="20% - Accent3 3 14 2" xfId="30627"/>
    <cellStyle name="20% - Accent3 3 15" xfId="8508"/>
    <cellStyle name="20% - Accent3 3 15 2" xfId="31283"/>
    <cellStyle name="20% - Accent3 3 16" xfId="9164"/>
    <cellStyle name="20% - Accent3 3 16 2" xfId="31939"/>
    <cellStyle name="20% - Accent3 3 17" xfId="9820"/>
    <cellStyle name="20% - Accent3 3 17 2" xfId="32595"/>
    <cellStyle name="20% - Accent3 3 18" xfId="10476"/>
    <cellStyle name="20% - Accent3 3 18 2" xfId="33251"/>
    <cellStyle name="20% - Accent3 3 19" xfId="11132"/>
    <cellStyle name="20% - Accent3 3 19 2" xfId="33907"/>
    <cellStyle name="20% - Accent3 3 2" xfId="135"/>
    <cellStyle name="20% - Accent3 3 2 10" xfId="2331"/>
    <cellStyle name="20% - Accent3 3 2 10 2" xfId="25106"/>
    <cellStyle name="20% - Accent3 3 2 11" xfId="6595"/>
    <cellStyle name="20% - Accent3 3 2 11 2" xfId="29370"/>
    <cellStyle name="20% - Accent3 3 2 12" xfId="7251"/>
    <cellStyle name="20% - Accent3 3 2 12 2" xfId="30026"/>
    <cellStyle name="20% - Accent3 3 2 13" xfId="7907"/>
    <cellStyle name="20% - Accent3 3 2 13 2" xfId="30682"/>
    <cellStyle name="20% - Accent3 3 2 14" xfId="8563"/>
    <cellStyle name="20% - Accent3 3 2 14 2" xfId="31338"/>
    <cellStyle name="20% - Accent3 3 2 15" xfId="9219"/>
    <cellStyle name="20% - Accent3 3 2 15 2" xfId="31994"/>
    <cellStyle name="20% - Accent3 3 2 16" xfId="9875"/>
    <cellStyle name="20% - Accent3 3 2 16 2" xfId="32650"/>
    <cellStyle name="20% - Accent3 3 2 17" xfId="10531"/>
    <cellStyle name="20% - Accent3 3 2 17 2" xfId="33306"/>
    <cellStyle name="20% - Accent3 3 2 18" xfId="11187"/>
    <cellStyle name="20% - Accent3 3 2 18 2" xfId="33962"/>
    <cellStyle name="20% - Accent3 3 2 19" xfId="11843"/>
    <cellStyle name="20% - Accent3 3 2 19 2" xfId="34618"/>
    <cellStyle name="20% - Accent3 3 2 2" xfId="547"/>
    <cellStyle name="20% - Accent3 3 2 2 10" xfId="6780"/>
    <cellStyle name="20% - Accent3 3 2 2 10 2" xfId="29555"/>
    <cellStyle name="20% - Accent3 3 2 2 11" xfId="7436"/>
    <cellStyle name="20% - Accent3 3 2 2 11 2" xfId="30211"/>
    <cellStyle name="20% - Accent3 3 2 2 12" xfId="8092"/>
    <cellStyle name="20% - Accent3 3 2 2 12 2" xfId="30867"/>
    <cellStyle name="20% - Accent3 3 2 2 13" xfId="8748"/>
    <cellStyle name="20% - Accent3 3 2 2 13 2" xfId="31523"/>
    <cellStyle name="20% - Accent3 3 2 2 14" xfId="9404"/>
    <cellStyle name="20% - Accent3 3 2 2 14 2" xfId="32179"/>
    <cellStyle name="20% - Accent3 3 2 2 15" xfId="10060"/>
    <cellStyle name="20% - Accent3 3 2 2 15 2" xfId="32835"/>
    <cellStyle name="20% - Accent3 3 2 2 16" xfId="10716"/>
    <cellStyle name="20% - Accent3 3 2 2 16 2" xfId="33491"/>
    <cellStyle name="20% - Accent3 3 2 2 17" xfId="11372"/>
    <cellStyle name="20% - Accent3 3 2 2 17 2" xfId="34147"/>
    <cellStyle name="20% - Accent3 3 2 2 18" xfId="12028"/>
    <cellStyle name="20% - Accent3 3 2 2 18 2" xfId="34803"/>
    <cellStyle name="20% - Accent3 3 2 2 19" xfId="12684"/>
    <cellStyle name="20% - Accent3 3 2 2 19 2" xfId="35459"/>
    <cellStyle name="20% - Accent3 3 2 2 2" xfId="876"/>
    <cellStyle name="20% - Accent3 3 2 2 2 10" xfId="8420"/>
    <cellStyle name="20% - Accent3 3 2 2 2 10 2" xfId="31195"/>
    <cellStyle name="20% - Accent3 3 2 2 2 11" xfId="9076"/>
    <cellStyle name="20% - Accent3 3 2 2 2 11 2" xfId="31851"/>
    <cellStyle name="20% - Accent3 3 2 2 2 12" xfId="9732"/>
    <cellStyle name="20% - Accent3 3 2 2 2 12 2" xfId="32507"/>
    <cellStyle name="20% - Accent3 3 2 2 2 13" xfId="10388"/>
    <cellStyle name="20% - Accent3 3 2 2 2 13 2" xfId="33163"/>
    <cellStyle name="20% - Accent3 3 2 2 2 14" xfId="11044"/>
    <cellStyle name="20% - Accent3 3 2 2 2 14 2" xfId="33819"/>
    <cellStyle name="20% - Accent3 3 2 2 2 15" xfId="11700"/>
    <cellStyle name="20% - Accent3 3 2 2 2 15 2" xfId="34475"/>
    <cellStyle name="20% - Accent3 3 2 2 2 16" xfId="12356"/>
    <cellStyle name="20% - Accent3 3 2 2 2 16 2" xfId="35131"/>
    <cellStyle name="20% - Accent3 3 2 2 2 17" xfId="13012"/>
    <cellStyle name="20% - Accent3 3 2 2 2 17 2" xfId="35787"/>
    <cellStyle name="20% - Accent3 3 2 2 2 18" xfId="13668"/>
    <cellStyle name="20% - Accent3 3 2 2 2 18 2" xfId="36443"/>
    <cellStyle name="20% - Accent3 3 2 2 2 19" xfId="14324"/>
    <cellStyle name="20% - Accent3 3 2 2 2 19 2" xfId="37099"/>
    <cellStyle name="20% - Accent3 3 2 2 2 2" xfId="1532"/>
    <cellStyle name="20% - Accent3 3 2 2 2 2 2" xfId="3828"/>
    <cellStyle name="20% - Accent3 3 2 2 2 2 2 2" xfId="26603"/>
    <cellStyle name="20% - Accent3 3 2 2 2 2 3" xfId="24307"/>
    <cellStyle name="20% - Accent3 3 2 2 2 20" xfId="14980"/>
    <cellStyle name="20% - Accent3 3 2 2 2 20 2" xfId="37755"/>
    <cellStyle name="20% - Accent3 3 2 2 2 21" xfId="15636"/>
    <cellStyle name="20% - Accent3 3 2 2 2 21 2" xfId="38411"/>
    <cellStyle name="20% - Accent3 3 2 2 2 22" xfId="16292"/>
    <cellStyle name="20% - Accent3 3 2 2 2 22 2" xfId="39067"/>
    <cellStyle name="20% - Accent3 3 2 2 2 23" xfId="16948"/>
    <cellStyle name="20% - Accent3 3 2 2 2 23 2" xfId="39723"/>
    <cellStyle name="20% - Accent3 3 2 2 2 24" xfId="17604"/>
    <cellStyle name="20% - Accent3 3 2 2 2 24 2" xfId="40379"/>
    <cellStyle name="20% - Accent3 3 2 2 2 25" xfId="18260"/>
    <cellStyle name="20% - Accent3 3 2 2 2 25 2" xfId="41035"/>
    <cellStyle name="20% - Accent3 3 2 2 2 26" xfId="18916"/>
    <cellStyle name="20% - Accent3 3 2 2 2 26 2" xfId="41691"/>
    <cellStyle name="20% - Accent3 3 2 2 2 27" xfId="19572"/>
    <cellStyle name="20% - Accent3 3 2 2 2 27 2" xfId="42347"/>
    <cellStyle name="20% - Accent3 3 2 2 2 28" xfId="20228"/>
    <cellStyle name="20% - Accent3 3 2 2 2 28 2" xfId="43003"/>
    <cellStyle name="20% - Accent3 3 2 2 2 29" xfId="20884"/>
    <cellStyle name="20% - Accent3 3 2 2 2 29 2" xfId="43659"/>
    <cellStyle name="20% - Accent3 3 2 2 2 3" xfId="2188"/>
    <cellStyle name="20% - Accent3 3 2 2 2 3 2" xfId="4484"/>
    <cellStyle name="20% - Accent3 3 2 2 2 3 2 2" xfId="27259"/>
    <cellStyle name="20% - Accent3 3 2 2 2 3 3" xfId="24963"/>
    <cellStyle name="20% - Accent3 3 2 2 2 30" xfId="21540"/>
    <cellStyle name="20% - Accent3 3 2 2 2 30 2" xfId="44315"/>
    <cellStyle name="20% - Accent3 3 2 2 2 31" xfId="22196"/>
    <cellStyle name="20% - Accent3 3 2 2 2 31 2" xfId="44971"/>
    <cellStyle name="20% - Accent3 3 2 2 2 32" xfId="22852"/>
    <cellStyle name="20% - Accent3 3 2 2 2 32 2" xfId="45627"/>
    <cellStyle name="20% - Accent3 3 2 2 2 33" xfId="23651"/>
    <cellStyle name="20% - Accent3 3 2 2 2 4" xfId="5140"/>
    <cellStyle name="20% - Accent3 3 2 2 2 4 2" xfId="27915"/>
    <cellStyle name="20% - Accent3 3 2 2 2 5" xfId="5796"/>
    <cellStyle name="20% - Accent3 3 2 2 2 5 2" xfId="28571"/>
    <cellStyle name="20% - Accent3 3 2 2 2 6" xfId="6452"/>
    <cellStyle name="20% - Accent3 3 2 2 2 6 2" xfId="29227"/>
    <cellStyle name="20% - Accent3 3 2 2 2 7" xfId="3172"/>
    <cellStyle name="20% - Accent3 3 2 2 2 7 2" xfId="25947"/>
    <cellStyle name="20% - Accent3 3 2 2 2 8" xfId="7108"/>
    <cellStyle name="20% - Accent3 3 2 2 2 8 2" xfId="29883"/>
    <cellStyle name="20% - Accent3 3 2 2 2 9" xfId="7764"/>
    <cellStyle name="20% - Accent3 3 2 2 2 9 2" xfId="30539"/>
    <cellStyle name="20% - Accent3 3 2 2 20" xfId="13340"/>
    <cellStyle name="20% - Accent3 3 2 2 20 2" xfId="36115"/>
    <cellStyle name="20% - Accent3 3 2 2 21" xfId="13996"/>
    <cellStyle name="20% - Accent3 3 2 2 21 2" xfId="36771"/>
    <cellStyle name="20% - Accent3 3 2 2 22" xfId="14652"/>
    <cellStyle name="20% - Accent3 3 2 2 22 2" xfId="37427"/>
    <cellStyle name="20% - Accent3 3 2 2 23" xfId="15308"/>
    <cellStyle name="20% - Accent3 3 2 2 23 2" xfId="38083"/>
    <cellStyle name="20% - Accent3 3 2 2 24" xfId="15964"/>
    <cellStyle name="20% - Accent3 3 2 2 24 2" xfId="38739"/>
    <cellStyle name="20% - Accent3 3 2 2 25" xfId="16620"/>
    <cellStyle name="20% - Accent3 3 2 2 25 2" xfId="39395"/>
    <cellStyle name="20% - Accent3 3 2 2 26" xfId="17276"/>
    <cellStyle name="20% - Accent3 3 2 2 26 2" xfId="40051"/>
    <cellStyle name="20% - Accent3 3 2 2 27" xfId="17932"/>
    <cellStyle name="20% - Accent3 3 2 2 27 2" xfId="40707"/>
    <cellStyle name="20% - Accent3 3 2 2 28" xfId="18588"/>
    <cellStyle name="20% - Accent3 3 2 2 28 2" xfId="41363"/>
    <cellStyle name="20% - Accent3 3 2 2 29" xfId="19244"/>
    <cellStyle name="20% - Accent3 3 2 2 29 2" xfId="42019"/>
    <cellStyle name="20% - Accent3 3 2 2 3" xfId="1204"/>
    <cellStyle name="20% - Accent3 3 2 2 3 2" xfId="2844"/>
    <cellStyle name="20% - Accent3 3 2 2 3 2 2" xfId="25619"/>
    <cellStyle name="20% - Accent3 3 2 2 3 3" xfId="23979"/>
    <cellStyle name="20% - Accent3 3 2 2 30" xfId="19900"/>
    <cellStyle name="20% - Accent3 3 2 2 30 2" xfId="42675"/>
    <cellStyle name="20% - Accent3 3 2 2 31" xfId="20556"/>
    <cellStyle name="20% - Accent3 3 2 2 31 2" xfId="43331"/>
    <cellStyle name="20% - Accent3 3 2 2 32" xfId="21212"/>
    <cellStyle name="20% - Accent3 3 2 2 32 2" xfId="43987"/>
    <cellStyle name="20% - Accent3 3 2 2 33" xfId="21868"/>
    <cellStyle name="20% - Accent3 3 2 2 33 2" xfId="44643"/>
    <cellStyle name="20% - Accent3 3 2 2 34" xfId="22524"/>
    <cellStyle name="20% - Accent3 3 2 2 34 2" xfId="45299"/>
    <cellStyle name="20% - Accent3 3 2 2 35" xfId="23323"/>
    <cellStyle name="20% - Accent3 3 2 2 4" xfId="1860"/>
    <cellStyle name="20% - Accent3 3 2 2 4 2" xfId="3500"/>
    <cellStyle name="20% - Accent3 3 2 2 4 2 2" xfId="26275"/>
    <cellStyle name="20% - Accent3 3 2 2 4 3" xfId="24635"/>
    <cellStyle name="20% - Accent3 3 2 2 5" xfId="4156"/>
    <cellStyle name="20% - Accent3 3 2 2 5 2" xfId="26931"/>
    <cellStyle name="20% - Accent3 3 2 2 6" xfId="4812"/>
    <cellStyle name="20% - Accent3 3 2 2 6 2" xfId="27587"/>
    <cellStyle name="20% - Accent3 3 2 2 7" xfId="5468"/>
    <cellStyle name="20% - Accent3 3 2 2 7 2" xfId="28243"/>
    <cellStyle name="20% - Accent3 3 2 2 8" xfId="6124"/>
    <cellStyle name="20% - Accent3 3 2 2 8 2" xfId="28899"/>
    <cellStyle name="20% - Accent3 3 2 2 9" xfId="2516"/>
    <cellStyle name="20% - Accent3 3 2 2 9 2" xfId="25291"/>
    <cellStyle name="20% - Accent3 3 2 20" xfId="12499"/>
    <cellStyle name="20% - Accent3 3 2 20 2" xfId="35274"/>
    <cellStyle name="20% - Accent3 3 2 21" xfId="13155"/>
    <cellStyle name="20% - Accent3 3 2 21 2" xfId="35930"/>
    <cellStyle name="20% - Accent3 3 2 22" xfId="13811"/>
    <cellStyle name="20% - Accent3 3 2 22 2" xfId="36586"/>
    <cellStyle name="20% - Accent3 3 2 23" xfId="14467"/>
    <cellStyle name="20% - Accent3 3 2 23 2" xfId="37242"/>
    <cellStyle name="20% - Accent3 3 2 24" xfId="15123"/>
    <cellStyle name="20% - Accent3 3 2 24 2" xfId="37898"/>
    <cellStyle name="20% - Accent3 3 2 25" xfId="15779"/>
    <cellStyle name="20% - Accent3 3 2 25 2" xfId="38554"/>
    <cellStyle name="20% - Accent3 3 2 26" xfId="16435"/>
    <cellStyle name="20% - Accent3 3 2 26 2" xfId="39210"/>
    <cellStyle name="20% - Accent3 3 2 27" xfId="17091"/>
    <cellStyle name="20% - Accent3 3 2 27 2" xfId="39866"/>
    <cellStyle name="20% - Accent3 3 2 28" xfId="17747"/>
    <cellStyle name="20% - Accent3 3 2 28 2" xfId="40522"/>
    <cellStyle name="20% - Accent3 3 2 29" xfId="18403"/>
    <cellStyle name="20% - Accent3 3 2 29 2" xfId="41178"/>
    <cellStyle name="20% - Accent3 3 2 3" xfId="691"/>
    <cellStyle name="20% - Accent3 3 2 3 10" xfId="8235"/>
    <cellStyle name="20% - Accent3 3 2 3 10 2" xfId="31010"/>
    <cellStyle name="20% - Accent3 3 2 3 11" xfId="8891"/>
    <cellStyle name="20% - Accent3 3 2 3 11 2" xfId="31666"/>
    <cellStyle name="20% - Accent3 3 2 3 12" xfId="9547"/>
    <cellStyle name="20% - Accent3 3 2 3 12 2" xfId="32322"/>
    <cellStyle name="20% - Accent3 3 2 3 13" xfId="10203"/>
    <cellStyle name="20% - Accent3 3 2 3 13 2" xfId="32978"/>
    <cellStyle name="20% - Accent3 3 2 3 14" xfId="10859"/>
    <cellStyle name="20% - Accent3 3 2 3 14 2" xfId="33634"/>
    <cellStyle name="20% - Accent3 3 2 3 15" xfId="11515"/>
    <cellStyle name="20% - Accent3 3 2 3 15 2" xfId="34290"/>
    <cellStyle name="20% - Accent3 3 2 3 16" xfId="12171"/>
    <cellStyle name="20% - Accent3 3 2 3 16 2" xfId="34946"/>
    <cellStyle name="20% - Accent3 3 2 3 17" xfId="12827"/>
    <cellStyle name="20% - Accent3 3 2 3 17 2" xfId="35602"/>
    <cellStyle name="20% - Accent3 3 2 3 18" xfId="13483"/>
    <cellStyle name="20% - Accent3 3 2 3 18 2" xfId="36258"/>
    <cellStyle name="20% - Accent3 3 2 3 19" xfId="14139"/>
    <cellStyle name="20% - Accent3 3 2 3 19 2" xfId="36914"/>
    <cellStyle name="20% - Accent3 3 2 3 2" xfId="1347"/>
    <cellStyle name="20% - Accent3 3 2 3 2 2" xfId="3643"/>
    <cellStyle name="20% - Accent3 3 2 3 2 2 2" xfId="26418"/>
    <cellStyle name="20% - Accent3 3 2 3 2 3" xfId="24122"/>
    <cellStyle name="20% - Accent3 3 2 3 20" xfId="14795"/>
    <cellStyle name="20% - Accent3 3 2 3 20 2" xfId="37570"/>
    <cellStyle name="20% - Accent3 3 2 3 21" xfId="15451"/>
    <cellStyle name="20% - Accent3 3 2 3 21 2" xfId="38226"/>
    <cellStyle name="20% - Accent3 3 2 3 22" xfId="16107"/>
    <cellStyle name="20% - Accent3 3 2 3 22 2" xfId="38882"/>
    <cellStyle name="20% - Accent3 3 2 3 23" xfId="16763"/>
    <cellStyle name="20% - Accent3 3 2 3 23 2" xfId="39538"/>
    <cellStyle name="20% - Accent3 3 2 3 24" xfId="17419"/>
    <cellStyle name="20% - Accent3 3 2 3 24 2" xfId="40194"/>
    <cellStyle name="20% - Accent3 3 2 3 25" xfId="18075"/>
    <cellStyle name="20% - Accent3 3 2 3 25 2" xfId="40850"/>
    <cellStyle name="20% - Accent3 3 2 3 26" xfId="18731"/>
    <cellStyle name="20% - Accent3 3 2 3 26 2" xfId="41506"/>
    <cellStyle name="20% - Accent3 3 2 3 27" xfId="19387"/>
    <cellStyle name="20% - Accent3 3 2 3 27 2" xfId="42162"/>
    <cellStyle name="20% - Accent3 3 2 3 28" xfId="20043"/>
    <cellStyle name="20% - Accent3 3 2 3 28 2" xfId="42818"/>
    <cellStyle name="20% - Accent3 3 2 3 29" xfId="20699"/>
    <cellStyle name="20% - Accent3 3 2 3 29 2" xfId="43474"/>
    <cellStyle name="20% - Accent3 3 2 3 3" xfId="2003"/>
    <cellStyle name="20% - Accent3 3 2 3 3 2" xfId="4299"/>
    <cellStyle name="20% - Accent3 3 2 3 3 2 2" xfId="27074"/>
    <cellStyle name="20% - Accent3 3 2 3 3 3" xfId="24778"/>
    <cellStyle name="20% - Accent3 3 2 3 30" xfId="21355"/>
    <cellStyle name="20% - Accent3 3 2 3 30 2" xfId="44130"/>
    <cellStyle name="20% - Accent3 3 2 3 31" xfId="22011"/>
    <cellStyle name="20% - Accent3 3 2 3 31 2" xfId="44786"/>
    <cellStyle name="20% - Accent3 3 2 3 32" xfId="22667"/>
    <cellStyle name="20% - Accent3 3 2 3 32 2" xfId="45442"/>
    <cellStyle name="20% - Accent3 3 2 3 33" xfId="23466"/>
    <cellStyle name="20% - Accent3 3 2 3 4" xfId="4955"/>
    <cellStyle name="20% - Accent3 3 2 3 4 2" xfId="27730"/>
    <cellStyle name="20% - Accent3 3 2 3 5" xfId="5611"/>
    <cellStyle name="20% - Accent3 3 2 3 5 2" xfId="28386"/>
    <cellStyle name="20% - Accent3 3 2 3 6" xfId="6267"/>
    <cellStyle name="20% - Accent3 3 2 3 6 2" xfId="29042"/>
    <cellStyle name="20% - Accent3 3 2 3 7" xfId="2987"/>
    <cellStyle name="20% - Accent3 3 2 3 7 2" xfId="25762"/>
    <cellStyle name="20% - Accent3 3 2 3 8" xfId="6923"/>
    <cellStyle name="20% - Accent3 3 2 3 8 2" xfId="29698"/>
    <cellStyle name="20% - Accent3 3 2 3 9" xfId="7579"/>
    <cellStyle name="20% - Accent3 3 2 3 9 2" xfId="30354"/>
    <cellStyle name="20% - Accent3 3 2 30" xfId="19059"/>
    <cellStyle name="20% - Accent3 3 2 30 2" xfId="41834"/>
    <cellStyle name="20% - Accent3 3 2 31" xfId="19715"/>
    <cellStyle name="20% - Accent3 3 2 31 2" xfId="42490"/>
    <cellStyle name="20% - Accent3 3 2 32" xfId="20371"/>
    <cellStyle name="20% - Accent3 3 2 32 2" xfId="43146"/>
    <cellStyle name="20% - Accent3 3 2 33" xfId="21027"/>
    <cellStyle name="20% - Accent3 3 2 33 2" xfId="43802"/>
    <cellStyle name="20% - Accent3 3 2 34" xfId="21683"/>
    <cellStyle name="20% - Accent3 3 2 34 2" xfId="44458"/>
    <cellStyle name="20% - Accent3 3 2 35" xfId="22339"/>
    <cellStyle name="20% - Accent3 3 2 35 2" xfId="45114"/>
    <cellStyle name="20% - Accent3 3 2 36" xfId="22995"/>
    <cellStyle name="20% - Accent3 3 2 4" xfId="364"/>
    <cellStyle name="20% - Accent3 3 2 4 2" xfId="2659"/>
    <cellStyle name="20% - Accent3 3 2 4 2 2" xfId="25434"/>
    <cellStyle name="20% - Accent3 3 2 4 3" xfId="23138"/>
    <cellStyle name="20% - Accent3 3 2 5" xfId="1019"/>
    <cellStyle name="20% - Accent3 3 2 5 2" xfId="3315"/>
    <cellStyle name="20% - Accent3 3 2 5 2 2" xfId="26090"/>
    <cellStyle name="20% - Accent3 3 2 5 3" xfId="23794"/>
    <cellStyle name="20% - Accent3 3 2 6" xfId="1675"/>
    <cellStyle name="20% - Accent3 3 2 6 2" xfId="3971"/>
    <cellStyle name="20% - Accent3 3 2 6 2 2" xfId="26746"/>
    <cellStyle name="20% - Accent3 3 2 6 3" xfId="24450"/>
    <cellStyle name="20% - Accent3 3 2 7" xfId="4627"/>
    <cellStyle name="20% - Accent3 3 2 7 2" xfId="27402"/>
    <cellStyle name="20% - Accent3 3 2 8" xfId="5283"/>
    <cellStyle name="20% - Accent3 3 2 8 2" xfId="28058"/>
    <cellStyle name="20% - Accent3 3 2 9" xfId="5939"/>
    <cellStyle name="20% - Accent3 3 2 9 2" xfId="28714"/>
    <cellStyle name="20% - Accent3 3 20" xfId="11788"/>
    <cellStyle name="20% - Accent3 3 20 2" xfId="34563"/>
    <cellStyle name="20% - Accent3 3 21" xfId="12444"/>
    <cellStyle name="20% - Accent3 3 21 2" xfId="35219"/>
    <cellStyle name="20% - Accent3 3 22" xfId="13100"/>
    <cellStyle name="20% - Accent3 3 22 2" xfId="35875"/>
    <cellStyle name="20% - Accent3 3 23" xfId="13756"/>
    <cellStyle name="20% - Accent3 3 23 2" xfId="36531"/>
    <cellStyle name="20% - Accent3 3 24" xfId="14412"/>
    <cellStyle name="20% - Accent3 3 24 2" xfId="37187"/>
    <cellStyle name="20% - Accent3 3 25" xfId="15068"/>
    <cellStyle name="20% - Accent3 3 25 2" xfId="37843"/>
    <cellStyle name="20% - Accent3 3 26" xfId="15724"/>
    <cellStyle name="20% - Accent3 3 26 2" xfId="38499"/>
    <cellStyle name="20% - Accent3 3 27" xfId="16380"/>
    <cellStyle name="20% - Accent3 3 27 2" xfId="39155"/>
    <cellStyle name="20% - Accent3 3 28" xfId="17036"/>
    <cellStyle name="20% - Accent3 3 28 2" xfId="39811"/>
    <cellStyle name="20% - Accent3 3 29" xfId="17692"/>
    <cellStyle name="20% - Accent3 3 29 2" xfId="40467"/>
    <cellStyle name="20% - Accent3 3 3" xfId="493"/>
    <cellStyle name="20% - Accent3 3 3 10" xfId="6725"/>
    <cellStyle name="20% - Accent3 3 3 10 2" xfId="29500"/>
    <cellStyle name="20% - Accent3 3 3 11" xfId="7381"/>
    <cellStyle name="20% - Accent3 3 3 11 2" xfId="30156"/>
    <cellStyle name="20% - Accent3 3 3 12" xfId="8037"/>
    <cellStyle name="20% - Accent3 3 3 12 2" xfId="30812"/>
    <cellStyle name="20% - Accent3 3 3 13" xfId="8693"/>
    <cellStyle name="20% - Accent3 3 3 13 2" xfId="31468"/>
    <cellStyle name="20% - Accent3 3 3 14" xfId="9349"/>
    <cellStyle name="20% - Accent3 3 3 14 2" xfId="32124"/>
    <cellStyle name="20% - Accent3 3 3 15" xfId="10005"/>
    <cellStyle name="20% - Accent3 3 3 15 2" xfId="32780"/>
    <cellStyle name="20% - Accent3 3 3 16" xfId="10661"/>
    <cellStyle name="20% - Accent3 3 3 16 2" xfId="33436"/>
    <cellStyle name="20% - Accent3 3 3 17" xfId="11317"/>
    <cellStyle name="20% - Accent3 3 3 17 2" xfId="34092"/>
    <cellStyle name="20% - Accent3 3 3 18" xfId="11973"/>
    <cellStyle name="20% - Accent3 3 3 18 2" xfId="34748"/>
    <cellStyle name="20% - Accent3 3 3 19" xfId="12629"/>
    <cellStyle name="20% - Accent3 3 3 19 2" xfId="35404"/>
    <cellStyle name="20% - Accent3 3 3 2" xfId="821"/>
    <cellStyle name="20% - Accent3 3 3 2 10" xfId="8365"/>
    <cellStyle name="20% - Accent3 3 3 2 10 2" xfId="31140"/>
    <cellStyle name="20% - Accent3 3 3 2 11" xfId="9021"/>
    <cellStyle name="20% - Accent3 3 3 2 11 2" xfId="31796"/>
    <cellStyle name="20% - Accent3 3 3 2 12" xfId="9677"/>
    <cellStyle name="20% - Accent3 3 3 2 12 2" xfId="32452"/>
    <cellStyle name="20% - Accent3 3 3 2 13" xfId="10333"/>
    <cellStyle name="20% - Accent3 3 3 2 13 2" xfId="33108"/>
    <cellStyle name="20% - Accent3 3 3 2 14" xfId="10989"/>
    <cellStyle name="20% - Accent3 3 3 2 14 2" xfId="33764"/>
    <cellStyle name="20% - Accent3 3 3 2 15" xfId="11645"/>
    <cellStyle name="20% - Accent3 3 3 2 15 2" xfId="34420"/>
    <cellStyle name="20% - Accent3 3 3 2 16" xfId="12301"/>
    <cellStyle name="20% - Accent3 3 3 2 16 2" xfId="35076"/>
    <cellStyle name="20% - Accent3 3 3 2 17" xfId="12957"/>
    <cellStyle name="20% - Accent3 3 3 2 17 2" xfId="35732"/>
    <cellStyle name="20% - Accent3 3 3 2 18" xfId="13613"/>
    <cellStyle name="20% - Accent3 3 3 2 18 2" xfId="36388"/>
    <cellStyle name="20% - Accent3 3 3 2 19" xfId="14269"/>
    <cellStyle name="20% - Accent3 3 3 2 19 2" xfId="37044"/>
    <cellStyle name="20% - Accent3 3 3 2 2" xfId="1477"/>
    <cellStyle name="20% - Accent3 3 3 2 2 2" xfId="3773"/>
    <cellStyle name="20% - Accent3 3 3 2 2 2 2" xfId="26548"/>
    <cellStyle name="20% - Accent3 3 3 2 2 3" xfId="24252"/>
    <cellStyle name="20% - Accent3 3 3 2 20" xfId="14925"/>
    <cellStyle name="20% - Accent3 3 3 2 20 2" xfId="37700"/>
    <cellStyle name="20% - Accent3 3 3 2 21" xfId="15581"/>
    <cellStyle name="20% - Accent3 3 3 2 21 2" xfId="38356"/>
    <cellStyle name="20% - Accent3 3 3 2 22" xfId="16237"/>
    <cellStyle name="20% - Accent3 3 3 2 22 2" xfId="39012"/>
    <cellStyle name="20% - Accent3 3 3 2 23" xfId="16893"/>
    <cellStyle name="20% - Accent3 3 3 2 23 2" xfId="39668"/>
    <cellStyle name="20% - Accent3 3 3 2 24" xfId="17549"/>
    <cellStyle name="20% - Accent3 3 3 2 24 2" xfId="40324"/>
    <cellStyle name="20% - Accent3 3 3 2 25" xfId="18205"/>
    <cellStyle name="20% - Accent3 3 3 2 25 2" xfId="40980"/>
    <cellStyle name="20% - Accent3 3 3 2 26" xfId="18861"/>
    <cellStyle name="20% - Accent3 3 3 2 26 2" xfId="41636"/>
    <cellStyle name="20% - Accent3 3 3 2 27" xfId="19517"/>
    <cellStyle name="20% - Accent3 3 3 2 27 2" xfId="42292"/>
    <cellStyle name="20% - Accent3 3 3 2 28" xfId="20173"/>
    <cellStyle name="20% - Accent3 3 3 2 28 2" xfId="42948"/>
    <cellStyle name="20% - Accent3 3 3 2 29" xfId="20829"/>
    <cellStyle name="20% - Accent3 3 3 2 29 2" xfId="43604"/>
    <cellStyle name="20% - Accent3 3 3 2 3" xfId="2133"/>
    <cellStyle name="20% - Accent3 3 3 2 3 2" xfId="4429"/>
    <cellStyle name="20% - Accent3 3 3 2 3 2 2" xfId="27204"/>
    <cellStyle name="20% - Accent3 3 3 2 3 3" xfId="24908"/>
    <cellStyle name="20% - Accent3 3 3 2 30" xfId="21485"/>
    <cellStyle name="20% - Accent3 3 3 2 30 2" xfId="44260"/>
    <cellStyle name="20% - Accent3 3 3 2 31" xfId="22141"/>
    <cellStyle name="20% - Accent3 3 3 2 31 2" xfId="44916"/>
    <cellStyle name="20% - Accent3 3 3 2 32" xfId="22797"/>
    <cellStyle name="20% - Accent3 3 3 2 32 2" xfId="45572"/>
    <cellStyle name="20% - Accent3 3 3 2 33" xfId="23596"/>
    <cellStyle name="20% - Accent3 3 3 2 4" xfId="5085"/>
    <cellStyle name="20% - Accent3 3 3 2 4 2" xfId="27860"/>
    <cellStyle name="20% - Accent3 3 3 2 5" xfId="5741"/>
    <cellStyle name="20% - Accent3 3 3 2 5 2" xfId="28516"/>
    <cellStyle name="20% - Accent3 3 3 2 6" xfId="6397"/>
    <cellStyle name="20% - Accent3 3 3 2 6 2" xfId="29172"/>
    <cellStyle name="20% - Accent3 3 3 2 7" xfId="3117"/>
    <cellStyle name="20% - Accent3 3 3 2 7 2" xfId="25892"/>
    <cellStyle name="20% - Accent3 3 3 2 8" xfId="7053"/>
    <cellStyle name="20% - Accent3 3 3 2 8 2" xfId="29828"/>
    <cellStyle name="20% - Accent3 3 3 2 9" xfId="7709"/>
    <cellStyle name="20% - Accent3 3 3 2 9 2" xfId="30484"/>
    <cellStyle name="20% - Accent3 3 3 20" xfId="13285"/>
    <cellStyle name="20% - Accent3 3 3 20 2" xfId="36060"/>
    <cellStyle name="20% - Accent3 3 3 21" xfId="13941"/>
    <cellStyle name="20% - Accent3 3 3 21 2" xfId="36716"/>
    <cellStyle name="20% - Accent3 3 3 22" xfId="14597"/>
    <cellStyle name="20% - Accent3 3 3 22 2" xfId="37372"/>
    <cellStyle name="20% - Accent3 3 3 23" xfId="15253"/>
    <cellStyle name="20% - Accent3 3 3 23 2" xfId="38028"/>
    <cellStyle name="20% - Accent3 3 3 24" xfId="15909"/>
    <cellStyle name="20% - Accent3 3 3 24 2" xfId="38684"/>
    <cellStyle name="20% - Accent3 3 3 25" xfId="16565"/>
    <cellStyle name="20% - Accent3 3 3 25 2" xfId="39340"/>
    <cellStyle name="20% - Accent3 3 3 26" xfId="17221"/>
    <cellStyle name="20% - Accent3 3 3 26 2" xfId="39996"/>
    <cellStyle name="20% - Accent3 3 3 27" xfId="17877"/>
    <cellStyle name="20% - Accent3 3 3 27 2" xfId="40652"/>
    <cellStyle name="20% - Accent3 3 3 28" xfId="18533"/>
    <cellStyle name="20% - Accent3 3 3 28 2" xfId="41308"/>
    <cellStyle name="20% - Accent3 3 3 29" xfId="19189"/>
    <cellStyle name="20% - Accent3 3 3 29 2" xfId="41964"/>
    <cellStyle name="20% - Accent3 3 3 3" xfId="1149"/>
    <cellStyle name="20% - Accent3 3 3 3 2" xfId="2789"/>
    <cellStyle name="20% - Accent3 3 3 3 2 2" xfId="25564"/>
    <cellStyle name="20% - Accent3 3 3 3 3" xfId="23924"/>
    <cellStyle name="20% - Accent3 3 3 30" xfId="19845"/>
    <cellStyle name="20% - Accent3 3 3 30 2" xfId="42620"/>
    <cellStyle name="20% - Accent3 3 3 31" xfId="20501"/>
    <cellStyle name="20% - Accent3 3 3 31 2" xfId="43276"/>
    <cellStyle name="20% - Accent3 3 3 32" xfId="21157"/>
    <cellStyle name="20% - Accent3 3 3 32 2" xfId="43932"/>
    <cellStyle name="20% - Accent3 3 3 33" xfId="21813"/>
    <cellStyle name="20% - Accent3 3 3 33 2" xfId="44588"/>
    <cellStyle name="20% - Accent3 3 3 34" xfId="22469"/>
    <cellStyle name="20% - Accent3 3 3 34 2" xfId="45244"/>
    <cellStyle name="20% - Accent3 3 3 35" xfId="23268"/>
    <cellStyle name="20% - Accent3 3 3 4" xfId="1805"/>
    <cellStyle name="20% - Accent3 3 3 4 2" xfId="3445"/>
    <cellStyle name="20% - Accent3 3 3 4 2 2" xfId="26220"/>
    <cellStyle name="20% - Accent3 3 3 4 3" xfId="24580"/>
    <cellStyle name="20% - Accent3 3 3 5" xfId="4101"/>
    <cellStyle name="20% - Accent3 3 3 5 2" xfId="26876"/>
    <cellStyle name="20% - Accent3 3 3 6" xfId="4757"/>
    <cellStyle name="20% - Accent3 3 3 6 2" xfId="27532"/>
    <cellStyle name="20% - Accent3 3 3 7" xfId="5413"/>
    <cellStyle name="20% - Accent3 3 3 7 2" xfId="28188"/>
    <cellStyle name="20% - Accent3 3 3 8" xfId="6069"/>
    <cellStyle name="20% - Accent3 3 3 8 2" xfId="28844"/>
    <cellStyle name="20% - Accent3 3 3 9" xfId="2461"/>
    <cellStyle name="20% - Accent3 3 3 9 2" xfId="25236"/>
    <cellStyle name="20% - Accent3 3 30" xfId="18348"/>
    <cellStyle name="20% - Accent3 3 30 2" xfId="41123"/>
    <cellStyle name="20% - Accent3 3 31" xfId="19004"/>
    <cellStyle name="20% - Accent3 3 31 2" xfId="41779"/>
    <cellStyle name="20% - Accent3 3 32" xfId="19660"/>
    <cellStyle name="20% - Accent3 3 32 2" xfId="42435"/>
    <cellStyle name="20% - Accent3 3 33" xfId="20316"/>
    <cellStyle name="20% - Accent3 3 33 2" xfId="43091"/>
    <cellStyle name="20% - Accent3 3 34" xfId="20972"/>
    <cellStyle name="20% - Accent3 3 34 2" xfId="43747"/>
    <cellStyle name="20% - Accent3 3 35" xfId="21628"/>
    <cellStyle name="20% - Accent3 3 35 2" xfId="44403"/>
    <cellStyle name="20% - Accent3 3 36" xfId="22284"/>
    <cellStyle name="20% - Accent3 3 36 2" xfId="45059"/>
    <cellStyle name="20% - Accent3 3 37" xfId="223"/>
    <cellStyle name="20% - Accent3 3 38" xfId="22940"/>
    <cellStyle name="20% - Accent3 3 4" xfId="636"/>
    <cellStyle name="20% - Accent3 3 4 10" xfId="8180"/>
    <cellStyle name="20% - Accent3 3 4 10 2" xfId="30955"/>
    <cellStyle name="20% - Accent3 3 4 11" xfId="8836"/>
    <cellStyle name="20% - Accent3 3 4 11 2" xfId="31611"/>
    <cellStyle name="20% - Accent3 3 4 12" xfId="9492"/>
    <cellStyle name="20% - Accent3 3 4 12 2" xfId="32267"/>
    <cellStyle name="20% - Accent3 3 4 13" xfId="10148"/>
    <cellStyle name="20% - Accent3 3 4 13 2" xfId="32923"/>
    <cellStyle name="20% - Accent3 3 4 14" xfId="10804"/>
    <cellStyle name="20% - Accent3 3 4 14 2" xfId="33579"/>
    <cellStyle name="20% - Accent3 3 4 15" xfId="11460"/>
    <cellStyle name="20% - Accent3 3 4 15 2" xfId="34235"/>
    <cellStyle name="20% - Accent3 3 4 16" xfId="12116"/>
    <cellStyle name="20% - Accent3 3 4 16 2" xfId="34891"/>
    <cellStyle name="20% - Accent3 3 4 17" xfId="12772"/>
    <cellStyle name="20% - Accent3 3 4 17 2" xfId="35547"/>
    <cellStyle name="20% - Accent3 3 4 18" xfId="13428"/>
    <cellStyle name="20% - Accent3 3 4 18 2" xfId="36203"/>
    <cellStyle name="20% - Accent3 3 4 19" xfId="14084"/>
    <cellStyle name="20% - Accent3 3 4 19 2" xfId="36859"/>
    <cellStyle name="20% - Accent3 3 4 2" xfId="1292"/>
    <cellStyle name="20% - Accent3 3 4 2 2" xfId="3588"/>
    <cellStyle name="20% - Accent3 3 4 2 2 2" xfId="26363"/>
    <cellStyle name="20% - Accent3 3 4 2 3" xfId="24067"/>
    <cellStyle name="20% - Accent3 3 4 20" xfId="14740"/>
    <cellStyle name="20% - Accent3 3 4 20 2" xfId="37515"/>
    <cellStyle name="20% - Accent3 3 4 21" xfId="15396"/>
    <cellStyle name="20% - Accent3 3 4 21 2" xfId="38171"/>
    <cellStyle name="20% - Accent3 3 4 22" xfId="16052"/>
    <cellStyle name="20% - Accent3 3 4 22 2" xfId="38827"/>
    <cellStyle name="20% - Accent3 3 4 23" xfId="16708"/>
    <cellStyle name="20% - Accent3 3 4 23 2" xfId="39483"/>
    <cellStyle name="20% - Accent3 3 4 24" xfId="17364"/>
    <cellStyle name="20% - Accent3 3 4 24 2" xfId="40139"/>
    <cellStyle name="20% - Accent3 3 4 25" xfId="18020"/>
    <cellStyle name="20% - Accent3 3 4 25 2" xfId="40795"/>
    <cellStyle name="20% - Accent3 3 4 26" xfId="18676"/>
    <cellStyle name="20% - Accent3 3 4 26 2" xfId="41451"/>
    <cellStyle name="20% - Accent3 3 4 27" xfId="19332"/>
    <cellStyle name="20% - Accent3 3 4 27 2" xfId="42107"/>
    <cellStyle name="20% - Accent3 3 4 28" xfId="19988"/>
    <cellStyle name="20% - Accent3 3 4 28 2" xfId="42763"/>
    <cellStyle name="20% - Accent3 3 4 29" xfId="20644"/>
    <cellStyle name="20% - Accent3 3 4 29 2" xfId="43419"/>
    <cellStyle name="20% - Accent3 3 4 3" xfId="1948"/>
    <cellStyle name="20% - Accent3 3 4 3 2" xfId="4244"/>
    <cellStyle name="20% - Accent3 3 4 3 2 2" xfId="27019"/>
    <cellStyle name="20% - Accent3 3 4 3 3" xfId="24723"/>
    <cellStyle name="20% - Accent3 3 4 30" xfId="21300"/>
    <cellStyle name="20% - Accent3 3 4 30 2" xfId="44075"/>
    <cellStyle name="20% - Accent3 3 4 31" xfId="21956"/>
    <cellStyle name="20% - Accent3 3 4 31 2" xfId="44731"/>
    <cellStyle name="20% - Accent3 3 4 32" xfId="22612"/>
    <cellStyle name="20% - Accent3 3 4 32 2" xfId="45387"/>
    <cellStyle name="20% - Accent3 3 4 33" xfId="23411"/>
    <cellStyle name="20% - Accent3 3 4 4" xfId="4900"/>
    <cellStyle name="20% - Accent3 3 4 4 2" xfId="27675"/>
    <cellStyle name="20% - Accent3 3 4 5" xfId="5556"/>
    <cellStyle name="20% - Accent3 3 4 5 2" xfId="28331"/>
    <cellStyle name="20% - Accent3 3 4 6" xfId="6212"/>
    <cellStyle name="20% - Accent3 3 4 6 2" xfId="28987"/>
    <cellStyle name="20% - Accent3 3 4 7" xfId="2932"/>
    <cellStyle name="20% - Accent3 3 4 7 2" xfId="25707"/>
    <cellStyle name="20% - Accent3 3 4 8" xfId="6868"/>
    <cellStyle name="20% - Accent3 3 4 8 2" xfId="29643"/>
    <cellStyle name="20% - Accent3 3 4 9" xfId="7524"/>
    <cellStyle name="20% - Accent3 3 4 9 2" xfId="30299"/>
    <cellStyle name="20% - Accent3 3 5" xfId="309"/>
    <cellStyle name="20% - Accent3 3 5 2" xfId="2604"/>
    <cellStyle name="20% - Accent3 3 5 2 2" xfId="25379"/>
    <cellStyle name="20% - Accent3 3 5 3" xfId="23083"/>
    <cellStyle name="20% - Accent3 3 6" xfId="964"/>
    <cellStyle name="20% - Accent3 3 6 2" xfId="3260"/>
    <cellStyle name="20% - Accent3 3 6 2 2" xfId="26035"/>
    <cellStyle name="20% - Accent3 3 6 3" xfId="23739"/>
    <cellStyle name="20% - Accent3 3 7" xfId="1620"/>
    <cellStyle name="20% - Accent3 3 7 2" xfId="3916"/>
    <cellStyle name="20% - Accent3 3 7 2 2" xfId="26691"/>
    <cellStyle name="20% - Accent3 3 7 3" xfId="24395"/>
    <cellStyle name="20% - Accent3 3 8" xfId="4572"/>
    <cellStyle name="20% - Accent3 3 8 2" xfId="27347"/>
    <cellStyle name="20% - Accent3 3 9" xfId="5228"/>
    <cellStyle name="20% - Accent3 3 9 2" xfId="28003"/>
    <cellStyle name="20% - Accent3 30" xfId="13725"/>
    <cellStyle name="20% - Accent3 30 2" xfId="36500"/>
    <cellStyle name="20% - Accent3 31" xfId="14381"/>
    <cellStyle name="20% - Accent3 31 2" xfId="37156"/>
    <cellStyle name="20% - Accent3 32" xfId="15037"/>
    <cellStyle name="20% - Accent3 32 2" xfId="37812"/>
    <cellStyle name="20% - Accent3 33" xfId="15693"/>
    <cellStyle name="20% - Accent3 33 2" xfId="38468"/>
    <cellStyle name="20% - Accent3 34" xfId="16349"/>
    <cellStyle name="20% - Accent3 34 2" xfId="39124"/>
    <cellStyle name="20% - Accent3 35" xfId="17005"/>
    <cellStyle name="20% - Accent3 35 2" xfId="39780"/>
    <cellStyle name="20% - Accent3 36" xfId="17661"/>
    <cellStyle name="20% - Accent3 36 2" xfId="40436"/>
    <cellStyle name="20% - Accent3 37" xfId="18317"/>
    <cellStyle name="20% - Accent3 37 2" xfId="41092"/>
    <cellStyle name="20% - Accent3 38" xfId="18973"/>
    <cellStyle name="20% - Accent3 38 2" xfId="41748"/>
    <cellStyle name="20% - Accent3 39" xfId="19629"/>
    <cellStyle name="20% - Accent3 39 2" xfId="42404"/>
    <cellStyle name="20% - Accent3 4" xfId="92"/>
    <cellStyle name="20% - Accent3 4 10" xfId="5898"/>
    <cellStyle name="20% - Accent3 4 10 2" xfId="28673"/>
    <cellStyle name="20% - Accent3 4 11" xfId="2290"/>
    <cellStyle name="20% - Accent3 4 11 2" xfId="25065"/>
    <cellStyle name="20% - Accent3 4 12" xfId="6554"/>
    <cellStyle name="20% - Accent3 4 12 2" xfId="29329"/>
    <cellStyle name="20% - Accent3 4 13" xfId="7210"/>
    <cellStyle name="20% - Accent3 4 13 2" xfId="29985"/>
    <cellStyle name="20% - Accent3 4 14" xfId="7866"/>
    <cellStyle name="20% - Accent3 4 14 2" xfId="30641"/>
    <cellStyle name="20% - Accent3 4 15" xfId="8522"/>
    <cellStyle name="20% - Accent3 4 15 2" xfId="31297"/>
    <cellStyle name="20% - Accent3 4 16" xfId="9178"/>
    <cellStyle name="20% - Accent3 4 16 2" xfId="31953"/>
    <cellStyle name="20% - Accent3 4 17" xfId="9834"/>
    <cellStyle name="20% - Accent3 4 17 2" xfId="32609"/>
    <cellStyle name="20% - Accent3 4 18" xfId="10490"/>
    <cellStyle name="20% - Accent3 4 18 2" xfId="33265"/>
    <cellStyle name="20% - Accent3 4 19" xfId="11146"/>
    <cellStyle name="20% - Accent3 4 19 2" xfId="33921"/>
    <cellStyle name="20% - Accent3 4 2" xfId="163"/>
    <cellStyle name="20% - Accent3 4 2 10" xfId="2361"/>
    <cellStyle name="20% - Accent3 4 2 10 2" xfId="25136"/>
    <cellStyle name="20% - Accent3 4 2 11" xfId="6625"/>
    <cellStyle name="20% - Accent3 4 2 11 2" xfId="29400"/>
    <cellStyle name="20% - Accent3 4 2 12" xfId="7281"/>
    <cellStyle name="20% - Accent3 4 2 12 2" xfId="30056"/>
    <cellStyle name="20% - Accent3 4 2 13" xfId="7937"/>
    <cellStyle name="20% - Accent3 4 2 13 2" xfId="30712"/>
    <cellStyle name="20% - Accent3 4 2 14" xfId="8593"/>
    <cellStyle name="20% - Accent3 4 2 14 2" xfId="31368"/>
    <cellStyle name="20% - Accent3 4 2 15" xfId="9249"/>
    <cellStyle name="20% - Accent3 4 2 15 2" xfId="32024"/>
    <cellStyle name="20% - Accent3 4 2 16" xfId="9905"/>
    <cellStyle name="20% - Accent3 4 2 16 2" xfId="32680"/>
    <cellStyle name="20% - Accent3 4 2 17" xfId="10561"/>
    <cellStyle name="20% - Accent3 4 2 17 2" xfId="33336"/>
    <cellStyle name="20% - Accent3 4 2 18" xfId="11217"/>
    <cellStyle name="20% - Accent3 4 2 18 2" xfId="33992"/>
    <cellStyle name="20% - Accent3 4 2 19" xfId="11873"/>
    <cellStyle name="20% - Accent3 4 2 19 2" xfId="34648"/>
    <cellStyle name="20% - Accent3 4 2 2" xfId="577"/>
    <cellStyle name="20% - Accent3 4 2 2 10" xfId="6810"/>
    <cellStyle name="20% - Accent3 4 2 2 10 2" xfId="29585"/>
    <cellStyle name="20% - Accent3 4 2 2 11" xfId="7466"/>
    <cellStyle name="20% - Accent3 4 2 2 11 2" xfId="30241"/>
    <cellStyle name="20% - Accent3 4 2 2 12" xfId="8122"/>
    <cellStyle name="20% - Accent3 4 2 2 12 2" xfId="30897"/>
    <cellStyle name="20% - Accent3 4 2 2 13" xfId="8778"/>
    <cellStyle name="20% - Accent3 4 2 2 13 2" xfId="31553"/>
    <cellStyle name="20% - Accent3 4 2 2 14" xfId="9434"/>
    <cellStyle name="20% - Accent3 4 2 2 14 2" xfId="32209"/>
    <cellStyle name="20% - Accent3 4 2 2 15" xfId="10090"/>
    <cellStyle name="20% - Accent3 4 2 2 15 2" xfId="32865"/>
    <cellStyle name="20% - Accent3 4 2 2 16" xfId="10746"/>
    <cellStyle name="20% - Accent3 4 2 2 16 2" xfId="33521"/>
    <cellStyle name="20% - Accent3 4 2 2 17" xfId="11402"/>
    <cellStyle name="20% - Accent3 4 2 2 17 2" xfId="34177"/>
    <cellStyle name="20% - Accent3 4 2 2 18" xfId="12058"/>
    <cellStyle name="20% - Accent3 4 2 2 18 2" xfId="34833"/>
    <cellStyle name="20% - Accent3 4 2 2 19" xfId="12714"/>
    <cellStyle name="20% - Accent3 4 2 2 19 2" xfId="35489"/>
    <cellStyle name="20% - Accent3 4 2 2 2" xfId="906"/>
    <cellStyle name="20% - Accent3 4 2 2 2 10" xfId="8450"/>
    <cellStyle name="20% - Accent3 4 2 2 2 10 2" xfId="31225"/>
    <cellStyle name="20% - Accent3 4 2 2 2 11" xfId="9106"/>
    <cellStyle name="20% - Accent3 4 2 2 2 11 2" xfId="31881"/>
    <cellStyle name="20% - Accent3 4 2 2 2 12" xfId="9762"/>
    <cellStyle name="20% - Accent3 4 2 2 2 12 2" xfId="32537"/>
    <cellStyle name="20% - Accent3 4 2 2 2 13" xfId="10418"/>
    <cellStyle name="20% - Accent3 4 2 2 2 13 2" xfId="33193"/>
    <cellStyle name="20% - Accent3 4 2 2 2 14" xfId="11074"/>
    <cellStyle name="20% - Accent3 4 2 2 2 14 2" xfId="33849"/>
    <cellStyle name="20% - Accent3 4 2 2 2 15" xfId="11730"/>
    <cellStyle name="20% - Accent3 4 2 2 2 15 2" xfId="34505"/>
    <cellStyle name="20% - Accent3 4 2 2 2 16" xfId="12386"/>
    <cellStyle name="20% - Accent3 4 2 2 2 16 2" xfId="35161"/>
    <cellStyle name="20% - Accent3 4 2 2 2 17" xfId="13042"/>
    <cellStyle name="20% - Accent3 4 2 2 2 17 2" xfId="35817"/>
    <cellStyle name="20% - Accent3 4 2 2 2 18" xfId="13698"/>
    <cellStyle name="20% - Accent3 4 2 2 2 18 2" xfId="36473"/>
    <cellStyle name="20% - Accent3 4 2 2 2 19" xfId="14354"/>
    <cellStyle name="20% - Accent3 4 2 2 2 19 2" xfId="37129"/>
    <cellStyle name="20% - Accent3 4 2 2 2 2" xfId="1562"/>
    <cellStyle name="20% - Accent3 4 2 2 2 2 2" xfId="3858"/>
    <cellStyle name="20% - Accent3 4 2 2 2 2 2 2" xfId="26633"/>
    <cellStyle name="20% - Accent3 4 2 2 2 2 3" xfId="24337"/>
    <cellStyle name="20% - Accent3 4 2 2 2 20" xfId="15010"/>
    <cellStyle name="20% - Accent3 4 2 2 2 20 2" xfId="37785"/>
    <cellStyle name="20% - Accent3 4 2 2 2 21" xfId="15666"/>
    <cellStyle name="20% - Accent3 4 2 2 2 21 2" xfId="38441"/>
    <cellStyle name="20% - Accent3 4 2 2 2 22" xfId="16322"/>
    <cellStyle name="20% - Accent3 4 2 2 2 22 2" xfId="39097"/>
    <cellStyle name="20% - Accent3 4 2 2 2 23" xfId="16978"/>
    <cellStyle name="20% - Accent3 4 2 2 2 23 2" xfId="39753"/>
    <cellStyle name="20% - Accent3 4 2 2 2 24" xfId="17634"/>
    <cellStyle name="20% - Accent3 4 2 2 2 24 2" xfId="40409"/>
    <cellStyle name="20% - Accent3 4 2 2 2 25" xfId="18290"/>
    <cellStyle name="20% - Accent3 4 2 2 2 25 2" xfId="41065"/>
    <cellStyle name="20% - Accent3 4 2 2 2 26" xfId="18946"/>
    <cellStyle name="20% - Accent3 4 2 2 2 26 2" xfId="41721"/>
    <cellStyle name="20% - Accent3 4 2 2 2 27" xfId="19602"/>
    <cellStyle name="20% - Accent3 4 2 2 2 27 2" xfId="42377"/>
    <cellStyle name="20% - Accent3 4 2 2 2 28" xfId="20258"/>
    <cellStyle name="20% - Accent3 4 2 2 2 28 2" xfId="43033"/>
    <cellStyle name="20% - Accent3 4 2 2 2 29" xfId="20914"/>
    <cellStyle name="20% - Accent3 4 2 2 2 29 2" xfId="43689"/>
    <cellStyle name="20% - Accent3 4 2 2 2 3" xfId="2218"/>
    <cellStyle name="20% - Accent3 4 2 2 2 3 2" xfId="4514"/>
    <cellStyle name="20% - Accent3 4 2 2 2 3 2 2" xfId="27289"/>
    <cellStyle name="20% - Accent3 4 2 2 2 3 3" xfId="24993"/>
    <cellStyle name="20% - Accent3 4 2 2 2 30" xfId="21570"/>
    <cellStyle name="20% - Accent3 4 2 2 2 30 2" xfId="44345"/>
    <cellStyle name="20% - Accent3 4 2 2 2 31" xfId="22226"/>
    <cellStyle name="20% - Accent3 4 2 2 2 31 2" xfId="45001"/>
    <cellStyle name="20% - Accent3 4 2 2 2 32" xfId="22882"/>
    <cellStyle name="20% - Accent3 4 2 2 2 32 2" xfId="45657"/>
    <cellStyle name="20% - Accent3 4 2 2 2 33" xfId="23681"/>
    <cellStyle name="20% - Accent3 4 2 2 2 4" xfId="5170"/>
    <cellStyle name="20% - Accent3 4 2 2 2 4 2" xfId="27945"/>
    <cellStyle name="20% - Accent3 4 2 2 2 5" xfId="5826"/>
    <cellStyle name="20% - Accent3 4 2 2 2 5 2" xfId="28601"/>
    <cellStyle name="20% - Accent3 4 2 2 2 6" xfId="6482"/>
    <cellStyle name="20% - Accent3 4 2 2 2 6 2" xfId="29257"/>
    <cellStyle name="20% - Accent3 4 2 2 2 7" xfId="3202"/>
    <cellStyle name="20% - Accent3 4 2 2 2 7 2" xfId="25977"/>
    <cellStyle name="20% - Accent3 4 2 2 2 8" xfId="7138"/>
    <cellStyle name="20% - Accent3 4 2 2 2 8 2" xfId="29913"/>
    <cellStyle name="20% - Accent3 4 2 2 2 9" xfId="7794"/>
    <cellStyle name="20% - Accent3 4 2 2 2 9 2" xfId="30569"/>
    <cellStyle name="20% - Accent3 4 2 2 20" xfId="13370"/>
    <cellStyle name="20% - Accent3 4 2 2 20 2" xfId="36145"/>
    <cellStyle name="20% - Accent3 4 2 2 21" xfId="14026"/>
    <cellStyle name="20% - Accent3 4 2 2 21 2" xfId="36801"/>
    <cellStyle name="20% - Accent3 4 2 2 22" xfId="14682"/>
    <cellStyle name="20% - Accent3 4 2 2 22 2" xfId="37457"/>
    <cellStyle name="20% - Accent3 4 2 2 23" xfId="15338"/>
    <cellStyle name="20% - Accent3 4 2 2 23 2" xfId="38113"/>
    <cellStyle name="20% - Accent3 4 2 2 24" xfId="15994"/>
    <cellStyle name="20% - Accent3 4 2 2 24 2" xfId="38769"/>
    <cellStyle name="20% - Accent3 4 2 2 25" xfId="16650"/>
    <cellStyle name="20% - Accent3 4 2 2 25 2" xfId="39425"/>
    <cellStyle name="20% - Accent3 4 2 2 26" xfId="17306"/>
    <cellStyle name="20% - Accent3 4 2 2 26 2" xfId="40081"/>
    <cellStyle name="20% - Accent3 4 2 2 27" xfId="17962"/>
    <cellStyle name="20% - Accent3 4 2 2 27 2" xfId="40737"/>
    <cellStyle name="20% - Accent3 4 2 2 28" xfId="18618"/>
    <cellStyle name="20% - Accent3 4 2 2 28 2" xfId="41393"/>
    <cellStyle name="20% - Accent3 4 2 2 29" xfId="19274"/>
    <cellStyle name="20% - Accent3 4 2 2 29 2" xfId="42049"/>
    <cellStyle name="20% - Accent3 4 2 2 3" xfId="1234"/>
    <cellStyle name="20% - Accent3 4 2 2 3 2" xfId="2874"/>
    <cellStyle name="20% - Accent3 4 2 2 3 2 2" xfId="25649"/>
    <cellStyle name="20% - Accent3 4 2 2 3 3" xfId="24009"/>
    <cellStyle name="20% - Accent3 4 2 2 30" xfId="19930"/>
    <cellStyle name="20% - Accent3 4 2 2 30 2" xfId="42705"/>
    <cellStyle name="20% - Accent3 4 2 2 31" xfId="20586"/>
    <cellStyle name="20% - Accent3 4 2 2 31 2" xfId="43361"/>
    <cellStyle name="20% - Accent3 4 2 2 32" xfId="21242"/>
    <cellStyle name="20% - Accent3 4 2 2 32 2" xfId="44017"/>
    <cellStyle name="20% - Accent3 4 2 2 33" xfId="21898"/>
    <cellStyle name="20% - Accent3 4 2 2 33 2" xfId="44673"/>
    <cellStyle name="20% - Accent3 4 2 2 34" xfId="22554"/>
    <cellStyle name="20% - Accent3 4 2 2 34 2" xfId="45329"/>
    <cellStyle name="20% - Accent3 4 2 2 35" xfId="23353"/>
    <cellStyle name="20% - Accent3 4 2 2 4" xfId="1890"/>
    <cellStyle name="20% - Accent3 4 2 2 4 2" xfId="3530"/>
    <cellStyle name="20% - Accent3 4 2 2 4 2 2" xfId="26305"/>
    <cellStyle name="20% - Accent3 4 2 2 4 3" xfId="24665"/>
    <cellStyle name="20% - Accent3 4 2 2 5" xfId="4186"/>
    <cellStyle name="20% - Accent3 4 2 2 5 2" xfId="26961"/>
    <cellStyle name="20% - Accent3 4 2 2 6" xfId="4842"/>
    <cellStyle name="20% - Accent3 4 2 2 6 2" xfId="27617"/>
    <cellStyle name="20% - Accent3 4 2 2 7" xfId="5498"/>
    <cellStyle name="20% - Accent3 4 2 2 7 2" xfId="28273"/>
    <cellStyle name="20% - Accent3 4 2 2 8" xfId="6154"/>
    <cellStyle name="20% - Accent3 4 2 2 8 2" xfId="28929"/>
    <cellStyle name="20% - Accent3 4 2 2 9" xfId="2546"/>
    <cellStyle name="20% - Accent3 4 2 2 9 2" xfId="25321"/>
    <cellStyle name="20% - Accent3 4 2 20" xfId="12529"/>
    <cellStyle name="20% - Accent3 4 2 20 2" xfId="35304"/>
    <cellStyle name="20% - Accent3 4 2 21" xfId="13185"/>
    <cellStyle name="20% - Accent3 4 2 21 2" xfId="35960"/>
    <cellStyle name="20% - Accent3 4 2 22" xfId="13841"/>
    <cellStyle name="20% - Accent3 4 2 22 2" xfId="36616"/>
    <cellStyle name="20% - Accent3 4 2 23" xfId="14497"/>
    <cellStyle name="20% - Accent3 4 2 23 2" xfId="37272"/>
    <cellStyle name="20% - Accent3 4 2 24" xfId="15153"/>
    <cellStyle name="20% - Accent3 4 2 24 2" xfId="37928"/>
    <cellStyle name="20% - Accent3 4 2 25" xfId="15809"/>
    <cellStyle name="20% - Accent3 4 2 25 2" xfId="38584"/>
    <cellStyle name="20% - Accent3 4 2 26" xfId="16465"/>
    <cellStyle name="20% - Accent3 4 2 26 2" xfId="39240"/>
    <cellStyle name="20% - Accent3 4 2 27" xfId="17121"/>
    <cellStyle name="20% - Accent3 4 2 27 2" xfId="39896"/>
    <cellStyle name="20% - Accent3 4 2 28" xfId="17777"/>
    <cellStyle name="20% - Accent3 4 2 28 2" xfId="40552"/>
    <cellStyle name="20% - Accent3 4 2 29" xfId="18433"/>
    <cellStyle name="20% - Accent3 4 2 29 2" xfId="41208"/>
    <cellStyle name="20% - Accent3 4 2 3" xfId="721"/>
    <cellStyle name="20% - Accent3 4 2 3 10" xfId="8265"/>
    <cellStyle name="20% - Accent3 4 2 3 10 2" xfId="31040"/>
    <cellStyle name="20% - Accent3 4 2 3 11" xfId="8921"/>
    <cellStyle name="20% - Accent3 4 2 3 11 2" xfId="31696"/>
    <cellStyle name="20% - Accent3 4 2 3 12" xfId="9577"/>
    <cellStyle name="20% - Accent3 4 2 3 12 2" xfId="32352"/>
    <cellStyle name="20% - Accent3 4 2 3 13" xfId="10233"/>
    <cellStyle name="20% - Accent3 4 2 3 13 2" xfId="33008"/>
    <cellStyle name="20% - Accent3 4 2 3 14" xfId="10889"/>
    <cellStyle name="20% - Accent3 4 2 3 14 2" xfId="33664"/>
    <cellStyle name="20% - Accent3 4 2 3 15" xfId="11545"/>
    <cellStyle name="20% - Accent3 4 2 3 15 2" xfId="34320"/>
    <cellStyle name="20% - Accent3 4 2 3 16" xfId="12201"/>
    <cellStyle name="20% - Accent3 4 2 3 16 2" xfId="34976"/>
    <cellStyle name="20% - Accent3 4 2 3 17" xfId="12857"/>
    <cellStyle name="20% - Accent3 4 2 3 17 2" xfId="35632"/>
    <cellStyle name="20% - Accent3 4 2 3 18" xfId="13513"/>
    <cellStyle name="20% - Accent3 4 2 3 18 2" xfId="36288"/>
    <cellStyle name="20% - Accent3 4 2 3 19" xfId="14169"/>
    <cellStyle name="20% - Accent3 4 2 3 19 2" xfId="36944"/>
    <cellStyle name="20% - Accent3 4 2 3 2" xfId="1377"/>
    <cellStyle name="20% - Accent3 4 2 3 2 2" xfId="3673"/>
    <cellStyle name="20% - Accent3 4 2 3 2 2 2" xfId="26448"/>
    <cellStyle name="20% - Accent3 4 2 3 2 3" xfId="24152"/>
    <cellStyle name="20% - Accent3 4 2 3 20" xfId="14825"/>
    <cellStyle name="20% - Accent3 4 2 3 20 2" xfId="37600"/>
    <cellStyle name="20% - Accent3 4 2 3 21" xfId="15481"/>
    <cellStyle name="20% - Accent3 4 2 3 21 2" xfId="38256"/>
    <cellStyle name="20% - Accent3 4 2 3 22" xfId="16137"/>
    <cellStyle name="20% - Accent3 4 2 3 22 2" xfId="38912"/>
    <cellStyle name="20% - Accent3 4 2 3 23" xfId="16793"/>
    <cellStyle name="20% - Accent3 4 2 3 23 2" xfId="39568"/>
    <cellStyle name="20% - Accent3 4 2 3 24" xfId="17449"/>
    <cellStyle name="20% - Accent3 4 2 3 24 2" xfId="40224"/>
    <cellStyle name="20% - Accent3 4 2 3 25" xfId="18105"/>
    <cellStyle name="20% - Accent3 4 2 3 25 2" xfId="40880"/>
    <cellStyle name="20% - Accent3 4 2 3 26" xfId="18761"/>
    <cellStyle name="20% - Accent3 4 2 3 26 2" xfId="41536"/>
    <cellStyle name="20% - Accent3 4 2 3 27" xfId="19417"/>
    <cellStyle name="20% - Accent3 4 2 3 27 2" xfId="42192"/>
    <cellStyle name="20% - Accent3 4 2 3 28" xfId="20073"/>
    <cellStyle name="20% - Accent3 4 2 3 28 2" xfId="42848"/>
    <cellStyle name="20% - Accent3 4 2 3 29" xfId="20729"/>
    <cellStyle name="20% - Accent3 4 2 3 29 2" xfId="43504"/>
    <cellStyle name="20% - Accent3 4 2 3 3" xfId="2033"/>
    <cellStyle name="20% - Accent3 4 2 3 3 2" xfId="4329"/>
    <cellStyle name="20% - Accent3 4 2 3 3 2 2" xfId="27104"/>
    <cellStyle name="20% - Accent3 4 2 3 3 3" xfId="24808"/>
    <cellStyle name="20% - Accent3 4 2 3 30" xfId="21385"/>
    <cellStyle name="20% - Accent3 4 2 3 30 2" xfId="44160"/>
    <cellStyle name="20% - Accent3 4 2 3 31" xfId="22041"/>
    <cellStyle name="20% - Accent3 4 2 3 31 2" xfId="44816"/>
    <cellStyle name="20% - Accent3 4 2 3 32" xfId="22697"/>
    <cellStyle name="20% - Accent3 4 2 3 32 2" xfId="45472"/>
    <cellStyle name="20% - Accent3 4 2 3 33" xfId="23496"/>
    <cellStyle name="20% - Accent3 4 2 3 4" xfId="4985"/>
    <cellStyle name="20% - Accent3 4 2 3 4 2" xfId="27760"/>
    <cellStyle name="20% - Accent3 4 2 3 5" xfId="5641"/>
    <cellStyle name="20% - Accent3 4 2 3 5 2" xfId="28416"/>
    <cellStyle name="20% - Accent3 4 2 3 6" xfId="6297"/>
    <cellStyle name="20% - Accent3 4 2 3 6 2" xfId="29072"/>
    <cellStyle name="20% - Accent3 4 2 3 7" xfId="3017"/>
    <cellStyle name="20% - Accent3 4 2 3 7 2" xfId="25792"/>
    <cellStyle name="20% - Accent3 4 2 3 8" xfId="6953"/>
    <cellStyle name="20% - Accent3 4 2 3 8 2" xfId="29728"/>
    <cellStyle name="20% - Accent3 4 2 3 9" xfId="7609"/>
    <cellStyle name="20% - Accent3 4 2 3 9 2" xfId="30384"/>
    <cellStyle name="20% - Accent3 4 2 30" xfId="19089"/>
    <cellStyle name="20% - Accent3 4 2 30 2" xfId="41864"/>
    <cellStyle name="20% - Accent3 4 2 31" xfId="19745"/>
    <cellStyle name="20% - Accent3 4 2 31 2" xfId="42520"/>
    <cellStyle name="20% - Accent3 4 2 32" xfId="20401"/>
    <cellStyle name="20% - Accent3 4 2 32 2" xfId="43176"/>
    <cellStyle name="20% - Accent3 4 2 33" xfId="21057"/>
    <cellStyle name="20% - Accent3 4 2 33 2" xfId="43832"/>
    <cellStyle name="20% - Accent3 4 2 34" xfId="21713"/>
    <cellStyle name="20% - Accent3 4 2 34 2" xfId="44488"/>
    <cellStyle name="20% - Accent3 4 2 35" xfId="22369"/>
    <cellStyle name="20% - Accent3 4 2 35 2" xfId="45144"/>
    <cellStyle name="20% - Accent3 4 2 36" xfId="23025"/>
    <cellStyle name="20% - Accent3 4 2 4" xfId="394"/>
    <cellStyle name="20% - Accent3 4 2 4 2" xfId="2689"/>
    <cellStyle name="20% - Accent3 4 2 4 2 2" xfId="25464"/>
    <cellStyle name="20% - Accent3 4 2 4 3" xfId="23168"/>
    <cellStyle name="20% - Accent3 4 2 5" xfId="1049"/>
    <cellStyle name="20% - Accent3 4 2 5 2" xfId="3345"/>
    <cellStyle name="20% - Accent3 4 2 5 2 2" xfId="26120"/>
    <cellStyle name="20% - Accent3 4 2 5 3" xfId="23824"/>
    <cellStyle name="20% - Accent3 4 2 6" xfId="1705"/>
    <cellStyle name="20% - Accent3 4 2 6 2" xfId="4001"/>
    <cellStyle name="20% - Accent3 4 2 6 2 2" xfId="26776"/>
    <cellStyle name="20% - Accent3 4 2 6 3" xfId="24480"/>
    <cellStyle name="20% - Accent3 4 2 7" xfId="4657"/>
    <cellStyle name="20% - Accent3 4 2 7 2" xfId="27432"/>
    <cellStyle name="20% - Accent3 4 2 8" xfId="5313"/>
    <cellStyle name="20% - Accent3 4 2 8 2" xfId="28088"/>
    <cellStyle name="20% - Accent3 4 2 9" xfId="5969"/>
    <cellStyle name="20% - Accent3 4 2 9 2" xfId="28744"/>
    <cellStyle name="20% - Accent3 4 20" xfId="11802"/>
    <cellStyle name="20% - Accent3 4 20 2" xfId="34577"/>
    <cellStyle name="20% - Accent3 4 21" xfId="12458"/>
    <cellStyle name="20% - Accent3 4 21 2" xfId="35233"/>
    <cellStyle name="20% - Accent3 4 22" xfId="13114"/>
    <cellStyle name="20% - Accent3 4 22 2" xfId="35889"/>
    <cellStyle name="20% - Accent3 4 23" xfId="13770"/>
    <cellStyle name="20% - Accent3 4 23 2" xfId="36545"/>
    <cellStyle name="20% - Accent3 4 24" xfId="14426"/>
    <cellStyle name="20% - Accent3 4 24 2" xfId="37201"/>
    <cellStyle name="20% - Accent3 4 25" xfId="15082"/>
    <cellStyle name="20% - Accent3 4 25 2" xfId="37857"/>
    <cellStyle name="20% - Accent3 4 26" xfId="15738"/>
    <cellStyle name="20% - Accent3 4 26 2" xfId="38513"/>
    <cellStyle name="20% - Accent3 4 27" xfId="16394"/>
    <cellStyle name="20% - Accent3 4 27 2" xfId="39169"/>
    <cellStyle name="20% - Accent3 4 28" xfId="17050"/>
    <cellStyle name="20% - Accent3 4 28 2" xfId="39825"/>
    <cellStyle name="20% - Accent3 4 29" xfId="17706"/>
    <cellStyle name="20% - Accent3 4 29 2" xfId="40481"/>
    <cellStyle name="20% - Accent3 4 3" xfId="507"/>
    <cellStyle name="20% - Accent3 4 3 10" xfId="6739"/>
    <cellStyle name="20% - Accent3 4 3 10 2" xfId="29514"/>
    <cellStyle name="20% - Accent3 4 3 11" xfId="7395"/>
    <cellStyle name="20% - Accent3 4 3 11 2" xfId="30170"/>
    <cellStyle name="20% - Accent3 4 3 12" xfId="8051"/>
    <cellStyle name="20% - Accent3 4 3 12 2" xfId="30826"/>
    <cellStyle name="20% - Accent3 4 3 13" xfId="8707"/>
    <cellStyle name="20% - Accent3 4 3 13 2" xfId="31482"/>
    <cellStyle name="20% - Accent3 4 3 14" xfId="9363"/>
    <cellStyle name="20% - Accent3 4 3 14 2" xfId="32138"/>
    <cellStyle name="20% - Accent3 4 3 15" xfId="10019"/>
    <cellStyle name="20% - Accent3 4 3 15 2" xfId="32794"/>
    <cellStyle name="20% - Accent3 4 3 16" xfId="10675"/>
    <cellStyle name="20% - Accent3 4 3 16 2" xfId="33450"/>
    <cellStyle name="20% - Accent3 4 3 17" xfId="11331"/>
    <cellStyle name="20% - Accent3 4 3 17 2" xfId="34106"/>
    <cellStyle name="20% - Accent3 4 3 18" xfId="11987"/>
    <cellStyle name="20% - Accent3 4 3 18 2" xfId="34762"/>
    <cellStyle name="20% - Accent3 4 3 19" xfId="12643"/>
    <cellStyle name="20% - Accent3 4 3 19 2" xfId="35418"/>
    <cellStyle name="20% - Accent3 4 3 2" xfId="835"/>
    <cellStyle name="20% - Accent3 4 3 2 10" xfId="8379"/>
    <cellStyle name="20% - Accent3 4 3 2 10 2" xfId="31154"/>
    <cellStyle name="20% - Accent3 4 3 2 11" xfId="9035"/>
    <cellStyle name="20% - Accent3 4 3 2 11 2" xfId="31810"/>
    <cellStyle name="20% - Accent3 4 3 2 12" xfId="9691"/>
    <cellStyle name="20% - Accent3 4 3 2 12 2" xfId="32466"/>
    <cellStyle name="20% - Accent3 4 3 2 13" xfId="10347"/>
    <cellStyle name="20% - Accent3 4 3 2 13 2" xfId="33122"/>
    <cellStyle name="20% - Accent3 4 3 2 14" xfId="11003"/>
    <cellStyle name="20% - Accent3 4 3 2 14 2" xfId="33778"/>
    <cellStyle name="20% - Accent3 4 3 2 15" xfId="11659"/>
    <cellStyle name="20% - Accent3 4 3 2 15 2" xfId="34434"/>
    <cellStyle name="20% - Accent3 4 3 2 16" xfId="12315"/>
    <cellStyle name="20% - Accent3 4 3 2 16 2" xfId="35090"/>
    <cellStyle name="20% - Accent3 4 3 2 17" xfId="12971"/>
    <cellStyle name="20% - Accent3 4 3 2 17 2" xfId="35746"/>
    <cellStyle name="20% - Accent3 4 3 2 18" xfId="13627"/>
    <cellStyle name="20% - Accent3 4 3 2 18 2" xfId="36402"/>
    <cellStyle name="20% - Accent3 4 3 2 19" xfId="14283"/>
    <cellStyle name="20% - Accent3 4 3 2 19 2" xfId="37058"/>
    <cellStyle name="20% - Accent3 4 3 2 2" xfId="1491"/>
    <cellStyle name="20% - Accent3 4 3 2 2 2" xfId="3787"/>
    <cellStyle name="20% - Accent3 4 3 2 2 2 2" xfId="26562"/>
    <cellStyle name="20% - Accent3 4 3 2 2 3" xfId="24266"/>
    <cellStyle name="20% - Accent3 4 3 2 20" xfId="14939"/>
    <cellStyle name="20% - Accent3 4 3 2 20 2" xfId="37714"/>
    <cellStyle name="20% - Accent3 4 3 2 21" xfId="15595"/>
    <cellStyle name="20% - Accent3 4 3 2 21 2" xfId="38370"/>
    <cellStyle name="20% - Accent3 4 3 2 22" xfId="16251"/>
    <cellStyle name="20% - Accent3 4 3 2 22 2" xfId="39026"/>
    <cellStyle name="20% - Accent3 4 3 2 23" xfId="16907"/>
    <cellStyle name="20% - Accent3 4 3 2 23 2" xfId="39682"/>
    <cellStyle name="20% - Accent3 4 3 2 24" xfId="17563"/>
    <cellStyle name="20% - Accent3 4 3 2 24 2" xfId="40338"/>
    <cellStyle name="20% - Accent3 4 3 2 25" xfId="18219"/>
    <cellStyle name="20% - Accent3 4 3 2 25 2" xfId="40994"/>
    <cellStyle name="20% - Accent3 4 3 2 26" xfId="18875"/>
    <cellStyle name="20% - Accent3 4 3 2 26 2" xfId="41650"/>
    <cellStyle name="20% - Accent3 4 3 2 27" xfId="19531"/>
    <cellStyle name="20% - Accent3 4 3 2 27 2" xfId="42306"/>
    <cellStyle name="20% - Accent3 4 3 2 28" xfId="20187"/>
    <cellStyle name="20% - Accent3 4 3 2 28 2" xfId="42962"/>
    <cellStyle name="20% - Accent3 4 3 2 29" xfId="20843"/>
    <cellStyle name="20% - Accent3 4 3 2 29 2" xfId="43618"/>
    <cellStyle name="20% - Accent3 4 3 2 3" xfId="2147"/>
    <cellStyle name="20% - Accent3 4 3 2 3 2" xfId="4443"/>
    <cellStyle name="20% - Accent3 4 3 2 3 2 2" xfId="27218"/>
    <cellStyle name="20% - Accent3 4 3 2 3 3" xfId="24922"/>
    <cellStyle name="20% - Accent3 4 3 2 30" xfId="21499"/>
    <cellStyle name="20% - Accent3 4 3 2 30 2" xfId="44274"/>
    <cellStyle name="20% - Accent3 4 3 2 31" xfId="22155"/>
    <cellStyle name="20% - Accent3 4 3 2 31 2" xfId="44930"/>
    <cellStyle name="20% - Accent3 4 3 2 32" xfId="22811"/>
    <cellStyle name="20% - Accent3 4 3 2 32 2" xfId="45586"/>
    <cellStyle name="20% - Accent3 4 3 2 33" xfId="23610"/>
    <cellStyle name="20% - Accent3 4 3 2 4" xfId="5099"/>
    <cellStyle name="20% - Accent3 4 3 2 4 2" xfId="27874"/>
    <cellStyle name="20% - Accent3 4 3 2 5" xfId="5755"/>
    <cellStyle name="20% - Accent3 4 3 2 5 2" xfId="28530"/>
    <cellStyle name="20% - Accent3 4 3 2 6" xfId="6411"/>
    <cellStyle name="20% - Accent3 4 3 2 6 2" xfId="29186"/>
    <cellStyle name="20% - Accent3 4 3 2 7" xfId="3131"/>
    <cellStyle name="20% - Accent3 4 3 2 7 2" xfId="25906"/>
    <cellStyle name="20% - Accent3 4 3 2 8" xfId="7067"/>
    <cellStyle name="20% - Accent3 4 3 2 8 2" xfId="29842"/>
    <cellStyle name="20% - Accent3 4 3 2 9" xfId="7723"/>
    <cellStyle name="20% - Accent3 4 3 2 9 2" xfId="30498"/>
    <cellStyle name="20% - Accent3 4 3 20" xfId="13299"/>
    <cellStyle name="20% - Accent3 4 3 20 2" xfId="36074"/>
    <cellStyle name="20% - Accent3 4 3 21" xfId="13955"/>
    <cellStyle name="20% - Accent3 4 3 21 2" xfId="36730"/>
    <cellStyle name="20% - Accent3 4 3 22" xfId="14611"/>
    <cellStyle name="20% - Accent3 4 3 22 2" xfId="37386"/>
    <cellStyle name="20% - Accent3 4 3 23" xfId="15267"/>
    <cellStyle name="20% - Accent3 4 3 23 2" xfId="38042"/>
    <cellStyle name="20% - Accent3 4 3 24" xfId="15923"/>
    <cellStyle name="20% - Accent3 4 3 24 2" xfId="38698"/>
    <cellStyle name="20% - Accent3 4 3 25" xfId="16579"/>
    <cellStyle name="20% - Accent3 4 3 25 2" xfId="39354"/>
    <cellStyle name="20% - Accent3 4 3 26" xfId="17235"/>
    <cellStyle name="20% - Accent3 4 3 26 2" xfId="40010"/>
    <cellStyle name="20% - Accent3 4 3 27" xfId="17891"/>
    <cellStyle name="20% - Accent3 4 3 27 2" xfId="40666"/>
    <cellStyle name="20% - Accent3 4 3 28" xfId="18547"/>
    <cellStyle name="20% - Accent3 4 3 28 2" xfId="41322"/>
    <cellStyle name="20% - Accent3 4 3 29" xfId="19203"/>
    <cellStyle name="20% - Accent3 4 3 29 2" xfId="41978"/>
    <cellStyle name="20% - Accent3 4 3 3" xfId="1163"/>
    <cellStyle name="20% - Accent3 4 3 3 2" xfId="2803"/>
    <cellStyle name="20% - Accent3 4 3 3 2 2" xfId="25578"/>
    <cellStyle name="20% - Accent3 4 3 3 3" xfId="23938"/>
    <cellStyle name="20% - Accent3 4 3 30" xfId="19859"/>
    <cellStyle name="20% - Accent3 4 3 30 2" xfId="42634"/>
    <cellStyle name="20% - Accent3 4 3 31" xfId="20515"/>
    <cellStyle name="20% - Accent3 4 3 31 2" xfId="43290"/>
    <cellStyle name="20% - Accent3 4 3 32" xfId="21171"/>
    <cellStyle name="20% - Accent3 4 3 32 2" xfId="43946"/>
    <cellStyle name="20% - Accent3 4 3 33" xfId="21827"/>
    <cellStyle name="20% - Accent3 4 3 33 2" xfId="44602"/>
    <cellStyle name="20% - Accent3 4 3 34" xfId="22483"/>
    <cellStyle name="20% - Accent3 4 3 34 2" xfId="45258"/>
    <cellStyle name="20% - Accent3 4 3 35" xfId="23282"/>
    <cellStyle name="20% - Accent3 4 3 4" xfId="1819"/>
    <cellStyle name="20% - Accent3 4 3 4 2" xfId="3459"/>
    <cellStyle name="20% - Accent3 4 3 4 2 2" xfId="26234"/>
    <cellStyle name="20% - Accent3 4 3 4 3" xfId="24594"/>
    <cellStyle name="20% - Accent3 4 3 5" xfId="4115"/>
    <cellStyle name="20% - Accent3 4 3 5 2" xfId="26890"/>
    <cellStyle name="20% - Accent3 4 3 6" xfId="4771"/>
    <cellStyle name="20% - Accent3 4 3 6 2" xfId="27546"/>
    <cellStyle name="20% - Accent3 4 3 7" xfId="5427"/>
    <cellStyle name="20% - Accent3 4 3 7 2" xfId="28202"/>
    <cellStyle name="20% - Accent3 4 3 8" xfId="6083"/>
    <cellStyle name="20% - Accent3 4 3 8 2" xfId="28858"/>
    <cellStyle name="20% - Accent3 4 3 9" xfId="2475"/>
    <cellStyle name="20% - Accent3 4 3 9 2" xfId="25250"/>
    <cellStyle name="20% - Accent3 4 30" xfId="18362"/>
    <cellStyle name="20% - Accent3 4 30 2" xfId="41137"/>
    <cellStyle name="20% - Accent3 4 31" xfId="19018"/>
    <cellStyle name="20% - Accent3 4 31 2" xfId="41793"/>
    <cellStyle name="20% - Accent3 4 32" xfId="19674"/>
    <cellStyle name="20% - Accent3 4 32 2" xfId="42449"/>
    <cellStyle name="20% - Accent3 4 33" xfId="20330"/>
    <cellStyle name="20% - Accent3 4 33 2" xfId="43105"/>
    <cellStyle name="20% - Accent3 4 34" xfId="20986"/>
    <cellStyle name="20% - Accent3 4 34 2" xfId="43761"/>
    <cellStyle name="20% - Accent3 4 35" xfId="21642"/>
    <cellStyle name="20% - Accent3 4 35 2" xfId="44417"/>
    <cellStyle name="20% - Accent3 4 36" xfId="22298"/>
    <cellStyle name="20% - Accent3 4 36 2" xfId="45073"/>
    <cellStyle name="20% - Accent3 4 37" xfId="237"/>
    <cellStyle name="20% - Accent3 4 38" xfId="22954"/>
    <cellStyle name="20% - Accent3 4 4" xfId="650"/>
    <cellStyle name="20% - Accent3 4 4 10" xfId="8194"/>
    <cellStyle name="20% - Accent3 4 4 10 2" xfId="30969"/>
    <cellStyle name="20% - Accent3 4 4 11" xfId="8850"/>
    <cellStyle name="20% - Accent3 4 4 11 2" xfId="31625"/>
    <cellStyle name="20% - Accent3 4 4 12" xfId="9506"/>
    <cellStyle name="20% - Accent3 4 4 12 2" xfId="32281"/>
    <cellStyle name="20% - Accent3 4 4 13" xfId="10162"/>
    <cellStyle name="20% - Accent3 4 4 13 2" xfId="32937"/>
    <cellStyle name="20% - Accent3 4 4 14" xfId="10818"/>
    <cellStyle name="20% - Accent3 4 4 14 2" xfId="33593"/>
    <cellStyle name="20% - Accent3 4 4 15" xfId="11474"/>
    <cellStyle name="20% - Accent3 4 4 15 2" xfId="34249"/>
    <cellStyle name="20% - Accent3 4 4 16" xfId="12130"/>
    <cellStyle name="20% - Accent3 4 4 16 2" xfId="34905"/>
    <cellStyle name="20% - Accent3 4 4 17" xfId="12786"/>
    <cellStyle name="20% - Accent3 4 4 17 2" xfId="35561"/>
    <cellStyle name="20% - Accent3 4 4 18" xfId="13442"/>
    <cellStyle name="20% - Accent3 4 4 18 2" xfId="36217"/>
    <cellStyle name="20% - Accent3 4 4 19" xfId="14098"/>
    <cellStyle name="20% - Accent3 4 4 19 2" xfId="36873"/>
    <cellStyle name="20% - Accent3 4 4 2" xfId="1306"/>
    <cellStyle name="20% - Accent3 4 4 2 2" xfId="3602"/>
    <cellStyle name="20% - Accent3 4 4 2 2 2" xfId="26377"/>
    <cellStyle name="20% - Accent3 4 4 2 3" xfId="24081"/>
    <cellStyle name="20% - Accent3 4 4 20" xfId="14754"/>
    <cellStyle name="20% - Accent3 4 4 20 2" xfId="37529"/>
    <cellStyle name="20% - Accent3 4 4 21" xfId="15410"/>
    <cellStyle name="20% - Accent3 4 4 21 2" xfId="38185"/>
    <cellStyle name="20% - Accent3 4 4 22" xfId="16066"/>
    <cellStyle name="20% - Accent3 4 4 22 2" xfId="38841"/>
    <cellStyle name="20% - Accent3 4 4 23" xfId="16722"/>
    <cellStyle name="20% - Accent3 4 4 23 2" xfId="39497"/>
    <cellStyle name="20% - Accent3 4 4 24" xfId="17378"/>
    <cellStyle name="20% - Accent3 4 4 24 2" xfId="40153"/>
    <cellStyle name="20% - Accent3 4 4 25" xfId="18034"/>
    <cellStyle name="20% - Accent3 4 4 25 2" xfId="40809"/>
    <cellStyle name="20% - Accent3 4 4 26" xfId="18690"/>
    <cellStyle name="20% - Accent3 4 4 26 2" xfId="41465"/>
    <cellStyle name="20% - Accent3 4 4 27" xfId="19346"/>
    <cellStyle name="20% - Accent3 4 4 27 2" xfId="42121"/>
    <cellStyle name="20% - Accent3 4 4 28" xfId="20002"/>
    <cellStyle name="20% - Accent3 4 4 28 2" xfId="42777"/>
    <cellStyle name="20% - Accent3 4 4 29" xfId="20658"/>
    <cellStyle name="20% - Accent3 4 4 29 2" xfId="43433"/>
    <cellStyle name="20% - Accent3 4 4 3" xfId="1962"/>
    <cellStyle name="20% - Accent3 4 4 3 2" xfId="4258"/>
    <cellStyle name="20% - Accent3 4 4 3 2 2" xfId="27033"/>
    <cellStyle name="20% - Accent3 4 4 3 3" xfId="24737"/>
    <cellStyle name="20% - Accent3 4 4 30" xfId="21314"/>
    <cellStyle name="20% - Accent3 4 4 30 2" xfId="44089"/>
    <cellStyle name="20% - Accent3 4 4 31" xfId="21970"/>
    <cellStyle name="20% - Accent3 4 4 31 2" xfId="44745"/>
    <cellStyle name="20% - Accent3 4 4 32" xfId="22626"/>
    <cellStyle name="20% - Accent3 4 4 32 2" xfId="45401"/>
    <cellStyle name="20% - Accent3 4 4 33" xfId="23425"/>
    <cellStyle name="20% - Accent3 4 4 4" xfId="4914"/>
    <cellStyle name="20% - Accent3 4 4 4 2" xfId="27689"/>
    <cellStyle name="20% - Accent3 4 4 5" xfId="5570"/>
    <cellStyle name="20% - Accent3 4 4 5 2" xfId="28345"/>
    <cellStyle name="20% - Accent3 4 4 6" xfId="6226"/>
    <cellStyle name="20% - Accent3 4 4 6 2" xfId="29001"/>
    <cellStyle name="20% - Accent3 4 4 7" xfId="2946"/>
    <cellStyle name="20% - Accent3 4 4 7 2" xfId="25721"/>
    <cellStyle name="20% - Accent3 4 4 8" xfId="6882"/>
    <cellStyle name="20% - Accent3 4 4 8 2" xfId="29657"/>
    <cellStyle name="20% - Accent3 4 4 9" xfId="7538"/>
    <cellStyle name="20% - Accent3 4 4 9 2" xfId="30313"/>
    <cellStyle name="20% - Accent3 4 5" xfId="323"/>
    <cellStyle name="20% - Accent3 4 5 2" xfId="2618"/>
    <cellStyle name="20% - Accent3 4 5 2 2" xfId="25393"/>
    <cellStyle name="20% - Accent3 4 5 3" xfId="23097"/>
    <cellStyle name="20% - Accent3 4 6" xfId="978"/>
    <cellStyle name="20% - Accent3 4 6 2" xfId="3274"/>
    <cellStyle name="20% - Accent3 4 6 2 2" xfId="26049"/>
    <cellStyle name="20% - Accent3 4 6 3" xfId="23753"/>
    <cellStyle name="20% - Accent3 4 7" xfId="1634"/>
    <cellStyle name="20% - Accent3 4 7 2" xfId="3930"/>
    <cellStyle name="20% - Accent3 4 7 2 2" xfId="26705"/>
    <cellStyle name="20% - Accent3 4 7 3" xfId="24409"/>
    <cellStyle name="20% - Accent3 4 8" xfId="4586"/>
    <cellStyle name="20% - Accent3 4 8 2" xfId="27361"/>
    <cellStyle name="20% - Accent3 4 9" xfId="5242"/>
    <cellStyle name="20% - Accent3 4 9 2" xfId="28017"/>
    <cellStyle name="20% - Accent3 40" xfId="20285"/>
    <cellStyle name="20% - Accent3 40 2" xfId="43060"/>
    <cellStyle name="20% - Accent3 41" xfId="20941"/>
    <cellStyle name="20% - Accent3 41 2" xfId="43716"/>
    <cellStyle name="20% - Accent3 42" xfId="21597"/>
    <cellStyle name="20% - Accent3 42 2" xfId="44372"/>
    <cellStyle name="20% - Accent3 43" xfId="22253"/>
    <cellStyle name="20% - Accent3 43 2" xfId="45028"/>
    <cellStyle name="20% - Accent3 44" xfId="192"/>
    <cellStyle name="20% - Accent3 45" xfId="22909"/>
    <cellStyle name="20% - Accent3 5" xfId="106"/>
    <cellStyle name="20% - Accent3 5 10" xfId="5912"/>
    <cellStyle name="20% - Accent3 5 10 2" xfId="28687"/>
    <cellStyle name="20% - Accent3 5 11" xfId="2304"/>
    <cellStyle name="20% - Accent3 5 11 2" xfId="25079"/>
    <cellStyle name="20% - Accent3 5 12" xfId="6568"/>
    <cellStyle name="20% - Accent3 5 12 2" xfId="29343"/>
    <cellStyle name="20% - Accent3 5 13" xfId="7224"/>
    <cellStyle name="20% - Accent3 5 13 2" xfId="29999"/>
    <cellStyle name="20% - Accent3 5 14" xfId="7880"/>
    <cellStyle name="20% - Accent3 5 14 2" xfId="30655"/>
    <cellStyle name="20% - Accent3 5 15" xfId="8536"/>
    <cellStyle name="20% - Accent3 5 15 2" xfId="31311"/>
    <cellStyle name="20% - Accent3 5 16" xfId="9192"/>
    <cellStyle name="20% - Accent3 5 16 2" xfId="31967"/>
    <cellStyle name="20% - Accent3 5 17" xfId="9848"/>
    <cellStyle name="20% - Accent3 5 17 2" xfId="32623"/>
    <cellStyle name="20% - Accent3 5 18" xfId="10504"/>
    <cellStyle name="20% - Accent3 5 18 2" xfId="33279"/>
    <cellStyle name="20% - Accent3 5 19" xfId="11160"/>
    <cellStyle name="20% - Accent3 5 19 2" xfId="33935"/>
    <cellStyle name="20% - Accent3 5 2" xfId="177"/>
    <cellStyle name="20% - Accent3 5 2 10" xfId="2375"/>
    <cellStyle name="20% - Accent3 5 2 10 2" xfId="25150"/>
    <cellStyle name="20% - Accent3 5 2 11" xfId="6639"/>
    <cellStyle name="20% - Accent3 5 2 11 2" xfId="29414"/>
    <cellStyle name="20% - Accent3 5 2 12" xfId="7295"/>
    <cellStyle name="20% - Accent3 5 2 12 2" xfId="30070"/>
    <cellStyle name="20% - Accent3 5 2 13" xfId="7951"/>
    <cellStyle name="20% - Accent3 5 2 13 2" xfId="30726"/>
    <cellStyle name="20% - Accent3 5 2 14" xfId="8607"/>
    <cellStyle name="20% - Accent3 5 2 14 2" xfId="31382"/>
    <cellStyle name="20% - Accent3 5 2 15" xfId="9263"/>
    <cellStyle name="20% - Accent3 5 2 15 2" xfId="32038"/>
    <cellStyle name="20% - Accent3 5 2 16" xfId="9919"/>
    <cellStyle name="20% - Accent3 5 2 16 2" xfId="32694"/>
    <cellStyle name="20% - Accent3 5 2 17" xfId="10575"/>
    <cellStyle name="20% - Accent3 5 2 17 2" xfId="33350"/>
    <cellStyle name="20% - Accent3 5 2 18" xfId="11231"/>
    <cellStyle name="20% - Accent3 5 2 18 2" xfId="34006"/>
    <cellStyle name="20% - Accent3 5 2 19" xfId="11887"/>
    <cellStyle name="20% - Accent3 5 2 19 2" xfId="34662"/>
    <cellStyle name="20% - Accent3 5 2 2" xfId="591"/>
    <cellStyle name="20% - Accent3 5 2 2 10" xfId="6824"/>
    <cellStyle name="20% - Accent3 5 2 2 10 2" xfId="29599"/>
    <cellStyle name="20% - Accent3 5 2 2 11" xfId="7480"/>
    <cellStyle name="20% - Accent3 5 2 2 11 2" xfId="30255"/>
    <cellStyle name="20% - Accent3 5 2 2 12" xfId="8136"/>
    <cellStyle name="20% - Accent3 5 2 2 12 2" xfId="30911"/>
    <cellStyle name="20% - Accent3 5 2 2 13" xfId="8792"/>
    <cellStyle name="20% - Accent3 5 2 2 13 2" xfId="31567"/>
    <cellStyle name="20% - Accent3 5 2 2 14" xfId="9448"/>
    <cellStyle name="20% - Accent3 5 2 2 14 2" xfId="32223"/>
    <cellStyle name="20% - Accent3 5 2 2 15" xfId="10104"/>
    <cellStyle name="20% - Accent3 5 2 2 15 2" xfId="32879"/>
    <cellStyle name="20% - Accent3 5 2 2 16" xfId="10760"/>
    <cellStyle name="20% - Accent3 5 2 2 16 2" xfId="33535"/>
    <cellStyle name="20% - Accent3 5 2 2 17" xfId="11416"/>
    <cellStyle name="20% - Accent3 5 2 2 17 2" xfId="34191"/>
    <cellStyle name="20% - Accent3 5 2 2 18" xfId="12072"/>
    <cellStyle name="20% - Accent3 5 2 2 18 2" xfId="34847"/>
    <cellStyle name="20% - Accent3 5 2 2 19" xfId="12728"/>
    <cellStyle name="20% - Accent3 5 2 2 19 2" xfId="35503"/>
    <cellStyle name="20% - Accent3 5 2 2 2" xfId="920"/>
    <cellStyle name="20% - Accent3 5 2 2 2 10" xfId="8464"/>
    <cellStyle name="20% - Accent3 5 2 2 2 10 2" xfId="31239"/>
    <cellStyle name="20% - Accent3 5 2 2 2 11" xfId="9120"/>
    <cellStyle name="20% - Accent3 5 2 2 2 11 2" xfId="31895"/>
    <cellStyle name="20% - Accent3 5 2 2 2 12" xfId="9776"/>
    <cellStyle name="20% - Accent3 5 2 2 2 12 2" xfId="32551"/>
    <cellStyle name="20% - Accent3 5 2 2 2 13" xfId="10432"/>
    <cellStyle name="20% - Accent3 5 2 2 2 13 2" xfId="33207"/>
    <cellStyle name="20% - Accent3 5 2 2 2 14" xfId="11088"/>
    <cellStyle name="20% - Accent3 5 2 2 2 14 2" xfId="33863"/>
    <cellStyle name="20% - Accent3 5 2 2 2 15" xfId="11744"/>
    <cellStyle name="20% - Accent3 5 2 2 2 15 2" xfId="34519"/>
    <cellStyle name="20% - Accent3 5 2 2 2 16" xfId="12400"/>
    <cellStyle name="20% - Accent3 5 2 2 2 16 2" xfId="35175"/>
    <cellStyle name="20% - Accent3 5 2 2 2 17" xfId="13056"/>
    <cellStyle name="20% - Accent3 5 2 2 2 17 2" xfId="35831"/>
    <cellStyle name="20% - Accent3 5 2 2 2 18" xfId="13712"/>
    <cellStyle name="20% - Accent3 5 2 2 2 18 2" xfId="36487"/>
    <cellStyle name="20% - Accent3 5 2 2 2 19" xfId="14368"/>
    <cellStyle name="20% - Accent3 5 2 2 2 19 2" xfId="37143"/>
    <cellStyle name="20% - Accent3 5 2 2 2 2" xfId="1576"/>
    <cellStyle name="20% - Accent3 5 2 2 2 2 2" xfId="3872"/>
    <cellStyle name="20% - Accent3 5 2 2 2 2 2 2" xfId="26647"/>
    <cellStyle name="20% - Accent3 5 2 2 2 2 3" xfId="24351"/>
    <cellStyle name="20% - Accent3 5 2 2 2 20" xfId="15024"/>
    <cellStyle name="20% - Accent3 5 2 2 2 20 2" xfId="37799"/>
    <cellStyle name="20% - Accent3 5 2 2 2 21" xfId="15680"/>
    <cellStyle name="20% - Accent3 5 2 2 2 21 2" xfId="38455"/>
    <cellStyle name="20% - Accent3 5 2 2 2 22" xfId="16336"/>
    <cellStyle name="20% - Accent3 5 2 2 2 22 2" xfId="39111"/>
    <cellStyle name="20% - Accent3 5 2 2 2 23" xfId="16992"/>
    <cellStyle name="20% - Accent3 5 2 2 2 23 2" xfId="39767"/>
    <cellStyle name="20% - Accent3 5 2 2 2 24" xfId="17648"/>
    <cellStyle name="20% - Accent3 5 2 2 2 24 2" xfId="40423"/>
    <cellStyle name="20% - Accent3 5 2 2 2 25" xfId="18304"/>
    <cellStyle name="20% - Accent3 5 2 2 2 25 2" xfId="41079"/>
    <cellStyle name="20% - Accent3 5 2 2 2 26" xfId="18960"/>
    <cellStyle name="20% - Accent3 5 2 2 2 26 2" xfId="41735"/>
    <cellStyle name="20% - Accent3 5 2 2 2 27" xfId="19616"/>
    <cellStyle name="20% - Accent3 5 2 2 2 27 2" xfId="42391"/>
    <cellStyle name="20% - Accent3 5 2 2 2 28" xfId="20272"/>
    <cellStyle name="20% - Accent3 5 2 2 2 28 2" xfId="43047"/>
    <cellStyle name="20% - Accent3 5 2 2 2 29" xfId="20928"/>
    <cellStyle name="20% - Accent3 5 2 2 2 29 2" xfId="43703"/>
    <cellStyle name="20% - Accent3 5 2 2 2 3" xfId="2232"/>
    <cellStyle name="20% - Accent3 5 2 2 2 3 2" xfId="4528"/>
    <cellStyle name="20% - Accent3 5 2 2 2 3 2 2" xfId="27303"/>
    <cellStyle name="20% - Accent3 5 2 2 2 3 3" xfId="25007"/>
    <cellStyle name="20% - Accent3 5 2 2 2 30" xfId="21584"/>
    <cellStyle name="20% - Accent3 5 2 2 2 30 2" xfId="44359"/>
    <cellStyle name="20% - Accent3 5 2 2 2 31" xfId="22240"/>
    <cellStyle name="20% - Accent3 5 2 2 2 31 2" xfId="45015"/>
    <cellStyle name="20% - Accent3 5 2 2 2 32" xfId="22896"/>
    <cellStyle name="20% - Accent3 5 2 2 2 32 2" xfId="45671"/>
    <cellStyle name="20% - Accent3 5 2 2 2 33" xfId="23695"/>
    <cellStyle name="20% - Accent3 5 2 2 2 4" xfId="5184"/>
    <cellStyle name="20% - Accent3 5 2 2 2 4 2" xfId="27959"/>
    <cellStyle name="20% - Accent3 5 2 2 2 5" xfId="5840"/>
    <cellStyle name="20% - Accent3 5 2 2 2 5 2" xfId="28615"/>
    <cellStyle name="20% - Accent3 5 2 2 2 6" xfId="6496"/>
    <cellStyle name="20% - Accent3 5 2 2 2 6 2" xfId="29271"/>
    <cellStyle name="20% - Accent3 5 2 2 2 7" xfId="3216"/>
    <cellStyle name="20% - Accent3 5 2 2 2 7 2" xfId="25991"/>
    <cellStyle name="20% - Accent3 5 2 2 2 8" xfId="7152"/>
    <cellStyle name="20% - Accent3 5 2 2 2 8 2" xfId="29927"/>
    <cellStyle name="20% - Accent3 5 2 2 2 9" xfId="7808"/>
    <cellStyle name="20% - Accent3 5 2 2 2 9 2" xfId="30583"/>
    <cellStyle name="20% - Accent3 5 2 2 20" xfId="13384"/>
    <cellStyle name="20% - Accent3 5 2 2 20 2" xfId="36159"/>
    <cellStyle name="20% - Accent3 5 2 2 21" xfId="14040"/>
    <cellStyle name="20% - Accent3 5 2 2 21 2" xfId="36815"/>
    <cellStyle name="20% - Accent3 5 2 2 22" xfId="14696"/>
    <cellStyle name="20% - Accent3 5 2 2 22 2" xfId="37471"/>
    <cellStyle name="20% - Accent3 5 2 2 23" xfId="15352"/>
    <cellStyle name="20% - Accent3 5 2 2 23 2" xfId="38127"/>
    <cellStyle name="20% - Accent3 5 2 2 24" xfId="16008"/>
    <cellStyle name="20% - Accent3 5 2 2 24 2" xfId="38783"/>
    <cellStyle name="20% - Accent3 5 2 2 25" xfId="16664"/>
    <cellStyle name="20% - Accent3 5 2 2 25 2" xfId="39439"/>
    <cellStyle name="20% - Accent3 5 2 2 26" xfId="17320"/>
    <cellStyle name="20% - Accent3 5 2 2 26 2" xfId="40095"/>
    <cellStyle name="20% - Accent3 5 2 2 27" xfId="17976"/>
    <cellStyle name="20% - Accent3 5 2 2 27 2" xfId="40751"/>
    <cellStyle name="20% - Accent3 5 2 2 28" xfId="18632"/>
    <cellStyle name="20% - Accent3 5 2 2 28 2" xfId="41407"/>
    <cellStyle name="20% - Accent3 5 2 2 29" xfId="19288"/>
    <cellStyle name="20% - Accent3 5 2 2 29 2" xfId="42063"/>
    <cellStyle name="20% - Accent3 5 2 2 3" xfId="1248"/>
    <cellStyle name="20% - Accent3 5 2 2 3 2" xfId="2888"/>
    <cellStyle name="20% - Accent3 5 2 2 3 2 2" xfId="25663"/>
    <cellStyle name="20% - Accent3 5 2 2 3 3" xfId="24023"/>
    <cellStyle name="20% - Accent3 5 2 2 30" xfId="19944"/>
    <cellStyle name="20% - Accent3 5 2 2 30 2" xfId="42719"/>
    <cellStyle name="20% - Accent3 5 2 2 31" xfId="20600"/>
    <cellStyle name="20% - Accent3 5 2 2 31 2" xfId="43375"/>
    <cellStyle name="20% - Accent3 5 2 2 32" xfId="21256"/>
    <cellStyle name="20% - Accent3 5 2 2 32 2" xfId="44031"/>
    <cellStyle name="20% - Accent3 5 2 2 33" xfId="21912"/>
    <cellStyle name="20% - Accent3 5 2 2 33 2" xfId="44687"/>
    <cellStyle name="20% - Accent3 5 2 2 34" xfId="22568"/>
    <cellStyle name="20% - Accent3 5 2 2 34 2" xfId="45343"/>
    <cellStyle name="20% - Accent3 5 2 2 35" xfId="23367"/>
    <cellStyle name="20% - Accent3 5 2 2 4" xfId="1904"/>
    <cellStyle name="20% - Accent3 5 2 2 4 2" xfId="3544"/>
    <cellStyle name="20% - Accent3 5 2 2 4 2 2" xfId="26319"/>
    <cellStyle name="20% - Accent3 5 2 2 4 3" xfId="24679"/>
    <cellStyle name="20% - Accent3 5 2 2 5" xfId="4200"/>
    <cellStyle name="20% - Accent3 5 2 2 5 2" xfId="26975"/>
    <cellStyle name="20% - Accent3 5 2 2 6" xfId="4856"/>
    <cellStyle name="20% - Accent3 5 2 2 6 2" xfId="27631"/>
    <cellStyle name="20% - Accent3 5 2 2 7" xfId="5512"/>
    <cellStyle name="20% - Accent3 5 2 2 7 2" xfId="28287"/>
    <cellStyle name="20% - Accent3 5 2 2 8" xfId="6168"/>
    <cellStyle name="20% - Accent3 5 2 2 8 2" xfId="28943"/>
    <cellStyle name="20% - Accent3 5 2 2 9" xfId="2560"/>
    <cellStyle name="20% - Accent3 5 2 2 9 2" xfId="25335"/>
    <cellStyle name="20% - Accent3 5 2 20" xfId="12543"/>
    <cellStyle name="20% - Accent3 5 2 20 2" xfId="35318"/>
    <cellStyle name="20% - Accent3 5 2 21" xfId="13199"/>
    <cellStyle name="20% - Accent3 5 2 21 2" xfId="35974"/>
    <cellStyle name="20% - Accent3 5 2 22" xfId="13855"/>
    <cellStyle name="20% - Accent3 5 2 22 2" xfId="36630"/>
    <cellStyle name="20% - Accent3 5 2 23" xfId="14511"/>
    <cellStyle name="20% - Accent3 5 2 23 2" xfId="37286"/>
    <cellStyle name="20% - Accent3 5 2 24" xfId="15167"/>
    <cellStyle name="20% - Accent3 5 2 24 2" xfId="37942"/>
    <cellStyle name="20% - Accent3 5 2 25" xfId="15823"/>
    <cellStyle name="20% - Accent3 5 2 25 2" xfId="38598"/>
    <cellStyle name="20% - Accent3 5 2 26" xfId="16479"/>
    <cellStyle name="20% - Accent3 5 2 26 2" xfId="39254"/>
    <cellStyle name="20% - Accent3 5 2 27" xfId="17135"/>
    <cellStyle name="20% - Accent3 5 2 27 2" xfId="39910"/>
    <cellStyle name="20% - Accent3 5 2 28" xfId="17791"/>
    <cellStyle name="20% - Accent3 5 2 28 2" xfId="40566"/>
    <cellStyle name="20% - Accent3 5 2 29" xfId="18447"/>
    <cellStyle name="20% - Accent3 5 2 29 2" xfId="41222"/>
    <cellStyle name="20% - Accent3 5 2 3" xfId="735"/>
    <cellStyle name="20% - Accent3 5 2 3 10" xfId="8279"/>
    <cellStyle name="20% - Accent3 5 2 3 10 2" xfId="31054"/>
    <cellStyle name="20% - Accent3 5 2 3 11" xfId="8935"/>
    <cellStyle name="20% - Accent3 5 2 3 11 2" xfId="31710"/>
    <cellStyle name="20% - Accent3 5 2 3 12" xfId="9591"/>
    <cellStyle name="20% - Accent3 5 2 3 12 2" xfId="32366"/>
    <cellStyle name="20% - Accent3 5 2 3 13" xfId="10247"/>
    <cellStyle name="20% - Accent3 5 2 3 13 2" xfId="33022"/>
    <cellStyle name="20% - Accent3 5 2 3 14" xfId="10903"/>
    <cellStyle name="20% - Accent3 5 2 3 14 2" xfId="33678"/>
    <cellStyle name="20% - Accent3 5 2 3 15" xfId="11559"/>
    <cellStyle name="20% - Accent3 5 2 3 15 2" xfId="34334"/>
    <cellStyle name="20% - Accent3 5 2 3 16" xfId="12215"/>
    <cellStyle name="20% - Accent3 5 2 3 16 2" xfId="34990"/>
    <cellStyle name="20% - Accent3 5 2 3 17" xfId="12871"/>
    <cellStyle name="20% - Accent3 5 2 3 17 2" xfId="35646"/>
    <cellStyle name="20% - Accent3 5 2 3 18" xfId="13527"/>
    <cellStyle name="20% - Accent3 5 2 3 18 2" xfId="36302"/>
    <cellStyle name="20% - Accent3 5 2 3 19" xfId="14183"/>
    <cellStyle name="20% - Accent3 5 2 3 19 2" xfId="36958"/>
    <cellStyle name="20% - Accent3 5 2 3 2" xfId="1391"/>
    <cellStyle name="20% - Accent3 5 2 3 2 2" xfId="3687"/>
    <cellStyle name="20% - Accent3 5 2 3 2 2 2" xfId="26462"/>
    <cellStyle name="20% - Accent3 5 2 3 2 3" xfId="24166"/>
    <cellStyle name="20% - Accent3 5 2 3 20" xfId="14839"/>
    <cellStyle name="20% - Accent3 5 2 3 20 2" xfId="37614"/>
    <cellStyle name="20% - Accent3 5 2 3 21" xfId="15495"/>
    <cellStyle name="20% - Accent3 5 2 3 21 2" xfId="38270"/>
    <cellStyle name="20% - Accent3 5 2 3 22" xfId="16151"/>
    <cellStyle name="20% - Accent3 5 2 3 22 2" xfId="38926"/>
    <cellStyle name="20% - Accent3 5 2 3 23" xfId="16807"/>
    <cellStyle name="20% - Accent3 5 2 3 23 2" xfId="39582"/>
    <cellStyle name="20% - Accent3 5 2 3 24" xfId="17463"/>
    <cellStyle name="20% - Accent3 5 2 3 24 2" xfId="40238"/>
    <cellStyle name="20% - Accent3 5 2 3 25" xfId="18119"/>
    <cellStyle name="20% - Accent3 5 2 3 25 2" xfId="40894"/>
    <cellStyle name="20% - Accent3 5 2 3 26" xfId="18775"/>
    <cellStyle name="20% - Accent3 5 2 3 26 2" xfId="41550"/>
    <cellStyle name="20% - Accent3 5 2 3 27" xfId="19431"/>
    <cellStyle name="20% - Accent3 5 2 3 27 2" xfId="42206"/>
    <cellStyle name="20% - Accent3 5 2 3 28" xfId="20087"/>
    <cellStyle name="20% - Accent3 5 2 3 28 2" xfId="42862"/>
    <cellStyle name="20% - Accent3 5 2 3 29" xfId="20743"/>
    <cellStyle name="20% - Accent3 5 2 3 29 2" xfId="43518"/>
    <cellStyle name="20% - Accent3 5 2 3 3" xfId="2047"/>
    <cellStyle name="20% - Accent3 5 2 3 3 2" xfId="4343"/>
    <cellStyle name="20% - Accent3 5 2 3 3 2 2" xfId="27118"/>
    <cellStyle name="20% - Accent3 5 2 3 3 3" xfId="24822"/>
    <cellStyle name="20% - Accent3 5 2 3 30" xfId="21399"/>
    <cellStyle name="20% - Accent3 5 2 3 30 2" xfId="44174"/>
    <cellStyle name="20% - Accent3 5 2 3 31" xfId="22055"/>
    <cellStyle name="20% - Accent3 5 2 3 31 2" xfId="44830"/>
    <cellStyle name="20% - Accent3 5 2 3 32" xfId="22711"/>
    <cellStyle name="20% - Accent3 5 2 3 32 2" xfId="45486"/>
    <cellStyle name="20% - Accent3 5 2 3 33" xfId="23510"/>
    <cellStyle name="20% - Accent3 5 2 3 4" xfId="4999"/>
    <cellStyle name="20% - Accent3 5 2 3 4 2" xfId="27774"/>
    <cellStyle name="20% - Accent3 5 2 3 5" xfId="5655"/>
    <cellStyle name="20% - Accent3 5 2 3 5 2" xfId="28430"/>
    <cellStyle name="20% - Accent3 5 2 3 6" xfId="6311"/>
    <cellStyle name="20% - Accent3 5 2 3 6 2" xfId="29086"/>
    <cellStyle name="20% - Accent3 5 2 3 7" xfId="3031"/>
    <cellStyle name="20% - Accent3 5 2 3 7 2" xfId="25806"/>
    <cellStyle name="20% - Accent3 5 2 3 8" xfId="6967"/>
    <cellStyle name="20% - Accent3 5 2 3 8 2" xfId="29742"/>
    <cellStyle name="20% - Accent3 5 2 3 9" xfId="7623"/>
    <cellStyle name="20% - Accent3 5 2 3 9 2" xfId="30398"/>
    <cellStyle name="20% - Accent3 5 2 30" xfId="19103"/>
    <cellStyle name="20% - Accent3 5 2 30 2" xfId="41878"/>
    <cellStyle name="20% - Accent3 5 2 31" xfId="19759"/>
    <cellStyle name="20% - Accent3 5 2 31 2" xfId="42534"/>
    <cellStyle name="20% - Accent3 5 2 32" xfId="20415"/>
    <cellStyle name="20% - Accent3 5 2 32 2" xfId="43190"/>
    <cellStyle name="20% - Accent3 5 2 33" xfId="21071"/>
    <cellStyle name="20% - Accent3 5 2 33 2" xfId="43846"/>
    <cellStyle name="20% - Accent3 5 2 34" xfId="21727"/>
    <cellStyle name="20% - Accent3 5 2 34 2" xfId="44502"/>
    <cellStyle name="20% - Accent3 5 2 35" xfId="22383"/>
    <cellStyle name="20% - Accent3 5 2 35 2" xfId="45158"/>
    <cellStyle name="20% - Accent3 5 2 36" xfId="23039"/>
    <cellStyle name="20% - Accent3 5 2 4" xfId="408"/>
    <cellStyle name="20% - Accent3 5 2 4 2" xfId="2703"/>
    <cellStyle name="20% - Accent3 5 2 4 2 2" xfId="25478"/>
    <cellStyle name="20% - Accent3 5 2 4 3" xfId="23182"/>
    <cellStyle name="20% - Accent3 5 2 5" xfId="1063"/>
    <cellStyle name="20% - Accent3 5 2 5 2" xfId="3359"/>
    <cellStyle name="20% - Accent3 5 2 5 2 2" xfId="26134"/>
    <cellStyle name="20% - Accent3 5 2 5 3" xfId="23838"/>
    <cellStyle name="20% - Accent3 5 2 6" xfId="1719"/>
    <cellStyle name="20% - Accent3 5 2 6 2" xfId="4015"/>
    <cellStyle name="20% - Accent3 5 2 6 2 2" xfId="26790"/>
    <cellStyle name="20% - Accent3 5 2 6 3" xfId="24494"/>
    <cellStyle name="20% - Accent3 5 2 7" xfId="4671"/>
    <cellStyle name="20% - Accent3 5 2 7 2" xfId="27446"/>
    <cellStyle name="20% - Accent3 5 2 8" xfId="5327"/>
    <cellStyle name="20% - Accent3 5 2 8 2" xfId="28102"/>
    <cellStyle name="20% - Accent3 5 2 9" xfId="5983"/>
    <cellStyle name="20% - Accent3 5 2 9 2" xfId="28758"/>
    <cellStyle name="20% - Accent3 5 20" xfId="11816"/>
    <cellStyle name="20% - Accent3 5 20 2" xfId="34591"/>
    <cellStyle name="20% - Accent3 5 21" xfId="12472"/>
    <cellStyle name="20% - Accent3 5 21 2" xfId="35247"/>
    <cellStyle name="20% - Accent3 5 22" xfId="13128"/>
    <cellStyle name="20% - Accent3 5 22 2" xfId="35903"/>
    <cellStyle name="20% - Accent3 5 23" xfId="13784"/>
    <cellStyle name="20% - Accent3 5 23 2" xfId="36559"/>
    <cellStyle name="20% - Accent3 5 24" xfId="14440"/>
    <cellStyle name="20% - Accent3 5 24 2" xfId="37215"/>
    <cellStyle name="20% - Accent3 5 25" xfId="15096"/>
    <cellStyle name="20% - Accent3 5 25 2" xfId="37871"/>
    <cellStyle name="20% - Accent3 5 26" xfId="15752"/>
    <cellStyle name="20% - Accent3 5 26 2" xfId="38527"/>
    <cellStyle name="20% - Accent3 5 27" xfId="16408"/>
    <cellStyle name="20% - Accent3 5 27 2" xfId="39183"/>
    <cellStyle name="20% - Accent3 5 28" xfId="17064"/>
    <cellStyle name="20% - Accent3 5 28 2" xfId="39839"/>
    <cellStyle name="20% - Accent3 5 29" xfId="17720"/>
    <cellStyle name="20% - Accent3 5 29 2" xfId="40495"/>
    <cellStyle name="20% - Accent3 5 3" xfId="521"/>
    <cellStyle name="20% - Accent3 5 3 10" xfId="6753"/>
    <cellStyle name="20% - Accent3 5 3 10 2" xfId="29528"/>
    <cellStyle name="20% - Accent3 5 3 11" xfId="7409"/>
    <cellStyle name="20% - Accent3 5 3 11 2" xfId="30184"/>
    <cellStyle name="20% - Accent3 5 3 12" xfId="8065"/>
    <cellStyle name="20% - Accent3 5 3 12 2" xfId="30840"/>
    <cellStyle name="20% - Accent3 5 3 13" xfId="8721"/>
    <cellStyle name="20% - Accent3 5 3 13 2" xfId="31496"/>
    <cellStyle name="20% - Accent3 5 3 14" xfId="9377"/>
    <cellStyle name="20% - Accent3 5 3 14 2" xfId="32152"/>
    <cellStyle name="20% - Accent3 5 3 15" xfId="10033"/>
    <cellStyle name="20% - Accent3 5 3 15 2" xfId="32808"/>
    <cellStyle name="20% - Accent3 5 3 16" xfId="10689"/>
    <cellStyle name="20% - Accent3 5 3 16 2" xfId="33464"/>
    <cellStyle name="20% - Accent3 5 3 17" xfId="11345"/>
    <cellStyle name="20% - Accent3 5 3 17 2" xfId="34120"/>
    <cellStyle name="20% - Accent3 5 3 18" xfId="12001"/>
    <cellStyle name="20% - Accent3 5 3 18 2" xfId="34776"/>
    <cellStyle name="20% - Accent3 5 3 19" xfId="12657"/>
    <cellStyle name="20% - Accent3 5 3 19 2" xfId="35432"/>
    <cellStyle name="20% - Accent3 5 3 2" xfId="849"/>
    <cellStyle name="20% - Accent3 5 3 2 10" xfId="8393"/>
    <cellStyle name="20% - Accent3 5 3 2 10 2" xfId="31168"/>
    <cellStyle name="20% - Accent3 5 3 2 11" xfId="9049"/>
    <cellStyle name="20% - Accent3 5 3 2 11 2" xfId="31824"/>
    <cellStyle name="20% - Accent3 5 3 2 12" xfId="9705"/>
    <cellStyle name="20% - Accent3 5 3 2 12 2" xfId="32480"/>
    <cellStyle name="20% - Accent3 5 3 2 13" xfId="10361"/>
    <cellStyle name="20% - Accent3 5 3 2 13 2" xfId="33136"/>
    <cellStyle name="20% - Accent3 5 3 2 14" xfId="11017"/>
    <cellStyle name="20% - Accent3 5 3 2 14 2" xfId="33792"/>
    <cellStyle name="20% - Accent3 5 3 2 15" xfId="11673"/>
    <cellStyle name="20% - Accent3 5 3 2 15 2" xfId="34448"/>
    <cellStyle name="20% - Accent3 5 3 2 16" xfId="12329"/>
    <cellStyle name="20% - Accent3 5 3 2 16 2" xfId="35104"/>
    <cellStyle name="20% - Accent3 5 3 2 17" xfId="12985"/>
    <cellStyle name="20% - Accent3 5 3 2 17 2" xfId="35760"/>
    <cellStyle name="20% - Accent3 5 3 2 18" xfId="13641"/>
    <cellStyle name="20% - Accent3 5 3 2 18 2" xfId="36416"/>
    <cellStyle name="20% - Accent3 5 3 2 19" xfId="14297"/>
    <cellStyle name="20% - Accent3 5 3 2 19 2" xfId="37072"/>
    <cellStyle name="20% - Accent3 5 3 2 2" xfId="1505"/>
    <cellStyle name="20% - Accent3 5 3 2 2 2" xfId="3801"/>
    <cellStyle name="20% - Accent3 5 3 2 2 2 2" xfId="26576"/>
    <cellStyle name="20% - Accent3 5 3 2 2 3" xfId="24280"/>
    <cellStyle name="20% - Accent3 5 3 2 20" xfId="14953"/>
    <cellStyle name="20% - Accent3 5 3 2 20 2" xfId="37728"/>
    <cellStyle name="20% - Accent3 5 3 2 21" xfId="15609"/>
    <cellStyle name="20% - Accent3 5 3 2 21 2" xfId="38384"/>
    <cellStyle name="20% - Accent3 5 3 2 22" xfId="16265"/>
    <cellStyle name="20% - Accent3 5 3 2 22 2" xfId="39040"/>
    <cellStyle name="20% - Accent3 5 3 2 23" xfId="16921"/>
    <cellStyle name="20% - Accent3 5 3 2 23 2" xfId="39696"/>
    <cellStyle name="20% - Accent3 5 3 2 24" xfId="17577"/>
    <cellStyle name="20% - Accent3 5 3 2 24 2" xfId="40352"/>
    <cellStyle name="20% - Accent3 5 3 2 25" xfId="18233"/>
    <cellStyle name="20% - Accent3 5 3 2 25 2" xfId="41008"/>
    <cellStyle name="20% - Accent3 5 3 2 26" xfId="18889"/>
    <cellStyle name="20% - Accent3 5 3 2 26 2" xfId="41664"/>
    <cellStyle name="20% - Accent3 5 3 2 27" xfId="19545"/>
    <cellStyle name="20% - Accent3 5 3 2 27 2" xfId="42320"/>
    <cellStyle name="20% - Accent3 5 3 2 28" xfId="20201"/>
    <cellStyle name="20% - Accent3 5 3 2 28 2" xfId="42976"/>
    <cellStyle name="20% - Accent3 5 3 2 29" xfId="20857"/>
    <cellStyle name="20% - Accent3 5 3 2 29 2" xfId="43632"/>
    <cellStyle name="20% - Accent3 5 3 2 3" xfId="2161"/>
    <cellStyle name="20% - Accent3 5 3 2 3 2" xfId="4457"/>
    <cellStyle name="20% - Accent3 5 3 2 3 2 2" xfId="27232"/>
    <cellStyle name="20% - Accent3 5 3 2 3 3" xfId="24936"/>
    <cellStyle name="20% - Accent3 5 3 2 30" xfId="21513"/>
    <cellStyle name="20% - Accent3 5 3 2 30 2" xfId="44288"/>
    <cellStyle name="20% - Accent3 5 3 2 31" xfId="22169"/>
    <cellStyle name="20% - Accent3 5 3 2 31 2" xfId="44944"/>
    <cellStyle name="20% - Accent3 5 3 2 32" xfId="22825"/>
    <cellStyle name="20% - Accent3 5 3 2 32 2" xfId="45600"/>
    <cellStyle name="20% - Accent3 5 3 2 33" xfId="23624"/>
    <cellStyle name="20% - Accent3 5 3 2 4" xfId="5113"/>
    <cellStyle name="20% - Accent3 5 3 2 4 2" xfId="27888"/>
    <cellStyle name="20% - Accent3 5 3 2 5" xfId="5769"/>
    <cellStyle name="20% - Accent3 5 3 2 5 2" xfId="28544"/>
    <cellStyle name="20% - Accent3 5 3 2 6" xfId="6425"/>
    <cellStyle name="20% - Accent3 5 3 2 6 2" xfId="29200"/>
    <cellStyle name="20% - Accent3 5 3 2 7" xfId="3145"/>
    <cellStyle name="20% - Accent3 5 3 2 7 2" xfId="25920"/>
    <cellStyle name="20% - Accent3 5 3 2 8" xfId="7081"/>
    <cellStyle name="20% - Accent3 5 3 2 8 2" xfId="29856"/>
    <cellStyle name="20% - Accent3 5 3 2 9" xfId="7737"/>
    <cellStyle name="20% - Accent3 5 3 2 9 2" xfId="30512"/>
    <cellStyle name="20% - Accent3 5 3 20" xfId="13313"/>
    <cellStyle name="20% - Accent3 5 3 20 2" xfId="36088"/>
    <cellStyle name="20% - Accent3 5 3 21" xfId="13969"/>
    <cellStyle name="20% - Accent3 5 3 21 2" xfId="36744"/>
    <cellStyle name="20% - Accent3 5 3 22" xfId="14625"/>
    <cellStyle name="20% - Accent3 5 3 22 2" xfId="37400"/>
    <cellStyle name="20% - Accent3 5 3 23" xfId="15281"/>
    <cellStyle name="20% - Accent3 5 3 23 2" xfId="38056"/>
    <cellStyle name="20% - Accent3 5 3 24" xfId="15937"/>
    <cellStyle name="20% - Accent3 5 3 24 2" xfId="38712"/>
    <cellStyle name="20% - Accent3 5 3 25" xfId="16593"/>
    <cellStyle name="20% - Accent3 5 3 25 2" xfId="39368"/>
    <cellStyle name="20% - Accent3 5 3 26" xfId="17249"/>
    <cellStyle name="20% - Accent3 5 3 26 2" xfId="40024"/>
    <cellStyle name="20% - Accent3 5 3 27" xfId="17905"/>
    <cellStyle name="20% - Accent3 5 3 27 2" xfId="40680"/>
    <cellStyle name="20% - Accent3 5 3 28" xfId="18561"/>
    <cellStyle name="20% - Accent3 5 3 28 2" xfId="41336"/>
    <cellStyle name="20% - Accent3 5 3 29" xfId="19217"/>
    <cellStyle name="20% - Accent3 5 3 29 2" xfId="41992"/>
    <cellStyle name="20% - Accent3 5 3 3" xfId="1177"/>
    <cellStyle name="20% - Accent3 5 3 3 2" xfId="2817"/>
    <cellStyle name="20% - Accent3 5 3 3 2 2" xfId="25592"/>
    <cellStyle name="20% - Accent3 5 3 3 3" xfId="23952"/>
    <cellStyle name="20% - Accent3 5 3 30" xfId="19873"/>
    <cellStyle name="20% - Accent3 5 3 30 2" xfId="42648"/>
    <cellStyle name="20% - Accent3 5 3 31" xfId="20529"/>
    <cellStyle name="20% - Accent3 5 3 31 2" xfId="43304"/>
    <cellStyle name="20% - Accent3 5 3 32" xfId="21185"/>
    <cellStyle name="20% - Accent3 5 3 32 2" xfId="43960"/>
    <cellStyle name="20% - Accent3 5 3 33" xfId="21841"/>
    <cellStyle name="20% - Accent3 5 3 33 2" xfId="44616"/>
    <cellStyle name="20% - Accent3 5 3 34" xfId="22497"/>
    <cellStyle name="20% - Accent3 5 3 34 2" xfId="45272"/>
    <cellStyle name="20% - Accent3 5 3 35" xfId="23296"/>
    <cellStyle name="20% - Accent3 5 3 4" xfId="1833"/>
    <cellStyle name="20% - Accent3 5 3 4 2" xfId="3473"/>
    <cellStyle name="20% - Accent3 5 3 4 2 2" xfId="26248"/>
    <cellStyle name="20% - Accent3 5 3 4 3" xfId="24608"/>
    <cellStyle name="20% - Accent3 5 3 5" xfId="4129"/>
    <cellStyle name="20% - Accent3 5 3 5 2" xfId="26904"/>
    <cellStyle name="20% - Accent3 5 3 6" xfId="4785"/>
    <cellStyle name="20% - Accent3 5 3 6 2" xfId="27560"/>
    <cellStyle name="20% - Accent3 5 3 7" xfId="5441"/>
    <cellStyle name="20% - Accent3 5 3 7 2" xfId="28216"/>
    <cellStyle name="20% - Accent3 5 3 8" xfId="6097"/>
    <cellStyle name="20% - Accent3 5 3 8 2" xfId="28872"/>
    <cellStyle name="20% - Accent3 5 3 9" xfId="2489"/>
    <cellStyle name="20% - Accent3 5 3 9 2" xfId="25264"/>
    <cellStyle name="20% - Accent3 5 30" xfId="18376"/>
    <cellStyle name="20% - Accent3 5 30 2" xfId="41151"/>
    <cellStyle name="20% - Accent3 5 31" xfId="19032"/>
    <cellStyle name="20% - Accent3 5 31 2" xfId="41807"/>
    <cellStyle name="20% - Accent3 5 32" xfId="19688"/>
    <cellStyle name="20% - Accent3 5 32 2" xfId="42463"/>
    <cellStyle name="20% - Accent3 5 33" xfId="20344"/>
    <cellStyle name="20% - Accent3 5 33 2" xfId="43119"/>
    <cellStyle name="20% - Accent3 5 34" xfId="21000"/>
    <cellStyle name="20% - Accent3 5 34 2" xfId="43775"/>
    <cellStyle name="20% - Accent3 5 35" xfId="21656"/>
    <cellStyle name="20% - Accent3 5 35 2" xfId="44431"/>
    <cellStyle name="20% - Accent3 5 36" xfId="22312"/>
    <cellStyle name="20% - Accent3 5 36 2" xfId="45087"/>
    <cellStyle name="20% - Accent3 5 37" xfId="251"/>
    <cellStyle name="20% - Accent3 5 38" xfId="22968"/>
    <cellStyle name="20% - Accent3 5 4" xfId="664"/>
    <cellStyle name="20% - Accent3 5 4 10" xfId="8208"/>
    <cellStyle name="20% - Accent3 5 4 10 2" xfId="30983"/>
    <cellStyle name="20% - Accent3 5 4 11" xfId="8864"/>
    <cellStyle name="20% - Accent3 5 4 11 2" xfId="31639"/>
    <cellStyle name="20% - Accent3 5 4 12" xfId="9520"/>
    <cellStyle name="20% - Accent3 5 4 12 2" xfId="32295"/>
    <cellStyle name="20% - Accent3 5 4 13" xfId="10176"/>
    <cellStyle name="20% - Accent3 5 4 13 2" xfId="32951"/>
    <cellStyle name="20% - Accent3 5 4 14" xfId="10832"/>
    <cellStyle name="20% - Accent3 5 4 14 2" xfId="33607"/>
    <cellStyle name="20% - Accent3 5 4 15" xfId="11488"/>
    <cellStyle name="20% - Accent3 5 4 15 2" xfId="34263"/>
    <cellStyle name="20% - Accent3 5 4 16" xfId="12144"/>
    <cellStyle name="20% - Accent3 5 4 16 2" xfId="34919"/>
    <cellStyle name="20% - Accent3 5 4 17" xfId="12800"/>
    <cellStyle name="20% - Accent3 5 4 17 2" xfId="35575"/>
    <cellStyle name="20% - Accent3 5 4 18" xfId="13456"/>
    <cellStyle name="20% - Accent3 5 4 18 2" xfId="36231"/>
    <cellStyle name="20% - Accent3 5 4 19" xfId="14112"/>
    <cellStyle name="20% - Accent3 5 4 19 2" xfId="36887"/>
    <cellStyle name="20% - Accent3 5 4 2" xfId="1320"/>
    <cellStyle name="20% - Accent3 5 4 2 2" xfId="3616"/>
    <cellStyle name="20% - Accent3 5 4 2 2 2" xfId="26391"/>
    <cellStyle name="20% - Accent3 5 4 2 3" xfId="24095"/>
    <cellStyle name="20% - Accent3 5 4 20" xfId="14768"/>
    <cellStyle name="20% - Accent3 5 4 20 2" xfId="37543"/>
    <cellStyle name="20% - Accent3 5 4 21" xfId="15424"/>
    <cellStyle name="20% - Accent3 5 4 21 2" xfId="38199"/>
    <cellStyle name="20% - Accent3 5 4 22" xfId="16080"/>
    <cellStyle name="20% - Accent3 5 4 22 2" xfId="38855"/>
    <cellStyle name="20% - Accent3 5 4 23" xfId="16736"/>
    <cellStyle name="20% - Accent3 5 4 23 2" xfId="39511"/>
    <cellStyle name="20% - Accent3 5 4 24" xfId="17392"/>
    <cellStyle name="20% - Accent3 5 4 24 2" xfId="40167"/>
    <cellStyle name="20% - Accent3 5 4 25" xfId="18048"/>
    <cellStyle name="20% - Accent3 5 4 25 2" xfId="40823"/>
    <cellStyle name="20% - Accent3 5 4 26" xfId="18704"/>
    <cellStyle name="20% - Accent3 5 4 26 2" xfId="41479"/>
    <cellStyle name="20% - Accent3 5 4 27" xfId="19360"/>
    <cellStyle name="20% - Accent3 5 4 27 2" xfId="42135"/>
    <cellStyle name="20% - Accent3 5 4 28" xfId="20016"/>
    <cellStyle name="20% - Accent3 5 4 28 2" xfId="42791"/>
    <cellStyle name="20% - Accent3 5 4 29" xfId="20672"/>
    <cellStyle name="20% - Accent3 5 4 29 2" xfId="43447"/>
    <cellStyle name="20% - Accent3 5 4 3" xfId="1976"/>
    <cellStyle name="20% - Accent3 5 4 3 2" xfId="4272"/>
    <cellStyle name="20% - Accent3 5 4 3 2 2" xfId="27047"/>
    <cellStyle name="20% - Accent3 5 4 3 3" xfId="24751"/>
    <cellStyle name="20% - Accent3 5 4 30" xfId="21328"/>
    <cellStyle name="20% - Accent3 5 4 30 2" xfId="44103"/>
    <cellStyle name="20% - Accent3 5 4 31" xfId="21984"/>
    <cellStyle name="20% - Accent3 5 4 31 2" xfId="44759"/>
    <cellStyle name="20% - Accent3 5 4 32" xfId="22640"/>
    <cellStyle name="20% - Accent3 5 4 32 2" xfId="45415"/>
    <cellStyle name="20% - Accent3 5 4 33" xfId="23439"/>
    <cellStyle name="20% - Accent3 5 4 4" xfId="4928"/>
    <cellStyle name="20% - Accent3 5 4 4 2" xfId="27703"/>
    <cellStyle name="20% - Accent3 5 4 5" xfId="5584"/>
    <cellStyle name="20% - Accent3 5 4 5 2" xfId="28359"/>
    <cellStyle name="20% - Accent3 5 4 6" xfId="6240"/>
    <cellStyle name="20% - Accent3 5 4 6 2" xfId="29015"/>
    <cellStyle name="20% - Accent3 5 4 7" xfId="2960"/>
    <cellStyle name="20% - Accent3 5 4 7 2" xfId="25735"/>
    <cellStyle name="20% - Accent3 5 4 8" xfId="6896"/>
    <cellStyle name="20% - Accent3 5 4 8 2" xfId="29671"/>
    <cellStyle name="20% - Accent3 5 4 9" xfId="7552"/>
    <cellStyle name="20% - Accent3 5 4 9 2" xfId="30327"/>
    <cellStyle name="20% - Accent3 5 5" xfId="337"/>
    <cellStyle name="20% - Accent3 5 5 2" xfId="2632"/>
    <cellStyle name="20% - Accent3 5 5 2 2" xfId="25407"/>
    <cellStyle name="20% - Accent3 5 5 3" xfId="23111"/>
    <cellStyle name="20% - Accent3 5 6" xfId="992"/>
    <cellStyle name="20% - Accent3 5 6 2" xfId="3288"/>
    <cellStyle name="20% - Accent3 5 6 2 2" xfId="26063"/>
    <cellStyle name="20% - Accent3 5 6 3" xfId="23767"/>
    <cellStyle name="20% - Accent3 5 7" xfId="1648"/>
    <cellStyle name="20% - Accent3 5 7 2" xfId="3944"/>
    <cellStyle name="20% - Accent3 5 7 2 2" xfId="26719"/>
    <cellStyle name="20% - Accent3 5 7 3" xfId="24423"/>
    <cellStyle name="20% - Accent3 5 8" xfId="4600"/>
    <cellStyle name="20% - Accent3 5 8 2" xfId="27375"/>
    <cellStyle name="20% - Accent3 5 9" xfId="5256"/>
    <cellStyle name="20% - Accent3 5 9 2" xfId="28031"/>
    <cellStyle name="20% - Accent3 6" xfId="119"/>
    <cellStyle name="20% - Accent3 6 10" xfId="2317"/>
    <cellStyle name="20% - Accent3 6 10 2" xfId="25092"/>
    <cellStyle name="20% - Accent3 6 11" xfId="6581"/>
    <cellStyle name="20% - Accent3 6 11 2" xfId="29356"/>
    <cellStyle name="20% - Accent3 6 12" xfId="7237"/>
    <cellStyle name="20% - Accent3 6 12 2" xfId="30012"/>
    <cellStyle name="20% - Accent3 6 13" xfId="7893"/>
    <cellStyle name="20% - Accent3 6 13 2" xfId="30668"/>
    <cellStyle name="20% - Accent3 6 14" xfId="8549"/>
    <cellStyle name="20% - Accent3 6 14 2" xfId="31324"/>
    <cellStyle name="20% - Accent3 6 15" xfId="9205"/>
    <cellStyle name="20% - Accent3 6 15 2" xfId="31980"/>
    <cellStyle name="20% - Accent3 6 16" xfId="9861"/>
    <cellStyle name="20% - Accent3 6 16 2" xfId="32636"/>
    <cellStyle name="20% - Accent3 6 17" xfId="10517"/>
    <cellStyle name="20% - Accent3 6 17 2" xfId="33292"/>
    <cellStyle name="20% - Accent3 6 18" xfId="11173"/>
    <cellStyle name="20% - Accent3 6 18 2" xfId="33948"/>
    <cellStyle name="20% - Accent3 6 19" xfId="11829"/>
    <cellStyle name="20% - Accent3 6 19 2" xfId="34604"/>
    <cellStyle name="20% - Accent3 6 2" xfId="533"/>
    <cellStyle name="20% - Accent3 6 2 10" xfId="6766"/>
    <cellStyle name="20% - Accent3 6 2 10 2" xfId="29541"/>
    <cellStyle name="20% - Accent3 6 2 11" xfId="7422"/>
    <cellStyle name="20% - Accent3 6 2 11 2" xfId="30197"/>
    <cellStyle name="20% - Accent3 6 2 12" xfId="8078"/>
    <cellStyle name="20% - Accent3 6 2 12 2" xfId="30853"/>
    <cellStyle name="20% - Accent3 6 2 13" xfId="8734"/>
    <cellStyle name="20% - Accent3 6 2 13 2" xfId="31509"/>
    <cellStyle name="20% - Accent3 6 2 14" xfId="9390"/>
    <cellStyle name="20% - Accent3 6 2 14 2" xfId="32165"/>
    <cellStyle name="20% - Accent3 6 2 15" xfId="10046"/>
    <cellStyle name="20% - Accent3 6 2 15 2" xfId="32821"/>
    <cellStyle name="20% - Accent3 6 2 16" xfId="10702"/>
    <cellStyle name="20% - Accent3 6 2 16 2" xfId="33477"/>
    <cellStyle name="20% - Accent3 6 2 17" xfId="11358"/>
    <cellStyle name="20% - Accent3 6 2 17 2" xfId="34133"/>
    <cellStyle name="20% - Accent3 6 2 18" xfId="12014"/>
    <cellStyle name="20% - Accent3 6 2 18 2" xfId="34789"/>
    <cellStyle name="20% - Accent3 6 2 19" xfId="12670"/>
    <cellStyle name="20% - Accent3 6 2 19 2" xfId="35445"/>
    <cellStyle name="20% - Accent3 6 2 2" xfId="862"/>
    <cellStyle name="20% - Accent3 6 2 2 10" xfId="8406"/>
    <cellStyle name="20% - Accent3 6 2 2 10 2" xfId="31181"/>
    <cellStyle name="20% - Accent3 6 2 2 11" xfId="9062"/>
    <cellStyle name="20% - Accent3 6 2 2 11 2" xfId="31837"/>
    <cellStyle name="20% - Accent3 6 2 2 12" xfId="9718"/>
    <cellStyle name="20% - Accent3 6 2 2 12 2" xfId="32493"/>
    <cellStyle name="20% - Accent3 6 2 2 13" xfId="10374"/>
    <cellStyle name="20% - Accent3 6 2 2 13 2" xfId="33149"/>
    <cellStyle name="20% - Accent3 6 2 2 14" xfId="11030"/>
    <cellStyle name="20% - Accent3 6 2 2 14 2" xfId="33805"/>
    <cellStyle name="20% - Accent3 6 2 2 15" xfId="11686"/>
    <cellStyle name="20% - Accent3 6 2 2 15 2" xfId="34461"/>
    <cellStyle name="20% - Accent3 6 2 2 16" xfId="12342"/>
    <cellStyle name="20% - Accent3 6 2 2 16 2" xfId="35117"/>
    <cellStyle name="20% - Accent3 6 2 2 17" xfId="12998"/>
    <cellStyle name="20% - Accent3 6 2 2 17 2" xfId="35773"/>
    <cellStyle name="20% - Accent3 6 2 2 18" xfId="13654"/>
    <cellStyle name="20% - Accent3 6 2 2 18 2" xfId="36429"/>
    <cellStyle name="20% - Accent3 6 2 2 19" xfId="14310"/>
    <cellStyle name="20% - Accent3 6 2 2 19 2" xfId="37085"/>
    <cellStyle name="20% - Accent3 6 2 2 2" xfId="1518"/>
    <cellStyle name="20% - Accent3 6 2 2 2 2" xfId="3814"/>
    <cellStyle name="20% - Accent3 6 2 2 2 2 2" xfId="26589"/>
    <cellStyle name="20% - Accent3 6 2 2 2 3" xfId="24293"/>
    <cellStyle name="20% - Accent3 6 2 2 20" xfId="14966"/>
    <cellStyle name="20% - Accent3 6 2 2 20 2" xfId="37741"/>
    <cellStyle name="20% - Accent3 6 2 2 21" xfId="15622"/>
    <cellStyle name="20% - Accent3 6 2 2 21 2" xfId="38397"/>
    <cellStyle name="20% - Accent3 6 2 2 22" xfId="16278"/>
    <cellStyle name="20% - Accent3 6 2 2 22 2" xfId="39053"/>
    <cellStyle name="20% - Accent3 6 2 2 23" xfId="16934"/>
    <cellStyle name="20% - Accent3 6 2 2 23 2" xfId="39709"/>
    <cellStyle name="20% - Accent3 6 2 2 24" xfId="17590"/>
    <cellStyle name="20% - Accent3 6 2 2 24 2" xfId="40365"/>
    <cellStyle name="20% - Accent3 6 2 2 25" xfId="18246"/>
    <cellStyle name="20% - Accent3 6 2 2 25 2" xfId="41021"/>
    <cellStyle name="20% - Accent3 6 2 2 26" xfId="18902"/>
    <cellStyle name="20% - Accent3 6 2 2 26 2" xfId="41677"/>
    <cellStyle name="20% - Accent3 6 2 2 27" xfId="19558"/>
    <cellStyle name="20% - Accent3 6 2 2 27 2" xfId="42333"/>
    <cellStyle name="20% - Accent3 6 2 2 28" xfId="20214"/>
    <cellStyle name="20% - Accent3 6 2 2 28 2" xfId="42989"/>
    <cellStyle name="20% - Accent3 6 2 2 29" xfId="20870"/>
    <cellStyle name="20% - Accent3 6 2 2 29 2" xfId="43645"/>
    <cellStyle name="20% - Accent3 6 2 2 3" xfId="2174"/>
    <cellStyle name="20% - Accent3 6 2 2 3 2" xfId="4470"/>
    <cellStyle name="20% - Accent3 6 2 2 3 2 2" xfId="27245"/>
    <cellStyle name="20% - Accent3 6 2 2 3 3" xfId="24949"/>
    <cellStyle name="20% - Accent3 6 2 2 30" xfId="21526"/>
    <cellStyle name="20% - Accent3 6 2 2 30 2" xfId="44301"/>
    <cellStyle name="20% - Accent3 6 2 2 31" xfId="22182"/>
    <cellStyle name="20% - Accent3 6 2 2 31 2" xfId="44957"/>
    <cellStyle name="20% - Accent3 6 2 2 32" xfId="22838"/>
    <cellStyle name="20% - Accent3 6 2 2 32 2" xfId="45613"/>
    <cellStyle name="20% - Accent3 6 2 2 33" xfId="23637"/>
    <cellStyle name="20% - Accent3 6 2 2 4" xfId="5126"/>
    <cellStyle name="20% - Accent3 6 2 2 4 2" xfId="27901"/>
    <cellStyle name="20% - Accent3 6 2 2 5" xfId="5782"/>
    <cellStyle name="20% - Accent3 6 2 2 5 2" xfId="28557"/>
    <cellStyle name="20% - Accent3 6 2 2 6" xfId="6438"/>
    <cellStyle name="20% - Accent3 6 2 2 6 2" xfId="29213"/>
    <cellStyle name="20% - Accent3 6 2 2 7" xfId="3158"/>
    <cellStyle name="20% - Accent3 6 2 2 7 2" xfId="25933"/>
    <cellStyle name="20% - Accent3 6 2 2 8" xfId="7094"/>
    <cellStyle name="20% - Accent3 6 2 2 8 2" xfId="29869"/>
    <cellStyle name="20% - Accent3 6 2 2 9" xfId="7750"/>
    <cellStyle name="20% - Accent3 6 2 2 9 2" xfId="30525"/>
    <cellStyle name="20% - Accent3 6 2 20" xfId="13326"/>
    <cellStyle name="20% - Accent3 6 2 20 2" xfId="36101"/>
    <cellStyle name="20% - Accent3 6 2 21" xfId="13982"/>
    <cellStyle name="20% - Accent3 6 2 21 2" xfId="36757"/>
    <cellStyle name="20% - Accent3 6 2 22" xfId="14638"/>
    <cellStyle name="20% - Accent3 6 2 22 2" xfId="37413"/>
    <cellStyle name="20% - Accent3 6 2 23" xfId="15294"/>
    <cellStyle name="20% - Accent3 6 2 23 2" xfId="38069"/>
    <cellStyle name="20% - Accent3 6 2 24" xfId="15950"/>
    <cellStyle name="20% - Accent3 6 2 24 2" xfId="38725"/>
    <cellStyle name="20% - Accent3 6 2 25" xfId="16606"/>
    <cellStyle name="20% - Accent3 6 2 25 2" xfId="39381"/>
    <cellStyle name="20% - Accent3 6 2 26" xfId="17262"/>
    <cellStyle name="20% - Accent3 6 2 26 2" xfId="40037"/>
    <cellStyle name="20% - Accent3 6 2 27" xfId="17918"/>
    <cellStyle name="20% - Accent3 6 2 27 2" xfId="40693"/>
    <cellStyle name="20% - Accent3 6 2 28" xfId="18574"/>
    <cellStyle name="20% - Accent3 6 2 28 2" xfId="41349"/>
    <cellStyle name="20% - Accent3 6 2 29" xfId="19230"/>
    <cellStyle name="20% - Accent3 6 2 29 2" xfId="42005"/>
    <cellStyle name="20% - Accent3 6 2 3" xfId="1190"/>
    <cellStyle name="20% - Accent3 6 2 3 2" xfId="2830"/>
    <cellStyle name="20% - Accent3 6 2 3 2 2" xfId="25605"/>
    <cellStyle name="20% - Accent3 6 2 3 3" xfId="23965"/>
    <cellStyle name="20% - Accent3 6 2 30" xfId="19886"/>
    <cellStyle name="20% - Accent3 6 2 30 2" xfId="42661"/>
    <cellStyle name="20% - Accent3 6 2 31" xfId="20542"/>
    <cellStyle name="20% - Accent3 6 2 31 2" xfId="43317"/>
    <cellStyle name="20% - Accent3 6 2 32" xfId="21198"/>
    <cellStyle name="20% - Accent3 6 2 32 2" xfId="43973"/>
    <cellStyle name="20% - Accent3 6 2 33" xfId="21854"/>
    <cellStyle name="20% - Accent3 6 2 33 2" xfId="44629"/>
    <cellStyle name="20% - Accent3 6 2 34" xfId="22510"/>
    <cellStyle name="20% - Accent3 6 2 34 2" xfId="45285"/>
    <cellStyle name="20% - Accent3 6 2 35" xfId="23309"/>
    <cellStyle name="20% - Accent3 6 2 4" xfId="1846"/>
    <cellStyle name="20% - Accent3 6 2 4 2" xfId="3486"/>
    <cellStyle name="20% - Accent3 6 2 4 2 2" xfId="26261"/>
    <cellStyle name="20% - Accent3 6 2 4 3" xfId="24621"/>
    <cellStyle name="20% - Accent3 6 2 5" xfId="4142"/>
    <cellStyle name="20% - Accent3 6 2 5 2" xfId="26917"/>
    <cellStyle name="20% - Accent3 6 2 6" xfId="4798"/>
    <cellStyle name="20% - Accent3 6 2 6 2" xfId="27573"/>
    <cellStyle name="20% - Accent3 6 2 7" xfId="5454"/>
    <cellStyle name="20% - Accent3 6 2 7 2" xfId="28229"/>
    <cellStyle name="20% - Accent3 6 2 8" xfId="6110"/>
    <cellStyle name="20% - Accent3 6 2 8 2" xfId="28885"/>
    <cellStyle name="20% - Accent3 6 2 9" xfId="2502"/>
    <cellStyle name="20% - Accent3 6 2 9 2" xfId="25277"/>
    <cellStyle name="20% - Accent3 6 20" xfId="12485"/>
    <cellStyle name="20% - Accent3 6 20 2" xfId="35260"/>
    <cellStyle name="20% - Accent3 6 21" xfId="13141"/>
    <cellStyle name="20% - Accent3 6 21 2" xfId="35916"/>
    <cellStyle name="20% - Accent3 6 22" xfId="13797"/>
    <cellStyle name="20% - Accent3 6 22 2" xfId="36572"/>
    <cellStyle name="20% - Accent3 6 23" xfId="14453"/>
    <cellStyle name="20% - Accent3 6 23 2" xfId="37228"/>
    <cellStyle name="20% - Accent3 6 24" xfId="15109"/>
    <cellStyle name="20% - Accent3 6 24 2" xfId="37884"/>
    <cellStyle name="20% - Accent3 6 25" xfId="15765"/>
    <cellStyle name="20% - Accent3 6 25 2" xfId="38540"/>
    <cellStyle name="20% - Accent3 6 26" xfId="16421"/>
    <cellStyle name="20% - Accent3 6 26 2" xfId="39196"/>
    <cellStyle name="20% - Accent3 6 27" xfId="17077"/>
    <cellStyle name="20% - Accent3 6 27 2" xfId="39852"/>
    <cellStyle name="20% - Accent3 6 28" xfId="17733"/>
    <cellStyle name="20% - Accent3 6 28 2" xfId="40508"/>
    <cellStyle name="20% - Accent3 6 29" xfId="18389"/>
    <cellStyle name="20% - Accent3 6 29 2" xfId="41164"/>
    <cellStyle name="20% - Accent3 6 3" xfId="677"/>
    <cellStyle name="20% - Accent3 6 3 10" xfId="8221"/>
    <cellStyle name="20% - Accent3 6 3 10 2" xfId="30996"/>
    <cellStyle name="20% - Accent3 6 3 11" xfId="8877"/>
    <cellStyle name="20% - Accent3 6 3 11 2" xfId="31652"/>
    <cellStyle name="20% - Accent3 6 3 12" xfId="9533"/>
    <cellStyle name="20% - Accent3 6 3 12 2" xfId="32308"/>
    <cellStyle name="20% - Accent3 6 3 13" xfId="10189"/>
    <cellStyle name="20% - Accent3 6 3 13 2" xfId="32964"/>
    <cellStyle name="20% - Accent3 6 3 14" xfId="10845"/>
    <cellStyle name="20% - Accent3 6 3 14 2" xfId="33620"/>
    <cellStyle name="20% - Accent3 6 3 15" xfId="11501"/>
    <cellStyle name="20% - Accent3 6 3 15 2" xfId="34276"/>
    <cellStyle name="20% - Accent3 6 3 16" xfId="12157"/>
    <cellStyle name="20% - Accent3 6 3 16 2" xfId="34932"/>
    <cellStyle name="20% - Accent3 6 3 17" xfId="12813"/>
    <cellStyle name="20% - Accent3 6 3 17 2" xfId="35588"/>
    <cellStyle name="20% - Accent3 6 3 18" xfId="13469"/>
    <cellStyle name="20% - Accent3 6 3 18 2" xfId="36244"/>
    <cellStyle name="20% - Accent3 6 3 19" xfId="14125"/>
    <cellStyle name="20% - Accent3 6 3 19 2" xfId="36900"/>
    <cellStyle name="20% - Accent3 6 3 2" xfId="1333"/>
    <cellStyle name="20% - Accent3 6 3 2 2" xfId="3629"/>
    <cellStyle name="20% - Accent3 6 3 2 2 2" xfId="26404"/>
    <cellStyle name="20% - Accent3 6 3 2 3" xfId="24108"/>
    <cellStyle name="20% - Accent3 6 3 20" xfId="14781"/>
    <cellStyle name="20% - Accent3 6 3 20 2" xfId="37556"/>
    <cellStyle name="20% - Accent3 6 3 21" xfId="15437"/>
    <cellStyle name="20% - Accent3 6 3 21 2" xfId="38212"/>
    <cellStyle name="20% - Accent3 6 3 22" xfId="16093"/>
    <cellStyle name="20% - Accent3 6 3 22 2" xfId="38868"/>
    <cellStyle name="20% - Accent3 6 3 23" xfId="16749"/>
    <cellStyle name="20% - Accent3 6 3 23 2" xfId="39524"/>
    <cellStyle name="20% - Accent3 6 3 24" xfId="17405"/>
    <cellStyle name="20% - Accent3 6 3 24 2" xfId="40180"/>
    <cellStyle name="20% - Accent3 6 3 25" xfId="18061"/>
    <cellStyle name="20% - Accent3 6 3 25 2" xfId="40836"/>
    <cellStyle name="20% - Accent3 6 3 26" xfId="18717"/>
    <cellStyle name="20% - Accent3 6 3 26 2" xfId="41492"/>
    <cellStyle name="20% - Accent3 6 3 27" xfId="19373"/>
    <cellStyle name="20% - Accent3 6 3 27 2" xfId="42148"/>
    <cellStyle name="20% - Accent3 6 3 28" xfId="20029"/>
    <cellStyle name="20% - Accent3 6 3 28 2" xfId="42804"/>
    <cellStyle name="20% - Accent3 6 3 29" xfId="20685"/>
    <cellStyle name="20% - Accent3 6 3 29 2" xfId="43460"/>
    <cellStyle name="20% - Accent3 6 3 3" xfId="1989"/>
    <cellStyle name="20% - Accent3 6 3 3 2" xfId="4285"/>
    <cellStyle name="20% - Accent3 6 3 3 2 2" xfId="27060"/>
    <cellStyle name="20% - Accent3 6 3 3 3" xfId="24764"/>
    <cellStyle name="20% - Accent3 6 3 30" xfId="21341"/>
    <cellStyle name="20% - Accent3 6 3 30 2" xfId="44116"/>
    <cellStyle name="20% - Accent3 6 3 31" xfId="21997"/>
    <cellStyle name="20% - Accent3 6 3 31 2" xfId="44772"/>
    <cellStyle name="20% - Accent3 6 3 32" xfId="22653"/>
    <cellStyle name="20% - Accent3 6 3 32 2" xfId="45428"/>
    <cellStyle name="20% - Accent3 6 3 33" xfId="23452"/>
    <cellStyle name="20% - Accent3 6 3 4" xfId="4941"/>
    <cellStyle name="20% - Accent3 6 3 4 2" xfId="27716"/>
    <cellStyle name="20% - Accent3 6 3 5" xfId="5597"/>
    <cellStyle name="20% - Accent3 6 3 5 2" xfId="28372"/>
    <cellStyle name="20% - Accent3 6 3 6" xfId="6253"/>
    <cellStyle name="20% - Accent3 6 3 6 2" xfId="29028"/>
    <cellStyle name="20% - Accent3 6 3 7" xfId="2973"/>
    <cellStyle name="20% - Accent3 6 3 7 2" xfId="25748"/>
    <cellStyle name="20% - Accent3 6 3 8" xfId="6909"/>
    <cellStyle name="20% - Accent3 6 3 8 2" xfId="29684"/>
    <cellStyle name="20% - Accent3 6 3 9" xfId="7565"/>
    <cellStyle name="20% - Accent3 6 3 9 2" xfId="30340"/>
    <cellStyle name="20% - Accent3 6 30" xfId="19045"/>
    <cellStyle name="20% - Accent3 6 30 2" xfId="41820"/>
    <cellStyle name="20% - Accent3 6 31" xfId="19701"/>
    <cellStyle name="20% - Accent3 6 31 2" xfId="42476"/>
    <cellStyle name="20% - Accent3 6 32" xfId="20357"/>
    <cellStyle name="20% - Accent3 6 32 2" xfId="43132"/>
    <cellStyle name="20% - Accent3 6 33" xfId="21013"/>
    <cellStyle name="20% - Accent3 6 33 2" xfId="43788"/>
    <cellStyle name="20% - Accent3 6 34" xfId="21669"/>
    <cellStyle name="20% - Accent3 6 34 2" xfId="44444"/>
    <cellStyle name="20% - Accent3 6 35" xfId="22325"/>
    <cellStyle name="20% - Accent3 6 35 2" xfId="45100"/>
    <cellStyle name="20% - Accent3 6 36" xfId="264"/>
    <cellStyle name="20% - Accent3 6 37" xfId="22981"/>
    <cellStyle name="20% - Accent3 6 4" xfId="350"/>
    <cellStyle name="20% - Accent3 6 4 2" xfId="2645"/>
    <cellStyle name="20% - Accent3 6 4 2 2" xfId="25420"/>
    <cellStyle name="20% - Accent3 6 4 3" xfId="23124"/>
    <cellStyle name="20% - Accent3 6 5" xfId="1005"/>
    <cellStyle name="20% - Accent3 6 5 2" xfId="3301"/>
    <cellStyle name="20% - Accent3 6 5 2 2" xfId="26076"/>
    <cellStyle name="20% - Accent3 6 5 3" xfId="23780"/>
    <cellStyle name="20% - Accent3 6 6" xfId="1661"/>
    <cellStyle name="20% - Accent3 6 6 2" xfId="3957"/>
    <cellStyle name="20% - Accent3 6 6 2 2" xfId="26732"/>
    <cellStyle name="20% - Accent3 6 6 3" xfId="24436"/>
    <cellStyle name="20% - Accent3 6 7" xfId="4613"/>
    <cellStyle name="20% - Accent3 6 7 2" xfId="27388"/>
    <cellStyle name="20% - Accent3 6 8" xfId="5269"/>
    <cellStyle name="20% - Accent3 6 8 2" xfId="28044"/>
    <cellStyle name="20% - Accent3 6 9" xfId="5925"/>
    <cellStyle name="20% - Accent3 6 9 2" xfId="28700"/>
    <cellStyle name="20% - Accent3 7" xfId="423"/>
    <cellStyle name="20% - Accent3 7 10" xfId="6654"/>
    <cellStyle name="20% - Accent3 7 10 2" xfId="29429"/>
    <cellStyle name="20% - Accent3 7 11" xfId="7310"/>
    <cellStyle name="20% - Accent3 7 11 2" xfId="30085"/>
    <cellStyle name="20% - Accent3 7 12" xfId="7966"/>
    <cellStyle name="20% - Accent3 7 12 2" xfId="30741"/>
    <cellStyle name="20% - Accent3 7 13" xfId="8622"/>
    <cellStyle name="20% - Accent3 7 13 2" xfId="31397"/>
    <cellStyle name="20% - Accent3 7 14" xfId="9278"/>
    <cellStyle name="20% - Accent3 7 14 2" xfId="32053"/>
    <cellStyle name="20% - Accent3 7 15" xfId="9934"/>
    <cellStyle name="20% - Accent3 7 15 2" xfId="32709"/>
    <cellStyle name="20% - Accent3 7 16" xfId="10590"/>
    <cellStyle name="20% - Accent3 7 16 2" xfId="33365"/>
    <cellStyle name="20% - Accent3 7 17" xfId="11246"/>
    <cellStyle name="20% - Accent3 7 17 2" xfId="34021"/>
    <cellStyle name="20% - Accent3 7 18" xfId="11902"/>
    <cellStyle name="20% - Accent3 7 18 2" xfId="34677"/>
    <cellStyle name="20% - Accent3 7 19" xfId="12558"/>
    <cellStyle name="20% - Accent3 7 19 2" xfId="35333"/>
    <cellStyle name="20% - Accent3 7 2" xfId="750"/>
    <cellStyle name="20% - Accent3 7 2 10" xfId="8294"/>
    <cellStyle name="20% - Accent3 7 2 10 2" xfId="31069"/>
    <cellStyle name="20% - Accent3 7 2 11" xfId="8950"/>
    <cellStyle name="20% - Accent3 7 2 11 2" xfId="31725"/>
    <cellStyle name="20% - Accent3 7 2 12" xfId="9606"/>
    <cellStyle name="20% - Accent3 7 2 12 2" xfId="32381"/>
    <cellStyle name="20% - Accent3 7 2 13" xfId="10262"/>
    <cellStyle name="20% - Accent3 7 2 13 2" xfId="33037"/>
    <cellStyle name="20% - Accent3 7 2 14" xfId="10918"/>
    <cellStyle name="20% - Accent3 7 2 14 2" xfId="33693"/>
    <cellStyle name="20% - Accent3 7 2 15" xfId="11574"/>
    <cellStyle name="20% - Accent3 7 2 15 2" xfId="34349"/>
    <cellStyle name="20% - Accent3 7 2 16" xfId="12230"/>
    <cellStyle name="20% - Accent3 7 2 16 2" xfId="35005"/>
    <cellStyle name="20% - Accent3 7 2 17" xfId="12886"/>
    <cellStyle name="20% - Accent3 7 2 17 2" xfId="35661"/>
    <cellStyle name="20% - Accent3 7 2 18" xfId="13542"/>
    <cellStyle name="20% - Accent3 7 2 18 2" xfId="36317"/>
    <cellStyle name="20% - Accent3 7 2 19" xfId="14198"/>
    <cellStyle name="20% - Accent3 7 2 19 2" xfId="36973"/>
    <cellStyle name="20% - Accent3 7 2 2" xfId="1406"/>
    <cellStyle name="20% - Accent3 7 2 2 2" xfId="3702"/>
    <cellStyle name="20% - Accent3 7 2 2 2 2" xfId="26477"/>
    <cellStyle name="20% - Accent3 7 2 2 3" xfId="24181"/>
    <cellStyle name="20% - Accent3 7 2 20" xfId="14854"/>
    <cellStyle name="20% - Accent3 7 2 20 2" xfId="37629"/>
    <cellStyle name="20% - Accent3 7 2 21" xfId="15510"/>
    <cellStyle name="20% - Accent3 7 2 21 2" xfId="38285"/>
    <cellStyle name="20% - Accent3 7 2 22" xfId="16166"/>
    <cellStyle name="20% - Accent3 7 2 22 2" xfId="38941"/>
    <cellStyle name="20% - Accent3 7 2 23" xfId="16822"/>
    <cellStyle name="20% - Accent3 7 2 23 2" xfId="39597"/>
    <cellStyle name="20% - Accent3 7 2 24" xfId="17478"/>
    <cellStyle name="20% - Accent3 7 2 24 2" xfId="40253"/>
    <cellStyle name="20% - Accent3 7 2 25" xfId="18134"/>
    <cellStyle name="20% - Accent3 7 2 25 2" xfId="40909"/>
    <cellStyle name="20% - Accent3 7 2 26" xfId="18790"/>
    <cellStyle name="20% - Accent3 7 2 26 2" xfId="41565"/>
    <cellStyle name="20% - Accent3 7 2 27" xfId="19446"/>
    <cellStyle name="20% - Accent3 7 2 27 2" xfId="42221"/>
    <cellStyle name="20% - Accent3 7 2 28" xfId="20102"/>
    <cellStyle name="20% - Accent3 7 2 28 2" xfId="42877"/>
    <cellStyle name="20% - Accent3 7 2 29" xfId="20758"/>
    <cellStyle name="20% - Accent3 7 2 29 2" xfId="43533"/>
    <cellStyle name="20% - Accent3 7 2 3" xfId="2062"/>
    <cellStyle name="20% - Accent3 7 2 3 2" xfId="4358"/>
    <cellStyle name="20% - Accent3 7 2 3 2 2" xfId="27133"/>
    <cellStyle name="20% - Accent3 7 2 3 3" xfId="24837"/>
    <cellStyle name="20% - Accent3 7 2 30" xfId="21414"/>
    <cellStyle name="20% - Accent3 7 2 30 2" xfId="44189"/>
    <cellStyle name="20% - Accent3 7 2 31" xfId="22070"/>
    <cellStyle name="20% - Accent3 7 2 31 2" xfId="44845"/>
    <cellStyle name="20% - Accent3 7 2 32" xfId="22726"/>
    <cellStyle name="20% - Accent3 7 2 32 2" xfId="45501"/>
    <cellStyle name="20% - Accent3 7 2 33" xfId="23525"/>
    <cellStyle name="20% - Accent3 7 2 4" xfId="5014"/>
    <cellStyle name="20% - Accent3 7 2 4 2" xfId="27789"/>
    <cellStyle name="20% - Accent3 7 2 5" xfId="5670"/>
    <cellStyle name="20% - Accent3 7 2 5 2" xfId="28445"/>
    <cellStyle name="20% - Accent3 7 2 6" xfId="6326"/>
    <cellStyle name="20% - Accent3 7 2 6 2" xfId="29101"/>
    <cellStyle name="20% - Accent3 7 2 7" xfId="3046"/>
    <cellStyle name="20% - Accent3 7 2 7 2" xfId="25821"/>
    <cellStyle name="20% - Accent3 7 2 8" xfId="6982"/>
    <cellStyle name="20% - Accent3 7 2 8 2" xfId="29757"/>
    <cellStyle name="20% - Accent3 7 2 9" xfId="7638"/>
    <cellStyle name="20% - Accent3 7 2 9 2" xfId="30413"/>
    <cellStyle name="20% - Accent3 7 20" xfId="13214"/>
    <cellStyle name="20% - Accent3 7 20 2" xfId="35989"/>
    <cellStyle name="20% - Accent3 7 21" xfId="13870"/>
    <cellStyle name="20% - Accent3 7 21 2" xfId="36645"/>
    <cellStyle name="20% - Accent3 7 22" xfId="14526"/>
    <cellStyle name="20% - Accent3 7 22 2" xfId="37301"/>
    <cellStyle name="20% - Accent3 7 23" xfId="15182"/>
    <cellStyle name="20% - Accent3 7 23 2" xfId="37957"/>
    <cellStyle name="20% - Accent3 7 24" xfId="15838"/>
    <cellStyle name="20% - Accent3 7 24 2" xfId="38613"/>
    <cellStyle name="20% - Accent3 7 25" xfId="16494"/>
    <cellStyle name="20% - Accent3 7 25 2" xfId="39269"/>
    <cellStyle name="20% - Accent3 7 26" xfId="17150"/>
    <cellStyle name="20% - Accent3 7 26 2" xfId="39925"/>
    <cellStyle name="20% - Accent3 7 27" xfId="17806"/>
    <cellStyle name="20% - Accent3 7 27 2" xfId="40581"/>
    <cellStyle name="20% - Accent3 7 28" xfId="18462"/>
    <cellStyle name="20% - Accent3 7 28 2" xfId="41237"/>
    <cellStyle name="20% - Accent3 7 29" xfId="19118"/>
    <cellStyle name="20% - Accent3 7 29 2" xfId="41893"/>
    <cellStyle name="20% - Accent3 7 3" xfId="1078"/>
    <cellStyle name="20% - Accent3 7 3 2" xfId="2718"/>
    <cellStyle name="20% - Accent3 7 3 2 2" xfId="25493"/>
    <cellStyle name="20% - Accent3 7 3 3" xfId="23853"/>
    <cellStyle name="20% - Accent3 7 30" xfId="19774"/>
    <cellStyle name="20% - Accent3 7 30 2" xfId="42549"/>
    <cellStyle name="20% - Accent3 7 31" xfId="20430"/>
    <cellStyle name="20% - Accent3 7 31 2" xfId="43205"/>
    <cellStyle name="20% - Accent3 7 32" xfId="21086"/>
    <cellStyle name="20% - Accent3 7 32 2" xfId="43861"/>
    <cellStyle name="20% - Accent3 7 33" xfId="21742"/>
    <cellStyle name="20% - Accent3 7 33 2" xfId="44517"/>
    <cellStyle name="20% - Accent3 7 34" xfId="22398"/>
    <cellStyle name="20% - Accent3 7 34 2" xfId="45173"/>
    <cellStyle name="20% - Accent3 7 35" xfId="23197"/>
    <cellStyle name="20% - Accent3 7 4" xfId="1734"/>
    <cellStyle name="20% - Accent3 7 4 2" xfId="3374"/>
    <cellStyle name="20% - Accent3 7 4 2 2" xfId="26149"/>
    <cellStyle name="20% - Accent3 7 4 3" xfId="24509"/>
    <cellStyle name="20% - Accent3 7 5" xfId="4030"/>
    <cellStyle name="20% - Accent3 7 5 2" xfId="26805"/>
    <cellStyle name="20% - Accent3 7 6" xfId="4686"/>
    <cellStyle name="20% - Accent3 7 6 2" xfId="27461"/>
    <cellStyle name="20% - Accent3 7 7" xfId="5342"/>
    <cellStyle name="20% - Accent3 7 7 2" xfId="28117"/>
    <cellStyle name="20% - Accent3 7 8" xfId="5998"/>
    <cellStyle name="20% - Accent3 7 8 2" xfId="28773"/>
    <cellStyle name="20% - Accent3 7 9" xfId="2390"/>
    <cellStyle name="20% - Accent3 7 9 2" xfId="25165"/>
    <cellStyle name="20% - Accent3 8" xfId="437"/>
    <cellStyle name="20% - Accent3 8 10" xfId="6668"/>
    <cellStyle name="20% - Accent3 8 10 2" xfId="29443"/>
    <cellStyle name="20% - Accent3 8 11" xfId="7324"/>
    <cellStyle name="20% - Accent3 8 11 2" xfId="30099"/>
    <cellStyle name="20% - Accent3 8 12" xfId="7980"/>
    <cellStyle name="20% - Accent3 8 12 2" xfId="30755"/>
    <cellStyle name="20% - Accent3 8 13" xfId="8636"/>
    <cellStyle name="20% - Accent3 8 13 2" xfId="31411"/>
    <cellStyle name="20% - Accent3 8 14" xfId="9292"/>
    <cellStyle name="20% - Accent3 8 14 2" xfId="32067"/>
    <cellStyle name="20% - Accent3 8 15" xfId="9948"/>
    <cellStyle name="20% - Accent3 8 15 2" xfId="32723"/>
    <cellStyle name="20% - Accent3 8 16" xfId="10604"/>
    <cellStyle name="20% - Accent3 8 16 2" xfId="33379"/>
    <cellStyle name="20% - Accent3 8 17" xfId="11260"/>
    <cellStyle name="20% - Accent3 8 17 2" xfId="34035"/>
    <cellStyle name="20% - Accent3 8 18" xfId="11916"/>
    <cellStyle name="20% - Accent3 8 18 2" xfId="34691"/>
    <cellStyle name="20% - Accent3 8 19" xfId="12572"/>
    <cellStyle name="20% - Accent3 8 19 2" xfId="35347"/>
    <cellStyle name="20% - Accent3 8 2" xfId="764"/>
    <cellStyle name="20% - Accent3 8 2 10" xfId="8308"/>
    <cellStyle name="20% - Accent3 8 2 10 2" xfId="31083"/>
    <cellStyle name="20% - Accent3 8 2 11" xfId="8964"/>
    <cellStyle name="20% - Accent3 8 2 11 2" xfId="31739"/>
    <cellStyle name="20% - Accent3 8 2 12" xfId="9620"/>
    <cellStyle name="20% - Accent3 8 2 12 2" xfId="32395"/>
    <cellStyle name="20% - Accent3 8 2 13" xfId="10276"/>
    <cellStyle name="20% - Accent3 8 2 13 2" xfId="33051"/>
    <cellStyle name="20% - Accent3 8 2 14" xfId="10932"/>
    <cellStyle name="20% - Accent3 8 2 14 2" xfId="33707"/>
    <cellStyle name="20% - Accent3 8 2 15" xfId="11588"/>
    <cellStyle name="20% - Accent3 8 2 15 2" xfId="34363"/>
    <cellStyle name="20% - Accent3 8 2 16" xfId="12244"/>
    <cellStyle name="20% - Accent3 8 2 16 2" xfId="35019"/>
    <cellStyle name="20% - Accent3 8 2 17" xfId="12900"/>
    <cellStyle name="20% - Accent3 8 2 17 2" xfId="35675"/>
    <cellStyle name="20% - Accent3 8 2 18" xfId="13556"/>
    <cellStyle name="20% - Accent3 8 2 18 2" xfId="36331"/>
    <cellStyle name="20% - Accent3 8 2 19" xfId="14212"/>
    <cellStyle name="20% - Accent3 8 2 19 2" xfId="36987"/>
    <cellStyle name="20% - Accent3 8 2 2" xfId="1420"/>
    <cellStyle name="20% - Accent3 8 2 2 2" xfId="3716"/>
    <cellStyle name="20% - Accent3 8 2 2 2 2" xfId="26491"/>
    <cellStyle name="20% - Accent3 8 2 2 3" xfId="24195"/>
    <cellStyle name="20% - Accent3 8 2 20" xfId="14868"/>
    <cellStyle name="20% - Accent3 8 2 20 2" xfId="37643"/>
    <cellStyle name="20% - Accent3 8 2 21" xfId="15524"/>
    <cellStyle name="20% - Accent3 8 2 21 2" xfId="38299"/>
    <cellStyle name="20% - Accent3 8 2 22" xfId="16180"/>
    <cellStyle name="20% - Accent3 8 2 22 2" xfId="38955"/>
    <cellStyle name="20% - Accent3 8 2 23" xfId="16836"/>
    <cellStyle name="20% - Accent3 8 2 23 2" xfId="39611"/>
    <cellStyle name="20% - Accent3 8 2 24" xfId="17492"/>
    <cellStyle name="20% - Accent3 8 2 24 2" xfId="40267"/>
    <cellStyle name="20% - Accent3 8 2 25" xfId="18148"/>
    <cellStyle name="20% - Accent3 8 2 25 2" xfId="40923"/>
    <cellStyle name="20% - Accent3 8 2 26" xfId="18804"/>
    <cellStyle name="20% - Accent3 8 2 26 2" xfId="41579"/>
    <cellStyle name="20% - Accent3 8 2 27" xfId="19460"/>
    <cellStyle name="20% - Accent3 8 2 27 2" xfId="42235"/>
    <cellStyle name="20% - Accent3 8 2 28" xfId="20116"/>
    <cellStyle name="20% - Accent3 8 2 28 2" xfId="42891"/>
    <cellStyle name="20% - Accent3 8 2 29" xfId="20772"/>
    <cellStyle name="20% - Accent3 8 2 29 2" xfId="43547"/>
    <cellStyle name="20% - Accent3 8 2 3" xfId="2076"/>
    <cellStyle name="20% - Accent3 8 2 3 2" xfId="4372"/>
    <cellStyle name="20% - Accent3 8 2 3 2 2" xfId="27147"/>
    <cellStyle name="20% - Accent3 8 2 3 3" xfId="24851"/>
    <cellStyle name="20% - Accent3 8 2 30" xfId="21428"/>
    <cellStyle name="20% - Accent3 8 2 30 2" xfId="44203"/>
    <cellStyle name="20% - Accent3 8 2 31" xfId="22084"/>
    <cellStyle name="20% - Accent3 8 2 31 2" xfId="44859"/>
    <cellStyle name="20% - Accent3 8 2 32" xfId="22740"/>
    <cellStyle name="20% - Accent3 8 2 32 2" xfId="45515"/>
    <cellStyle name="20% - Accent3 8 2 33" xfId="23539"/>
    <cellStyle name="20% - Accent3 8 2 4" xfId="5028"/>
    <cellStyle name="20% - Accent3 8 2 4 2" xfId="27803"/>
    <cellStyle name="20% - Accent3 8 2 5" xfId="5684"/>
    <cellStyle name="20% - Accent3 8 2 5 2" xfId="28459"/>
    <cellStyle name="20% - Accent3 8 2 6" xfId="6340"/>
    <cellStyle name="20% - Accent3 8 2 6 2" xfId="29115"/>
    <cellStyle name="20% - Accent3 8 2 7" xfId="3060"/>
    <cellStyle name="20% - Accent3 8 2 7 2" xfId="25835"/>
    <cellStyle name="20% - Accent3 8 2 8" xfId="6996"/>
    <cellStyle name="20% - Accent3 8 2 8 2" xfId="29771"/>
    <cellStyle name="20% - Accent3 8 2 9" xfId="7652"/>
    <cellStyle name="20% - Accent3 8 2 9 2" xfId="30427"/>
    <cellStyle name="20% - Accent3 8 20" xfId="13228"/>
    <cellStyle name="20% - Accent3 8 20 2" xfId="36003"/>
    <cellStyle name="20% - Accent3 8 21" xfId="13884"/>
    <cellStyle name="20% - Accent3 8 21 2" xfId="36659"/>
    <cellStyle name="20% - Accent3 8 22" xfId="14540"/>
    <cellStyle name="20% - Accent3 8 22 2" xfId="37315"/>
    <cellStyle name="20% - Accent3 8 23" xfId="15196"/>
    <cellStyle name="20% - Accent3 8 23 2" xfId="37971"/>
    <cellStyle name="20% - Accent3 8 24" xfId="15852"/>
    <cellStyle name="20% - Accent3 8 24 2" xfId="38627"/>
    <cellStyle name="20% - Accent3 8 25" xfId="16508"/>
    <cellStyle name="20% - Accent3 8 25 2" xfId="39283"/>
    <cellStyle name="20% - Accent3 8 26" xfId="17164"/>
    <cellStyle name="20% - Accent3 8 26 2" xfId="39939"/>
    <cellStyle name="20% - Accent3 8 27" xfId="17820"/>
    <cellStyle name="20% - Accent3 8 27 2" xfId="40595"/>
    <cellStyle name="20% - Accent3 8 28" xfId="18476"/>
    <cellStyle name="20% - Accent3 8 28 2" xfId="41251"/>
    <cellStyle name="20% - Accent3 8 29" xfId="19132"/>
    <cellStyle name="20% - Accent3 8 29 2" xfId="41907"/>
    <cellStyle name="20% - Accent3 8 3" xfId="1092"/>
    <cellStyle name="20% - Accent3 8 3 2" xfId="2732"/>
    <cellStyle name="20% - Accent3 8 3 2 2" xfId="25507"/>
    <cellStyle name="20% - Accent3 8 3 3" xfId="23867"/>
    <cellStyle name="20% - Accent3 8 30" xfId="19788"/>
    <cellStyle name="20% - Accent3 8 30 2" xfId="42563"/>
    <cellStyle name="20% - Accent3 8 31" xfId="20444"/>
    <cellStyle name="20% - Accent3 8 31 2" xfId="43219"/>
    <cellStyle name="20% - Accent3 8 32" xfId="21100"/>
    <cellStyle name="20% - Accent3 8 32 2" xfId="43875"/>
    <cellStyle name="20% - Accent3 8 33" xfId="21756"/>
    <cellStyle name="20% - Accent3 8 33 2" xfId="44531"/>
    <cellStyle name="20% - Accent3 8 34" xfId="22412"/>
    <cellStyle name="20% - Accent3 8 34 2" xfId="45187"/>
    <cellStyle name="20% - Accent3 8 35" xfId="23211"/>
    <cellStyle name="20% - Accent3 8 4" xfId="1748"/>
    <cellStyle name="20% - Accent3 8 4 2" xfId="3388"/>
    <cellStyle name="20% - Accent3 8 4 2 2" xfId="26163"/>
    <cellStyle name="20% - Accent3 8 4 3" xfId="24523"/>
    <cellStyle name="20% - Accent3 8 5" xfId="4044"/>
    <cellStyle name="20% - Accent3 8 5 2" xfId="26819"/>
    <cellStyle name="20% - Accent3 8 6" xfId="4700"/>
    <cellStyle name="20% - Accent3 8 6 2" xfId="27475"/>
    <cellStyle name="20% - Accent3 8 7" xfId="5356"/>
    <cellStyle name="20% - Accent3 8 7 2" xfId="28131"/>
    <cellStyle name="20% - Accent3 8 8" xfId="6012"/>
    <cellStyle name="20% - Accent3 8 8 2" xfId="28787"/>
    <cellStyle name="20% - Accent3 8 9" xfId="2404"/>
    <cellStyle name="20% - Accent3 8 9 2" xfId="25179"/>
    <cellStyle name="20% - Accent3 9" xfId="451"/>
    <cellStyle name="20% - Accent3 9 10" xfId="6682"/>
    <cellStyle name="20% - Accent3 9 10 2" xfId="29457"/>
    <cellStyle name="20% - Accent3 9 11" xfId="7338"/>
    <cellStyle name="20% - Accent3 9 11 2" xfId="30113"/>
    <cellStyle name="20% - Accent3 9 12" xfId="7994"/>
    <cellStyle name="20% - Accent3 9 12 2" xfId="30769"/>
    <cellStyle name="20% - Accent3 9 13" xfId="8650"/>
    <cellStyle name="20% - Accent3 9 13 2" xfId="31425"/>
    <cellStyle name="20% - Accent3 9 14" xfId="9306"/>
    <cellStyle name="20% - Accent3 9 14 2" xfId="32081"/>
    <cellStyle name="20% - Accent3 9 15" xfId="9962"/>
    <cellStyle name="20% - Accent3 9 15 2" xfId="32737"/>
    <cellStyle name="20% - Accent3 9 16" xfId="10618"/>
    <cellStyle name="20% - Accent3 9 16 2" xfId="33393"/>
    <cellStyle name="20% - Accent3 9 17" xfId="11274"/>
    <cellStyle name="20% - Accent3 9 17 2" xfId="34049"/>
    <cellStyle name="20% - Accent3 9 18" xfId="11930"/>
    <cellStyle name="20% - Accent3 9 18 2" xfId="34705"/>
    <cellStyle name="20% - Accent3 9 19" xfId="12586"/>
    <cellStyle name="20% - Accent3 9 19 2" xfId="35361"/>
    <cellStyle name="20% - Accent3 9 2" xfId="778"/>
    <cellStyle name="20% - Accent3 9 2 10" xfId="8322"/>
    <cellStyle name="20% - Accent3 9 2 10 2" xfId="31097"/>
    <cellStyle name="20% - Accent3 9 2 11" xfId="8978"/>
    <cellStyle name="20% - Accent3 9 2 11 2" xfId="31753"/>
    <cellStyle name="20% - Accent3 9 2 12" xfId="9634"/>
    <cellStyle name="20% - Accent3 9 2 12 2" xfId="32409"/>
    <cellStyle name="20% - Accent3 9 2 13" xfId="10290"/>
    <cellStyle name="20% - Accent3 9 2 13 2" xfId="33065"/>
    <cellStyle name="20% - Accent3 9 2 14" xfId="10946"/>
    <cellStyle name="20% - Accent3 9 2 14 2" xfId="33721"/>
    <cellStyle name="20% - Accent3 9 2 15" xfId="11602"/>
    <cellStyle name="20% - Accent3 9 2 15 2" xfId="34377"/>
    <cellStyle name="20% - Accent3 9 2 16" xfId="12258"/>
    <cellStyle name="20% - Accent3 9 2 16 2" xfId="35033"/>
    <cellStyle name="20% - Accent3 9 2 17" xfId="12914"/>
    <cellStyle name="20% - Accent3 9 2 17 2" xfId="35689"/>
    <cellStyle name="20% - Accent3 9 2 18" xfId="13570"/>
    <cellStyle name="20% - Accent3 9 2 18 2" xfId="36345"/>
    <cellStyle name="20% - Accent3 9 2 19" xfId="14226"/>
    <cellStyle name="20% - Accent3 9 2 19 2" xfId="37001"/>
    <cellStyle name="20% - Accent3 9 2 2" xfId="1434"/>
    <cellStyle name="20% - Accent3 9 2 2 2" xfId="3730"/>
    <cellStyle name="20% - Accent3 9 2 2 2 2" xfId="26505"/>
    <cellStyle name="20% - Accent3 9 2 2 3" xfId="24209"/>
    <cellStyle name="20% - Accent3 9 2 20" xfId="14882"/>
    <cellStyle name="20% - Accent3 9 2 20 2" xfId="37657"/>
    <cellStyle name="20% - Accent3 9 2 21" xfId="15538"/>
    <cellStyle name="20% - Accent3 9 2 21 2" xfId="38313"/>
    <cellStyle name="20% - Accent3 9 2 22" xfId="16194"/>
    <cellStyle name="20% - Accent3 9 2 22 2" xfId="38969"/>
    <cellStyle name="20% - Accent3 9 2 23" xfId="16850"/>
    <cellStyle name="20% - Accent3 9 2 23 2" xfId="39625"/>
    <cellStyle name="20% - Accent3 9 2 24" xfId="17506"/>
    <cellStyle name="20% - Accent3 9 2 24 2" xfId="40281"/>
    <cellStyle name="20% - Accent3 9 2 25" xfId="18162"/>
    <cellStyle name="20% - Accent3 9 2 25 2" xfId="40937"/>
    <cellStyle name="20% - Accent3 9 2 26" xfId="18818"/>
    <cellStyle name="20% - Accent3 9 2 26 2" xfId="41593"/>
    <cellStyle name="20% - Accent3 9 2 27" xfId="19474"/>
    <cellStyle name="20% - Accent3 9 2 27 2" xfId="42249"/>
    <cellStyle name="20% - Accent3 9 2 28" xfId="20130"/>
    <cellStyle name="20% - Accent3 9 2 28 2" xfId="42905"/>
    <cellStyle name="20% - Accent3 9 2 29" xfId="20786"/>
    <cellStyle name="20% - Accent3 9 2 29 2" xfId="43561"/>
    <cellStyle name="20% - Accent3 9 2 3" xfId="2090"/>
    <cellStyle name="20% - Accent3 9 2 3 2" xfId="4386"/>
    <cellStyle name="20% - Accent3 9 2 3 2 2" xfId="27161"/>
    <cellStyle name="20% - Accent3 9 2 3 3" xfId="24865"/>
    <cellStyle name="20% - Accent3 9 2 30" xfId="21442"/>
    <cellStyle name="20% - Accent3 9 2 30 2" xfId="44217"/>
    <cellStyle name="20% - Accent3 9 2 31" xfId="22098"/>
    <cellStyle name="20% - Accent3 9 2 31 2" xfId="44873"/>
    <cellStyle name="20% - Accent3 9 2 32" xfId="22754"/>
    <cellStyle name="20% - Accent3 9 2 32 2" xfId="45529"/>
    <cellStyle name="20% - Accent3 9 2 33" xfId="23553"/>
    <cellStyle name="20% - Accent3 9 2 4" xfId="5042"/>
    <cellStyle name="20% - Accent3 9 2 4 2" xfId="27817"/>
    <cellStyle name="20% - Accent3 9 2 5" xfId="5698"/>
    <cellStyle name="20% - Accent3 9 2 5 2" xfId="28473"/>
    <cellStyle name="20% - Accent3 9 2 6" xfId="6354"/>
    <cellStyle name="20% - Accent3 9 2 6 2" xfId="29129"/>
    <cellStyle name="20% - Accent3 9 2 7" xfId="3074"/>
    <cellStyle name="20% - Accent3 9 2 7 2" xfId="25849"/>
    <cellStyle name="20% - Accent3 9 2 8" xfId="7010"/>
    <cellStyle name="20% - Accent3 9 2 8 2" xfId="29785"/>
    <cellStyle name="20% - Accent3 9 2 9" xfId="7666"/>
    <cellStyle name="20% - Accent3 9 2 9 2" xfId="30441"/>
    <cellStyle name="20% - Accent3 9 20" xfId="13242"/>
    <cellStyle name="20% - Accent3 9 20 2" xfId="36017"/>
    <cellStyle name="20% - Accent3 9 21" xfId="13898"/>
    <cellStyle name="20% - Accent3 9 21 2" xfId="36673"/>
    <cellStyle name="20% - Accent3 9 22" xfId="14554"/>
    <cellStyle name="20% - Accent3 9 22 2" xfId="37329"/>
    <cellStyle name="20% - Accent3 9 23" xfId="15210"/>
    <cellStyle name="20% - Accent3 9 23 2" xfId="37985"/>
    <cellStyle name="20% - Accent3 9 24" xfId="15866"/>
    <cellStyle name="20% - Accent3 9 24 2" xfId="38641"/>
    <cellStyle name="20% - Accent3 9 25" xfId="16522"/>
    <cellStyle name="20% - Accent3 9 25 2" xfId="39297"/>
    <cellStyle name="20% - Accent3 9 26" xfId="17178"/>
    <cellStyle name="20% - Accent3 9 26 2" xfId="39953"/>
    <cellStyle name="20% - Accent3 9 27" xfId="17834"/>
    <cellStyle name="20% - Accent3 9 27 2" xfId="40609"/>
    <cellStyle name="20% - Accent3 9 28" xfId="18490"/>
    <cellStyle name="20% - Accent3 9 28 2" xfId="41265"/>
    <cellStyle name="20% - Accent3 9 29" xfId="19146"/>
    <cellStyle name="20% - Accent3 9 29 2" xfId="41921"/>
    <cellStyle name="20% - Accent3 9 3" xfId="1106"/>
    <cellStyle name="20% - Accent3 9 3 2" xfId="2746"/>
    <cellStyle name="20% - Accent3 9 3 2 2" xfId="25521"/>
    <cellStyle name="20% - Accent3 9 3 3" xfId="23881"/>
    <cellStyle name="20% - Accent3 9 30" xfId="19802"/>
    <cellStyle name="20% - Accent3 9 30 2" xfId="42577"/>
    <cellStyle name="20% - Accent3 9 31" xfId="20458"/>
    <cellStyle name="20% - Accent3 9 31 2" xfId="43233"/>
    <cellStyle name="20% - Accent3 9 32" xfId="21114"/>
    <cellStyle name="20% - Accent3 9 32 2" xfId="43889"/>
    <cellStyle name="20% - Accent3 9 33" xfId="21770"/>
    <cellStyle name="20% - Accent3 9 33 2" xfId="44545"/>
    <cellStyle name="20% - Accent3 9 34" xfId="22426"/>
    <cellStyle name="20% - Accent3 9 34 2" xfId="45201"/>
    <cellStyle name="20% - Accent3 9 35" xfId="23225"/>
    <cellStyle name="20% - Accent3 9 4" xfId="1762"/>
    <cellStyle name="20% - Accent3 9 4 2" xfId="3402"/>
    <cellStyle name="20% - Accent3 9 4 2 2" xfId="26177"/>
    <cellStyle name="20% - Accent3 9 4 3" xfId="24537"/>
    <cellStyle name="20% - Accent3 9 5" xfId="4058"/>
    <cellStyle name="20% - Accent3 9 5 2" xfId="26833"/>
    <cellStyle name="20% - Accent3 9 6" xfId="4714"/>
    <cellStyle name="20% - Accent3 9 6 2" xfId="27489"/>
    <cellStyle name="20% - Accent3 9 7" xfId="5370"/>
    <cellStyle name="20% - Accent3 9 7 2" xfId="28145"/>
    <cellStyle name="20% - Accent3 9 8" xfId="6026"/>
    <cellStyle name="20% - Accent3 9 8 2" xfId="28801"/>
    <cellStyle name="20% - Accent3 9 9" xfId="2418"/>
    <cellStyle name="20% - Accent3 9 9 2" xfId="25193"/>
    <cellStyle name="20% - Accent4" xfId="34" builtinId="42" customBuiltin="1"/>
    <cellStyle name="20% - Accent4 10" xfId="465"/>
    <cellStyle name="20% - Accent4 10 10" xfId="6696"/>
    <cellStyle name="20% - Accent4 10 10 2" xfId="29471"/>
    <cellStyle name="20% - Accent4 10 11" xfId="7352"/>
    <cellStyle name="20% - Accent4 10 11 2" xfId="30127"/>
    <cellStyle name="20% - Accent4 10 12" xfId="8008"/>
    <cellStyle name="20% - Accent4 10 12 2" xfId="30783"/>
    <cellStyle name="20% - Accent4 10 13" xfId="8664"/>
    <cellStyle name="20% - Accent4 10 13 2" xfId="31439"/>
    <cellStyle name="20% - Accent4 10 14" xfId="9320"/>
    <cellStyle name="20% - Accent4 10 14 2" xfId="32095"/>
    <cellStyle name="20% - Accent4 10 15" xfId="9976"/>
    <cellStyle name="20% - Accent4 10 15 2" xfId="32751"/>
    <cellStyle name="20% - Accent4 10 16" xfId="10632"/>
    <cellStyle name="20% - Accent4 10 16 2" xfId="33407"/>
    <cellStyle name="20% - Accent4 10 17" xfId="11288"/>
    <cellStyle name="20% - Accent4 10 17 2" xfId="34063"/>
    <cellStyle name="20% - Accent4 10 18" xfId="11944"/>
    <cellStyle name="20% - Accent4 10 18 2" xfId="34719"/>
    <cellStyle name="20% - Accent4 10 19" xfId="12600"/>
    <cellStyle name="20% - Accent4 10 19 2" xfId="35375"/>
    <cellStyle name="20% - Accent4 10 2" xfId="792"/>
    <cellStyle name="20% - Accent4 10 2 10" xfId="8336"/>
    <cellStyle name="20% - Accent4 10 2 10 2" xfId="31111"/>
    <cellStyle name="20% - Accent4 10 2 11" xfId="8992"/>
    <cellStyle name="20% - Accent4 10 2 11 2" xfId="31767"/>
    <cellStyle name="20% - Accent4 10 2 12" xfId="9648"/>
    <cellStyle name="20% - Accent4 10 2 12 2" xfId="32423"/>
    <cellStyle name="20% - Accent4 10 2 13" xfId="10304"/>
    <cellStyle name="20% - Accent4 10 2 13 2" xfId="33079"/>
    <cellStyle name="20% - Accent4 10 2 14" xfId="10960"/>
    <cellStyle name="20% - Accent4 10 2 14 2" xfId="33735"/>
    <cellStyle name="20% - Accent4 10 2 15" xfId="11616"/>
    <cellStyle name="20% - Accent4 10 2 15 2" xfId="34391"/>
    <cellStyle name="20% - Accent4 10 2 16" xfId="12272"/>
    <cellStyle name="20% - Accent4 10 2 16 2" xfId="35047"/>
    <cellStyle name="20% - Accent4 10 2 17" xfId="12928"/>
    <cellStyle name="20% - Accent4 10 2 17 2" xfId="35703"/>
    <cellStyle name="20% - Accent4 10 2 18" xfId="13584"/>
    <cellStyle name="20% - Accent4 10 2 18 2" xfId="36359"/>
    <cellStyle name="20% - Accent4 10 2 19" xfId="14240"/>
    <cellStyle name="20% - Accent4 10 2 19 2" xfId="37015"/>
    <cellStyle name="20% - Accent4 10 2 2" xfId="1448"/>
    <cellStyle name="20% - Accent4 10 2 2 2" xfId="3744"/>
    <cellStyle name="20% - Accent4 10 2 2 2 2" xfId="26519"/>
    <cellStyle name="20% - Accent4 10 2 2 3" xfId="24223"/>
    <cellStyle name="20% - Accent4 10 2 20" xfId="14896"/>
    <cellStyle name="20% - Accent4 10 2 20 2" xfId="37671"/>
    <cellStyle name="20% - Accent4 10 2 21" xfId="15552"/>
    <cellStyle name="20% - Accent4 10 2 21 2" xfId="38327"/>
    <cellStyle name="20% - Accent4 10 2 22" xfId="16208"/>
    <cellStyle name="20% - Accent4 10 2 22 2" xfId="38983"/>
    <cellStyle name="20% - Accent4 10 2 23" xfId="16864"/>
    <cellStyle name="20% - Accent4 10 2 23 2" xfId="39639"/>
    <cellStyle name="20% - Accent4 10 2 24" xfId="17520"/>
    <cellStyle name="20% - Accent4 10 2 24 2" xfId="40295"/>
    <cellStyle name="20% - Accent4 10 2 25" xfId="18176"/>
    <cellStyle name="20% - Accent4 10 2 25 2" xfId="40951"/>
    <cellStyle name="20% - Accent4 10 2 26" xfId="18832"/>
    <cellStyle name="20% - Accent4 10 2 26 2" xfId="41607"/>
    <cellStyle name="20% - Accent4 10 2 27" xfId="19488"/>
    <cellStyle name="20% - Accent4 10 2 27 2" xfId="42263"/>
    <cellStyle name="20% - Accent4 10 2 28" xfId="20144"/>
    <cellStyle name="20% - Accent4 10 2 28 2" xfId="42919"/>
    <cellStyle name="20% - Accent4 10 2 29" xfId="20800"/>
    <cellStyle name="20% - Accent4 10 2 29 2" xfId="43575"/>
    <cellStyle name="20% - Accent4 10 2 3" xfId="2104"/>
    <cellStyle name="20% - Accent4 10 2 3 2" xfId="4400"/>
    <cellStyle name="20% - Accent4 10 2 3 2 2" xfId="27175"/>
    <cellStyle name="20% - Accent4 10 2 3 3" xfId="24879"/>
    <cellStyle name="20% - Accent4 10 2 30" xfId="21456"/>
    <cellStyle name="20% - Accent4 10 2 30 2" xfId="44231"/>
    <cellStyle name="20% - Accent4 10 2 31" xfId="22112"/>
    <cellStyle name="20% - Accent4 10 2 31 2" xfId="44887"/>
    <cellStyle name="20% - Accent4 10 2 32" xfId="22768"/>
    <cellStyle name="20% - Accent4 10 2 32 2" xfId="45543"/>
    <cellStyle name="20% - Accent4 10 2 33" xfId="23567"/>
    <cellStyle name="20% - Accent4 10 2 4" xfId="5056"/>
    <cellStyle name="20% - Accent4 10 2 4 2" xfId="27831"/>
    <cellStyle name="20% - Accent4 10 2 5" xfId="5712"/>
    <cellStyle name="20% - Accent4 10 2 5 2" xfId="28487"/>
    <cellStyle name="20% - Accent4 10 2 6" xfId="6368"/>
    <cellStyle name="20% - Accent4 10 2 6 2" xfId="29143"/>
    <cellStyle name="20% - Accent4 10 2 7" xfId="3088"/>
    <cellStyle name="20% - Accent4 10 2 7 2" xfId="25863"/>
    <cellStyle name="20% - Accent4 10 2 8" xfId="7024"/>
    <cellStyle name="20% - Accent4 10 2 8 2" xfId="29799"/>
    <cellStyle name="20% - Accent4 10 2 9" xfId="7680"/>
    <cellStyle name="20% - Accent4 10 2 9 2" xfId="30455"/>
    <cellStyle name="20% - Accent4 10 20" xfId="13256"/>
    <cellStyle name="20% - Accent4 10 20 2" xfId="36031"/>
    <cellStyle name="20% - Accent4 10 21" xfId="13912"/>
    <cellStyle name="20% - Accent4 10 21 2" xfId="36687"/>
    <cellStyle name="20% - Accent4 10 22" xfId="14568"/>
    <cellStyle name="20% - Accent4 10 22 2" xfId="37343"/>
    <cellStyle name="20% - Accent4 10 23" xfId="15224"/>
    <cellStyle name="20% - Accent4 10 23 2" xfId="37999"/>
    <cellStyle name="20% - Accent4 10 24" xfId="15880"/>
    <cellStyle name="20% - Accent4 10 24 2" xfId="38655"/>
    <cellStyle name="20% - Accent4 10 25" xfId="16536"/>
    <cellStyle name="20% - Accent4 10 25 2" xfId="39311"/>
    <cellStyle name="20% - Accent4 10 26" xfId="17192"/>
    <cellStyle name="20% - Accent4 10 26 2" xfId="39967"/>
    <cellStyle name="20% - Accent4 10 27" xfId="17848"/>
    <cellStyle name="20% - Accent4 10 27 2" xfId="40623"/>
    <cellStyle name="20% - Accent4 10 28" xfId="18504"/>
    <cellStyle name="20% - Accent4 10 28 2" xfId="41279"/>
    <cellStyle name="20% - Accent4 10 29" xfId="19160"/>
    <cellStyle name="20% - Accent4 10 29 2" xfId="41935"/>
    <cellStyle name="20% - Accent4 10 3" xfId="1120"/>
    <cellStyle name="20% - Accent4 10 3 2" xfId="2760"/>
    <cellStyle name="20% - Accent4 10 3 2 2" xfId="25535"/>
    <cellStyle name="20% - Accent4 10 3 3" xfId="23895"/>
    <cellStyle name="20% - Accent4 10 30" xfId="19816"/>
    <cellStyle name="20% - Accent4 10 30 2" xfId="42591"/>
    <cellStyle name="20% - Accent4 10 31" xfId="20472"/>
    <cellStyle name="20% - Accent4 10 31 2" xfId="43247"/>
    <cellStyle name="20% - Accent4 10 32" xfId="21128"/>
    <cellStyle name="20% - Accent4 10 32 2" xfId="43903"/>
    <cellStyle name="20% - Accent4 10 33" xfId="21784"/>
    <cellStyle name="20% - Accent4 10 33 2" xfId="44559"/>
    <cellStyle name="20% - Accent4 10 34" xfId="22440"/>
    <cellStyle name="20% - Accent4 10 34 2" xfId="45215"/>
    <cellStyle name="20% - Accent4 10 35" xfId="23239"/>
    <cellStyle name="20% - Accent4 10 4" xfId="1776"/>
    <cellStyle name="20% - Accent4 10 4 2" xfId="3416"/>
    <cellStyle name="20% - Accent4 10 4 2 2" xfId="26191"/>
    <cellStyle name="20% - Accent4 10 4 3" xfId="24551"/>
    <cellStyle name="20% - Accent4 10 5" xfId="4072"/>
    <cellStyle name="20% - Accent4 10 5 2" xfId="26847"/>
    <cellStyle name="20% - Accent4 10 6" xfId="4728"/>
    <cellStyle name="20% - Accent4 10 6 2" xfId="27503"/>
    <cellStyle name="20% - Accent4 10 7" xfId="5384"/>
    <cellStyle name="20% - Accent4 10 7 2" xfId="28159"/>
    <cellStyle name="20% - Accent4 10 8" xfId="6040"/>
    <cellStyle name="20% - Accent4 10 8 2" xfId="28815"/>
    <cellStyle name="20% - Accent4 10 9" xfId="2432"/>
    <cellStyle name="20% - Accent4 10 9 2" xfId="25207"/>
    <cellStyle name="20% - Accent4 11" xfId="607"/>
    <cellStyle name="20% - Accent4 11 10" xfId="8151"/>
    <cellStyle name="20% - Accent4 11 10 2" xfId="30926"/>
    <cellStyle name="20% - Accent4 11 11" xfId="8807"/>
    <cellStyle name="20% - Accent4 11 11 2" xfId="31582"/>
    <cellStyle name="20% - Accent4 11 12" xfId="9463"/>
    <cellStyle name="20% - Accent4 11 12 2" xfId="32238"/>
    <cellStyle name="20% - Accent4 11 13" xfId="10119"/>
    <cellStyle name="20% - Accent4 11 13 2" xfId="32894"/>
    <cellStyle name="20% - Accent4 11 14" xfId="10775"/>
    <cellStyle name="20% - Accent4 11 14 2" xfId="33550"/>
    <cellStyle name="20% - Accent4 11 15" xfId="11431"/>
    <cellStyle name="20% - Accent4 11 15 2" xfId="34206"/>
    <cellStyle name="20% - Accent4 11 16" xfId="12087"/>
    <cellStyle name="20% - Accent4 11 16 2" xfId="34862"/>
    <cellStyle name="20% - Accent4 11 17" xfId="12743"/>
    <cellStyle name="20% - Accent4 11 17 2" xfId="35518"/>
    <cellStyle name="20% - Accent4 11 18" xfId="13399"/>
    <cellStyle name="20% - Accent4 11 18 2" xfId="36174"/>
    <cellStyle name="20% - Accent4 11 19" xfId="14055"/>
    <cellStyle name="20% - Accent4 11 19 2" xfId="36830"/>
    <cellStyle name="20% - Accent4 11 2" xfId="1263"/>
    <cellStyle name="20% - Accent4 11 2 2" xfId="3559"/>
    <cellStyle name="20% - Accent4 11 2 2 2" xfId="26334"/>
    <cellStyle name="20% - Accent4 11 2 3" xfId="24038"/>
    <cellStyle name="20% - Accent4 11 20" xfId="14711"/>
    <cellStyle name="20% - Accent4 11 20 2" xfId="37486"/>
    <cellStyle name="20% - Accent4 11 21" xfId="15367"/>
    <cellStyle name="20% - Accent4 11 21 2" xfId="38142"/>
    <cellStyle name="20% - Accent4 11 22" xfId="16023"/>
    <cellStyle name="20% - Accent4 11 22 2" xfId="38798"/>
    <cellStyle name="20% - Accent4 11 23" xfId="16679"/>
    <cellStyle name="20% - Accent4 11 23 2" xfId="39454"/>
    <cellStyle name="20% - Accent4 11 24" xfId="17335"/>
    <cellStyle name="20% - Accent4 11 24 2" xfId="40110"/>
    <cellStyle name="20% - Accent4 11 25" xfId="17991"/>
    <cellStyle name="20% - Accent4 11 25 2" xfId="40766"/>
    <cellStyle name="20% - Accent4 11 26" xfId="18647"/>
    <cellStyle name="20% - Accent4 11 26 2" xfId="41422"/>
    <cellStyle name="20% - Accent4 11 27" xfId="19303"/>
    <cellStyle name="20% - Accent4 11 27 2" xfId="42078"/>
    <cellStyle name="20% - Accent4 11 28" xfId="19959"/>
    <cellStyle name="20% - Accent4 11 28 2" xfId="42734"/>
    <cellStyle name="20% - Accent4 11 29" xfId="20615"/>
    <cellStyle name="20% - Accent4 11 29 2" xfId="43390"/>
    <cellStyle name="20% - Accent4 11 3" xfId="1919"/>
    <cellStyle name="20% - Accent4 11 3 2" xfId="4215"/>
    <cellStyle name="20% - Accent4 11 3 2 2" xfId="26990"/>
    <cellStyle name="20% - Accent4 11 3 3" xfId="24694"/>
    <cellStyle name="20% - Accent4 11 30" xfId="21271"/>
    <cellStyle name="20% - Accent4 11 30 2" xfId="44046"/>
    <cellStyle name="20% - Accent4 11 31" xfId="21927"/>
    <cellStyle name="20% - Accent4 11 31 2" xfId="44702"/>
    <cellStyle name="20% - Accent4 11 32" xfId="22583"/>
    <cellStyle name="20% - Accent4 11 32 2" xfId="45358"/>
    <cellStyle name="20% - Accent4 11 33" xfId="23382"/>
    <cellStyle name="20% - Accent4 11 4" xfId="4871"/>
    <cellStyle name="20% - Accent4 11 4 2" xfId="27646"/>
    <cellStyle name="20% - Accent4 11 5" xfId="5527"/>
    <cellStyle name="20% - Accent4 11 5 2" xfId="28302"/>
    <cellStyle name="20% - Accent4 11 6" xfId="6183"/>
    <cellStyle name="20% - Accent4 11 6 2" xfId="28958"/>
    <cellStyle name="20% - Accent4 11 7" xfId="2903"/>
    <cellStyle name="20% - Accent4 11 7 2" xfId="25678"/>
    <cellStyle name="20% - Accent4 11 8" xfId="6839"/>
    <cellStyle name="20% - Accent4 11 8 2" xfId="29614"/>
    <cellStyle name="20% - Accent4 11 9" xfId="7495"/>
    <cellStyle name="20% - Accent4 11 9 2" xfId="30270"/>
    <cellStyle name="20% - Accent4 12" xfId="280"/>
    <cellStyle name="20% - Accent4 12 2" xfId="2575"/>
    <cellStyle name="20% - Accent4 12 2 2" xfId="25350"/>
    <cellStyle name="20% - Accent4 12 3" xfId="23054"/>
    <cellStyle name="20% - Accent4 13" xfId="935"/>
    <cellStyle name="20% - Accent4 13 2" xfId="3231"/>
    <cellStyle name="20% - Accent4 13 2 2" xfId="26006"/>
    <cellStyle name="20% - Accent4 13 3" xfId="23710"/>
    <cellStyle name="20% - Accent4 14" xfId="1591"/>
    <cellStyle name="20% - Accent4 14 2" xfId="3887"/>
    <cellStyle name="20% - Accent4 14 2 2" xfId="26662"/>
    <cellStyle name="20% - Accent4 14 3" xfId="24366"/>
    <cellStyle name="20% - Accent4 15" xfId="4543"/>
    <cellStyle name="20% - Accent4 15 2" xfId="27318"/>
    <cellStyle name="20% - Accent4 16" xfId="5199"/>
    <cellStyle name="20% - Accent4 16 2" xfId="27974"/>
    <cellStyle name="20% - Accent4 17" xfId="5855"/>
    <cellStyle name="20% - Accent4 17 2" xfId="28630"/>
    <cellStyle name="20% - Accent4 18" xfId="2247"/>
    <cellStyle name="20% - Accent4 18 2" xfId="25022"/>
    <cellStyle name="20% - Accent4 19" xfId="6511"/>
    <cellStyle name="20% - Accent4 19 2" xfId="29286"/>
    <cellStyle name="20% - Accent4 2" xfId="75"/>
    <cellStyle name="20% - Accent4 2 10" xfId="5871"/>
    <cellStyle name="20% - Accent4 2 10 2" xfId="28646"/>
    <cellStyle name="20% - Accent4 2 11" xfId="2263"/>
    <cellStyle name="20% - Accent4 2 11 2" xfId="25038"/>
    <cellStyle name="20% - Accent4 2 12" xfId="6527"/>
    <cellStyle name="20% - Accent4 2 12 2" xfId="29302"/>
    <cellStyle name="20% - Accent4 2 13" xfId="7183"/>
    <cellStyle name="20% - Accent4 2 13 2" xfId="29958"/>
    <cellStyle name="20% - Accent4 2 14" xfId="7839"/>
    <cellStyle name="20% - Accent4 2 14 2" xfId="30614"/>
    <cellStyle name="20% - Accent4 2 15" xfId="8495"/>
    <cellStyle name="20% - Accent4 2 15 2" xfId="31270"/>
    <cellStyle name="20% - Accent4 2 16" xfId="9151"/>
    <cellStyle name="20% - Accent4 2 16 2" xfId="31926"/>
    <cellStyle name="20% - Accent4 2 17" xfId="9807"/>
    <cellStyle name="20% - Accent4 2 17 2" xfId="32582"/>
    <cellStyle name="20% - Accent4 2 18" xfId="10463"/>
    <cellStyle name="20% - Accent4 2 18 2" xfId="33238"/>
    <cellStyle name="20% - Accent4 2 19" xfId="11119"/>
    <cellStyle name="20% - Accent4 2 19 2" xfId="33894"/>
    <cellStyle name="20% - Accent4 2 2" xfId="151"/>
    <cellStyle name="20% - Accent4 2 2 10" xfId="2349"/>
    <cellStyle name="20% - Accent4 2 2 10 2" xfId="25124"/>
    <cellStyle name="20% - Accent4 2 2 11" xfId="6613"/>
    <cellStyle name="20% - Accent4 2 2 11 2" xfId="29388"/>
    <cellStyle name="20% - Accent4 2 2 12" xfId="7269"/>
    <cellStyle name="20% - Accent4 2 2 12 2" xfId="30044"/>
    <cellStyle name="20% - Accent4 2 2 13" xfId="7925"/>
    <cellStyle name="20% - Accent4 2 2 13 2" xfId="30700"/>
    <cellStyle name="20% - Accent4 2 2 14" xfId="8581"/>
    <cellStyle name="20% - Accent4 2 2 14 2" xfId="31356"/>
    <cellStyle name="20% - Accent4 2 2 15" xfId="9237"/>
    <cellStyle name="20% - Accent4 2 2 15 2" xfId="32012"/>
    <cellStyle name="20% - Accent4 2 2 16" xfId="9893"/>
    <cellStyle name="20% - Accent4 2 2 16 2" xfId="32668"/>
    <cellStyle name="20% - Accent4 2 2 17" xfId="10549"/>
    <cellStyle name="20% - Accent4 2 2 17 2" xfId="33324"/>
    <cellStyle name="20% - Accent4 2 2 18" xfId="11205"/>
    <cellStyle name="20% - Accent4 2 2 18 2" xfId="33980"/>
    <cellStyle name="20% - Accent4 2 2 19" xfId="11861"/>
    <cellStyle name="20% - Accent4 2 2 19 2" xfId="34636"/>
    <cellStyle name="20% - Accent4 2 2 2" xfId="565"/>
    <cellStyle name="20% - Accent4 2 2 2 10" xfId="6798"/>
    <cellStyle name="20% - Accent4 2 2 2 10 2" xfId="29573"/>
    <cellStyle name="20% - Accent4 2 2 2 11" xfId="7454"/>
    <cellStyle name="20% - Accent4 2 2 2 11 2" xfId="30229"/>
    <cellStyle name="20% - Accent4 2 2 2 12" xfId="8110"/>
    <cellStyle name="20% - Accent4 2 2 2 12 2" xfId="30885"/>
    <cellStyle name="20% - Accent4 2 2 2 13" xfId="8766"/>
    <cellStyle name="20% - Accent4 2 2 2 13 2" xfId="31541"/>
    <cellStyle name="20% - Accent4 2 2 2 14" xfId="9422"/>
    <cellStyle name="20% - Accent4 2 2 2 14 2" xfId="32197"/>
    <cellStyle name="20% - Accent4 2 2 2 15" xfId="10078"/>
    <cellStyle name="20% - Accent4 2 2 2 15 2" xfId="32853"/>
    <cellStyle name="20% - Accent4 2 2 2 16" xfId="10734"/>
    <cellStyle name="20% - Accent4 2 2 2 16 2" xfId="33509"/>
    <cellStyle name="20% - Accent4 2 2 2 17" xfId="11390"/>
    <cellStyle name="20% - Accent4 2 2 2 17 2" xfId="34165"/>
    <cellStyle name="20% - Accent4 2 2 2 18" xfId="12046"/>
    <cellStyle name="20% - Accent4 2 2 2 18 2" xfId="34821"/>
    <cellStyle name="20% - Accent4 2 2 2 19" xfId="12702"/>
    <cellStyle name="20% - Accent4 2 2 2 19 2" xfId="35477"/>
    <cellStyle name="20% - Accent4 2 2 2 2" xfId="894"/>
    <cellStyle name="20% - Accent4 2 2 2 2 10" xfId="8438"/>
    <cellStyle name="20% - Accent4 2 2 2 2 10 2" xfId="31213"/>
    <cellStyle name="20% - Accent4 2 2 2 2 11" xfId="9094"/>
    <cellStyle name="20% - Accent4 2 2 2 2 11 2" xfId="31869"/>
    <cellStyle name="20% - Accent4 2 2 2 2 12" xfId="9750"/>
    <cellStyle name="20% - Accent4 2 2 2 2 12 2" xfId="32525"/>
    <cellStyle name="20% - Accent4 2 2 2 2 13" xfId="10406"/>
    <cellStyle name="20% - Accent4 2 2 2 2 13 2" xfId="33181"/>
    <cellStyle name="20% - Accent4 2 2 2 2 14" xfId="11062"/>
    <cellStyle name="20% - Accent4 2 2 2 2 14 2" xfId="33837"/>
    <cellStyle name="20% - Accent4 2 2 2 2 15" xfId="11718"/>
    <cellStyle name="20% - Accent4 2 2 2 2 15 2" xfId="34493"/>
    <cellStyle name="20% - Accent4 2 2 2 2 16" xfId="12374"/>
    <cellStyle name="20% - Accent4 2 2 2 2 16 2" xfId="35149"/>
    <cellStyle name="20% - Accent4 2 2 2 2 17" xfId="13030"/>
    <cellStyle name="20% - Accent4 2 2 2 2 17 2" xfId="35805"/>
    <cellStyle name="20% - Accent4 2 2 2 2 18" xfId="13686"/>
    <cellStyle name="20% - Accent4 2 2 2 2 18 2" xfId="36461"/>
    <cellStyle name="20% - Accent4 2 2 2 2 19" xfId="14342"/>
    <cellStyle name="20% - Accent4 2 2 2 2 19 2" xfId="37117"/>
    <cellStyle name="20% - Accent4 2 2 2 2 2" xfId="1550"/>
    <cellStyle name="20% - Accent4 2 2 2 2 2 2" xfId="3846"/>
    <cellStyle name="20% - Accent4 2 2 2 2 2 2 2" xfId="26621"/>
    <cellStyle name="20% - Accent4 2 2 2 2 2 3" xfId="24325"/>
    <cellStyle name="20% - Accent4 2 2 2 2 20" xfId="14998"/>
    <cellStyle name="20% - Accent4 2 2 2 2 20 2" xfId="37773"/>
    <cellStyle name="20% - Accent4 2 2 2 2 21" xfId="15654"/>
    <cellStyle name="20% - Accent4 2 2 2 2 21 2" xfId="38429"/>
    <cellStyle name="20% - Accent4 2 2 2 2 22" xfId="16310"/>
    <cellStyle name="20% - Accent4 2 2 2 2 22 2" xfId="39085"/>
    <cellStyle name="20% - Accent4 2 2 2 2 23" xfId="16966"/>
    <cellStyle name="20% - Accent4 2 2 2 2 23 2" xfId="39741"/>
    <cellStyle name="20% - Accent4 2 2 2 2 24" xfId="17622"/>
    <cellStyle name="20% - Accent4 2 2 2 2 24 2" xfId="40397"/>
    <cellStyle name="20% - Accent4 2 2 2 2 25" xfId="18278"/>
    <cellStyle name="20% - Accent4 2 2 2 2 25 2" xfId="41053"/>
    <cellStyle name="20% - Accent4 2 2 2 2 26" xfId="18934"/>
    <cellStyle name="20% - Accent4 2 2 2 2 26 2" xfId="41709"/>
    <cellStyle name="20% - Accent4 2 2 2 2 27" xfId="19590"/>
    <cellStyle name="20% - Accent4 2 2 2 2 27 2" xfId="42365"/>
    <cellStyle name="20% - Accent4 2 2 2 2 28" xfId="20246"/>
    <cellStyle name="20% - Accent4 2 2 2 2 28 2" xfId="43021"/>
    <cellStyle name="20% - Accent4 2 2 2 2 29" xfId="20902"/>
    <cellStyle name="20% - Accent4 2 2 2 2 29 2" xfId="43677"/>
    <cellStyle name="20% - Accent4 2 2 2 2 3" xfId="2206"/>
    <cellStyle name="20% - Accent4 2 2 2 2 3 2" xfId="4502"/>
    <cellStyle name="20% - Accent4 2 2 2 2 3 2 2" xfId="27277"/>
    <cellStyle name="20% - Accent4 2 2 2 2 3 3" xfId="24981"/>
    <cellStyle name="20% - Accent4 2 2 2 2 30" xfId="21558"/>
    <cellStyle name="20% - Accent4 2 2 2 2 30 2" xfId="44333"/>
    <cellStyle name="20% - Accent4 2 2 2 2 31" xfId="22214"/>
    <cellStyle name="20% - Accent4 2 2 2 2 31 2" xfId="44989"/>
    <cellStyle name="20% - Accent4 2 2 2 2 32" xfId="22870"/>
    <cellStyle name="20% - Accent4 2 2 2 2 32 2" xfId="45645"/>
    <cellStyle name="20% - Accent4 2 2 2 2 33" xfId="23669"/>
    <cellStyle name="20% - Accent4 2 2 2 2 4" xfId="5158"/>
    <cellStyle name="20% - Accent4 2 2 2 2 4 2" xfId="27933"/>
    <cellStyle name="20% - Accent4 2 2 2 2 5" xfId="5814"/>
    <cellStyle name="20% - Accent4 2 2 2 2 5 2" xfId="28589"/>
    <cellStyle name="20% - Accent4 2 2 2 2 6" xfId="6470"/>
    <cellStyle name="20% - Accent4 2 2 2 2 6 2" xfId="29245"/>
    <cellStyle name="20% - Accent4 2 2 2 2 7" xfId="3190"/>
    <cellStyle name="20% - Accent4 2 2 2 2 7 2" xfId="25965"/>
    <cellStyle name="20% - Accent4 2 2 2 2 8" xfId="7126"/>
    <cellStyle name="20% - Accent4 2 2 2 2 8 2" xfId="29901"/>
    <cellStyle name="20% - Accent4 2 2 2 2 9" xfId="7782"/>
    <cellStyle name="20% - Accent4 2 2 2 2 9 2" xfId="30557"/>
    <cellStyle name="20% - Accent4 2 2 2 20" xfId="13358"/>
    <cellStyle name="20% - Accent4 2 2 2 20 2" xfId="36133"/>
    <cellStyle name="20% - Accent4 2 2 2 21" xfId="14014"/>
    <cellStyle name="20% - Accent4 2 2 2 21 2" xfId="36789"/>
    <cellStyle name="20% - Accent4 2 2 2 22" xfId="14670"/>
    <cellStyle name="20% - Accent4 2 2 2 22 2" xfId="37445"/>
    <cellStyle name="20% - Accent4 2 2 2 23" xfId="15326"/>
    <cellStyle name="20% - Accent4 2 2 2 23 2" xfId="38101"/>
    <cellStyle name="20% - Accent4 2 2 2 24" xfId="15982"/>
    <cellStyle name="20% - Accent4 2 2 2 24 2" xfId="38757"/>
    <cellStyle name="20% - Accent4 2 2 2 25" xfId="16638"/>
    <cellStyle name="20% - Accent4 2 2 2 25 2" xfId="39413"/>
    <cellStyle name="20% - Accent4 2 2 2 26" xfId="17294"/>
    <cellStyle name="20% - Accent4 2 2 2 26 2" xfId="40069"/>
    <cellStyle name="20% - Accent4 2 2 2 27" xfId="17950"/>
    <cellStyle name="20% - Accent4 2 2 2 27 2" xfId="40725"/>
    <cellStyle name="20% - Accent4 2 2 2 28" xfId="18606"/>
    <cellStyle name="20% - Accent4 2 2 2 28 2" xfId="41381"/>
    <cellStyle name="20% - Accent4 2 2 2 29" xfId="19262"/>
    <cellStyle name="20% - Accent4 2 2 2 29 2" xfId="42037"/>
    <cellStyle name="20% - Accent4 2 2 2 3" xfId="1222"/>
    <cellStyle name="20% - Accent4 2 2 2 3 2" xfId="2862"/>
    <cellStyle name="20% - Accent4 2 2 2 3 2 2" xfId="25637"/>
    <cellStyle name="20% - Accent4 2 2 2 3 3" xfId="23997"/>
    <cellStyle name="20% - Accent4 2 2 2 30" xfId="19918"/>
    <cellStyle name="20% - Accent4 2 2 2 30 2" xfId="42693"/>
    <cellStyle name="20% - Accent4 2 2 2 31" xfId="20574"/>
    <cellStyle name="20% - Accent4 2 2 2 31 2" xfId="43349"/>
    <cellStyle name="20% - Accent4 2 2 2 32" xfId="21230"/>
    <cellStyle name="20% - Accent4 2 2 2 32 2" xfId="44005"/>
    <cellStyle name="20% - Accent4 2 2 2 33" xfId="21886"/>
    <cellStyle name="20% - Accent4 2 2 2 33 2" xfId="44661"/>
    <cellStyle name="20% - Accent4 2 2 2 34" xfId="22542"/>
    <cellStyle name="20% - Accent4 2 2 2 34 2" xfId="45317"/>
    <cellStyle name="20% - Accent4 2 2 2 35" xfId="23341"/>
    <cellStyle name="20% - Accent4 2 2 2 4" xfId="1878"/>
    <cellStyle name="20% - Accent4 2 2 2 4 2" xfId="3518"/>
    <cellStyle name="20% - Accent4 2 2 2 4 2 2" xfId="26293"/>
    <cellStyle name="20% - Accent4 2 2 2 4 3" xfId="24653"/>
    <cellStyle name="20% - Accent4 2 2 2 5" xfId="4174"/>
    <cellStyle name="20% - Accent4 2 2 2 5 2" xfId="26949"/>
    <cellStyle name="20% - Accent4 2 2 2 6" xfId="4830"/>
    <cellStyle name="20% - Accent4 2 2 2 6 2" xfId="27605"/>
    <cellStyle name="20% - Accent4 2 2 2 7" xfId="5486"/>
    <cellStyle name="20% - Accent4 2 2 2 7 2" xfId="28261"/>
    <cellStyle name="20% - Accent4 2 2 2 8" xfId="6142"/>
    <cellStyle name="20% - Accent4 2 2 2 8 2" xfId="28917"/>
    <cellStyle name="20% - Accent4 2 2 2 9" xfId="2534"/>
    <cellStyle name="20% - Accent4 2 2 2 9 2" xfId="25309"/>
    <cellStyle name="20% - Accent4 2 2 20" xfId="12517"/>
    <cellStyle name="20% - Accent4 2 2 20 2" xfId="35292"/>
    <cellStyle name="20% - Accent4 2 2 21" xfId="13173"/>
    <cellStyle name="20% - Accent4 2 2 21 2" xfId="35948"/>
    <cellStyle name="20% - Accent4 2 2 22" xfId="13829"/>
    <cellStyle name="20% - Accent4 2 2 22 2" xfId="36604"/>
    <cellStyle name="20% - Accent4 2 2 23" xfId="14485"/>
    <cellStyle name="20% - Accent4 2 2 23 2" xfId="37260"/>
    <cellStyle name="20% - Accent4 2 2 24" xfId="15141"/>
    <cellStyle name="20% - Accent4 2 2 24 2" xfId="37916"/>
    <cellStyle name="20% - Accent4 2 2 25" xfId="15797"/>
    <cellStyle name="20% - Accent4 2 2 25 2" xfId="38572"/>
    <cellStyle name="20% - Accent4 2 2 26" xfId="16453"/>
    <cellStyle name="20% - Accent4 2 2 26 2" xfId="39228"/>
    <cellStyle name="20% - Accent4 2 2 27" xfId="17109"/>
    <cellStyle name="20% - Accent4 2 2 27 2" xfId="39884"/>
    <cellStyle name="20% - Accent4 2 2 28" xfId="17765"/>
    <cellStyle name="20% - Accent4 2 2 28 2" xfId="40540"/>
    <cellStyle name="20% - Accent4 2 2 29" xfId="18421"/>
    <cellStyle name="20% - Accent4 2 2 29 2" xfId="41196"/>
    <cellStyle name="20% - Accent4 2 2 3" xfId="709"/>
    <cellStyle name="20% - Accent4 2 2 3 10" xfId="8253"/>
    <cellStyle name="20% - Accent4 2 2 3 10 2" xfId="31028"/>
    <cellStyle name="20% - Accent4 2 2 3 11" xfId="8909"/>
    <cellStyle name="20% - Accent4 2 2 3 11 2" xfId="31684"/>
    <cellStyle name="20% - Accent4 2 2 3 12" xfId="9565"/>
    <cellStyle name="20% - Accent4 2 2 3 12 2" xfId="32340"/>
    <cellStyle name="20% - Accent4 2 2 3 13" xfId="10221"/>
    <cellStyle name="20% - Accent4 2 2 3 13 2" xfId="32996"/>
    <cellStyle name="20% - Accent4 2 2 3 14" xfId="10877"/>
    <cellStyle name="20% - Accent4 2 2 3 14 2" xfId="33652"/>
    <cellStyle name="20% - Accent4 2 2 3 15" xfId="11533"/>
    <cellStyle name="20% - Accent4 2 2 3 15 2" xfId="34308"/>
    <cellStyle name="20% - Accent4 2 2 3 16" xfId="12189"/>
    <cellStyle name="20% - Accent4 2 2 3 16 2" xfId="34964"/>
    <cellStyle name="20% - Accent4 2 2 3 17" xfId="12845"/>
    <cellStyle name="20% - Accent4 2 2 3 17 2" xfId="35620"/>
    <cellStyle name="20% - Accent4 2 2 3 18" xfId="13501"/>
    <cellStyle name="20% - Accent4 2 2 3 18 2" xfId="36276"/>
    <cellStyle name="20% - Accent4 2 2 3 19" xfId="14157"/>
    <cellStyle name="20% - Accent4 2 2 3 19 2" xfId="36932"/>
    <cellStyle name="20% - Accent4 2 2 3 2" xfId="1365"/>
    <cellStyle name="20% - Accent4 2 2 3 2 2" xfId="3661"/>
    <cellStyle name="20% - Accent4 2 2 3 2 2 2" xfId="26436"/>
    <cellStyle name="20% - Accent4 2 2 3 2 3" xfId="24140"/>
    <cellStyle name="20% - Accent4 2 2 3 20" xfId="14813"/>
    <cellStyle name="20% - Accent4 2 2 3 20 2" xfId="37588"/>
    <cellStyle name="20% - Accent4 2 2 3 21" xfId="15469"/>
    <cellStyle name="20% - Accent4 2 2 3 21 2" xfId="38244"/>
    <cellStyle name="20% - Accent4 2 2 3 22" xfId="16125"/>
    <cellStyle name="20% - Accent4 2 2 3 22 2" xfId="38900"/>
    <cellStyle name="20% - Accent4 2 2 3 23" xfId="16781"/>
    <cellStyle name="20% - Accent4 2 2 3 23 2" xfId="39556"/>
    <cellStyle name="20% - Accent4 2 2 3 24" xfId="17437"/>
    <cellStyle name="20% - Accent4 2 2 3 24 2" xfId="40212"/>
    <cellStyle name="20% - Accent4 2 2 3 25" xfId="18093"/>
    <cellStyle name="20% - Accent4 2 2 3 25 2" xfId="40868"/>
    <cellStyle name="20% - Accent4 2 2 3 26" xfId="18749"/>
    <cellStyle name="20% - Accent4 2 2 3 26 2" xfId="41524"/>
    <cellStyle name="20% - Accent4 2 2 3 27" xfId="19405"/>
    <cellStyle name="20% - Accent4 2 2 3 27 2" xfId="42180"/>
    <cellStyle name="20% - Accent4 2 2 3 28" xfId="20061"/>
    <cellStyle name="20% - Accent4 2 2 3 28 2" xfId="42836"/>
    <cellStyle name="20% - Accent4 2 2 3 29" xfId="20717"/>
    <cellStyle name="20% - Accent4 2 2 3 29 2" xfId="43492"/>
    <cellStyle name="20% - Accent4 2 2 3 3" xfId="2021"/>
    <cellStyle name="20% - Accent4 2 2 3 3 2" xfId="4317"/>
    <cellStyle name="20% - Accent4 2 2 3 3 2 2" xfId="27092"/>
    <cellStyle name="20% - Accent4 2 2 3 3 3" xfId="24796"/>
    <cellStyle name="20% - Accent4 2 2 3 30" xfId="21373"/>
    <cellStyle name="20% - Accent4 2 2 3 30 2" xfId="44148"/>
    <cellStyle name="20% - Accent4 2 2 3 31" xfId="22029"/>
    <cellStyle name="20% - Accent4 2 2 3 31 2" xfId="44804"/>
    <cellStyle name="20% - Accent4 2 2 3 32" xfId="22685"/>
    <cellStyle name="20% - Accent4 2 2 3 32 2" xfId="45460"/>
    <cellStyle name="20% - Accent4 2 2 3 33" xfId="23484"/>
    <cellStyle name="20% - Accent4 2 2 3 4" xfId="4973"/>
    <cellStyle name="20% - Accent4 2 2 3 4 2" xfId="27748"/>
    <cellStyle name="20% - Accent4 2 2 3 5" xfId="5629"/>
    <cellStyle name="20% - Accent4 2 2 3 5 2" xfId="28404"/>
    <cellStyle name="20% - Accent4 2 2 3 6" xfId="6285"/>
    <cellStyle name="20% - Accent4 2 2 3 6 2" xfId="29060"/>
    <cellStyle name="20% - Accent4 2 2 3 7" xfId="3005"/>
    <cellStyle name="20% - Accent4 2 2 3 7 2" xfId="25780"/>
    <cellStyle name="20% - Accent4 2 2 3 8" xfId="6941"/>
    <cellStyle name="20% - Accent4 2 2 3 8 2" xfId="29716"/>
    <cellStyle name="20% - Accent4 2 2 3 9" xfId="7597"/>
    <cellStyle name="20% - Accent4 2 2 3 9 2" xfId="30372"/>
    <cellStyle name="20% - Accent4 2 2 30" xfId="19077"/>
    <cellStyle name="20% - Accent4 2 2 30 2" xfId="41852"/>
    <cellStyle name="20% - Accent4 2 2 31" xfId="19733"/>
    <cellStyle name="20% - Accent4 2 2 31 2" xfId="42508"/>
    <cellStyle name="20% - Accent4 2 2 32" xfId="20389"/>
    <cellStyle name="20% - Accent4 2 2 32 2" xfId="43164"/>
    <cellStyle name="20% - Accent4 2 2 33" xfId="21045"/>
    <cellStyle name="20% - Accent4 2 2 33 2" xfId="43820"/>
    <cellStyle name="20% - Accent4 2 2 34" xfId="21701"/>
    <cellStyle name="20% - Accent4 2 2 34 2" xfId="44476"/>
    <cellStyle name="20% - Accent4 2 2 35" xfId="22357"/>
    <cellStyle name="20% - Accent4 2 2 35 2" xfId="45132"/>
    <cellStyle name="20% - Accent4 2 2 36" xfId="23013"/>
    <cellStyle name="20% - Accent4 2 2 4" xfId="382"/>
    <cellStyle name="20% - Accent4 2 2 4 2" xfId="2677"/>
    <cellStyle name="20% - Accent4 2 2 4 2 2" xfId="25452"/>
    <cellStyle name="20% - Accent4 2 2 4 3" xfId="23156"/>
    <cellStyle name="20% - Accent4 2 2 5" xfId="1037"/>
    <cellStyle name="20% - Accent4 2 2 5 2" xfId="3333"/>
    <cellStyle name="20% - Accent4 2 2 5 2 2" xfId="26108"/>
    <cellStyle name="20% - Accent4 2 2 5 3" xfId="23812"/>
    <cellStyle name="20% - Accent4 2 2 6" xfId="1693"/>
    <cellStyle name="20% - Accent4 2 2 6 2" xfId="3989"/>
    <cellStyle name="20% - Accent4 2 2 6 2 2" xfId="26764"/>
    <cellStyle name="20% - Accent4 2 2 6 3" xfId="24468"/>
    <cellStyle name="20% - Accent4 2 2 7" xfId="4645"/>
    <cellStyle name="20% - Accent4 2 2 7 2" xfId="27420"/>
    <cellStyle name="20% - Accent4 2 2 8" xfId="5301"/>
    <cellStyle name="20% - Accent4 2 2 8 2" xfId="28076"/>
    <cellStyle name="20% - Accent4 2 2 9" xfId="5957"/>
    <cellStyle name="20% - Accent4 2 2 9 2" xfId="28732"/>
    <cellStyle name="20% - Accent4 2 20" xfId="11775"/>
    <cellStyle name="20% - Accent4 2 20 2" xfId="34550"/>
    <cellStyle name="20% - Accent4 2 21" xfId="12431"/>
    <cellStyle name="20% - Accent4 2 21 2" xfId="35206"/>
    <cellStyle name="20% - Accent4 2 22" xfId="13087"/>
    <cellStyle name="20% - Accent4 2 22 2" xfId="35862"/>
    <cellStyle name="20% - Accent4 2 23" xfId="13743"/>
    <cellStyle name="20% - Accent4 2 23 2" xfId="36518"/>
    <cellStyle name="20% - Accent4 2 24" xfId="14399"/>
    <cellStyle name="20% - Accent4 2 24 2" xfId="37174"/>
    <cellStyle name="20% - Accent4 2 25" xfId="15055"/>
    <cellStyle name="20% - Accent4 2 25 2" xfId="37830"/>
    <cellStyle name="20% - Accent4 2 26" xfId="15711"/>
    <cellStyle name="20% - Accent4 2 26 2" xfId="38486"/>
    <cellStyle name="20% - Accent4 2 27" xfId="16367"/>
    <cellStyle name="20% - Accent4 2 27 2" xfId="39142"/>
    <cellStyle name="20% - Accent4 2 28" xfId="17023"/>
    <cellStyle name="20% - Accent4 2 28 2" xfId="39798"/>
    <cellStyle name="20% - Accent4 2 29" xfId="17679"/>
    <cellStyle name="20% - Accent4 2 29 2" xfId="40454"/>
    <cellStyle name="20% - Accent4 2 3" xfId="481"/>
    <cellStyle name="20% - Accent4 2 3 10" xfId="6712"/>
    <cellStyle name="20% - Accent4 2 3 10 2" xfId="29487"/>
    <cellStyle name="20% - Accent4 2 3 11" xfId="7368"/>
    <cellStyle name="20% - Accent4 2 3 11 2" xfId="30143"/>
    <cellStyle name="20% - Accent4 2 3 12" xfId="8024"/>
    <cellStyle name="20% - Accent4 2 3 12 2" xfId="30799"/>
    <cellStyle name="20% - Accent4 2 3 13" xfId="8680"/>
    <cellStyle name="20% - Accent4 2 3 13 2" xfId="31455"/>
    <cellStyle name="20% - Accent4 2 3 14" xfId="9336"/>
    <cellStyle name="20% - Accent4 2 3 14 2" xfId="32111"/>
    <cellStyle name="20% - Accent4 2 3 15" xfId="9992"/>
    <cellStyle name="20% - Accent4 2 3 15 2" xfId="32767"/>
    <cellStyle name="20% - Accent4 2 3 16" xfId="10648"/>
    <cellStyle name="20% - Accent4 2 3 16 2" xfId="33423"/>
    <cellStyle name="20% - Accent4 2 3 17" xfId="11304"/>
    <cellStyle name="20% - Accent4 2 3 17 2" xfId="34079"/>
    <cellStyle name="20% - Accent4 2 3 18" xfId="11960"/>
    <cellStyle name="20% - Accent4 2 3 18 2" xfId="34735"/>
    <cellStyle name="20% - Accent4 2 3 19" xfId="12616"/>
    <cellStyle name="20% - Accent4 2 3 19 2" xfId="35391"/>
    <cellStyle name="20% - Accent4 2 3 2" xfId="808"/>
    <cellStyle name="20% - Accent4 2 3 2 10" xfId="8352"/>
    <cellStyle name="20% - Accent4 2 3 2 10 2" xfId="31127"/>
    <cellStyle name="20% - Accent4 2 3 2 11" xfId="9008"/>
    <cellStyle name="20% - Accent4 2 3 2 11 2" xfId="31783"/>
    <cellStyle name="20% - Accent4 2 3 2 12" xfId="9664"/>
    <cellStyle name="20% - Accent4 2 3 2 12 2" xfId="32439"/>
    <cellStyle name="20% - Accent4 2 3 2 13" xfId="10320"/>
    <cellStyle name="20% - Accent4 2 3 2 13 2" xfId="33095"/>
    <cellStyle name="20% - Accent4 2 3 2 14" xfId="10976"/>
    <cellStyle name="20% - Accent4 2 3 2 14 2" xfId="33751"/>
    <cellStyle name="20% - Accent4 2 3 2 15" xfId="11632"/>
    <cellStyle name="20% - Accent4 2 3 2 15 2" xfId="34407"/>
    <cellStyle name="20% - Accent4 2 3 2 16" xfId="12288"/>
    <cellStyle name="20% - Accent4 2 3 2 16 2" xfId="35063"/>
    <cellStyle name="20% - Accent4 2 3 2 17" xfId="12944"/>
    <cellStyle name="20% - Accent4 2 3 2 17 2" xfId="35719"/>
    <cellStyle name="20% - Accent4 2 3 2 18" xfId="13600"/>
    <cellStyle name="20% - Accent4 2 3 2 18 2" xfId="36375"/>
    <cellStyle name="20% - Accent4 2 3 2 19" xfId="14256"/>
    <cellStyle name="20% - Accent4 2 3 2 19 2" xfId="37031"/>
    <cellStyle name="20% - Accent4 2 3 2 2" xfId="1464"/>
    <cellStyle name="20% - Accent4 2 3 2 2 2" xfId="3760"/>
    <cellStyle name="20% - Accent4 2 3 2 2 2 2" xfId="26535"/>
    <cellStyle name="20% - Accent4 2 3 2 2 3" xfId="24239"/>
    <cellStyle name="20% - Accent4 2 3 2 20" xfId="14912"/>
    <cellStyle name="20% - Accent4 2 3 2 20 2" xfId="37687"/>
    <cellStyle name="20% - Accent4 2 3 2 21" xfId="15568"/>
    <cellStyle name="20% - Accent4 2 3 2 21 2" xfId="38343"/>
    <cellStyle name="20% - Accent4 2 3 2 22" xfId="16224"/>
    <cellStyle name="20% - Accent4 2 3 2 22 2" xfId="38999"/>
    <cellStyle name="20% - Accent4 2 3 2 23" xfId="16880"/>
    <cellStyle name="20% - Accent4 2 3 2 23 2" xfId="39655"/>
    <cellStyle name="20% - Accent4 2 3 2 24" xfId="17536"/>
    <cellStyle name="20% - Accent4 2 3 2 24 2" xfId="40311"/>
    <cellStyle name="20% - Accent4 2 3 2 25" xfId="18192"/>
    <cellStyle name="20% - Accent4 2 3 2 25 2" xfId="40967"/>
    <cellStyle name="20% - Accent4 2 3 2 26" xfId="18848"/>
    <cellStyle name="20% - Accent4 2 3 2 26 2" xfId="41623"/>
    <cellStyle name="20% - Accent4 2 3 2 27" xfId="19504"/>
    <cellStyle name="20% - Accent4 2 3 2 27 2" xfId="42279"/>
    <cellStyle name="20% - Accent4 2 3 2 28" xfId="20160"/>
    <cellStyle name="20% - Accent4 2 3 2 28 2" xfId="42935"/>
    <cellStyle name="20% - Accent4 2 3 2 29" xfId="20816"/>
    <cellStyle name="20% - Accent4 2 3 2 29 2" xfId="43591"/>
    <cellStyle name="20% - Accent4 2 3 2 3" xfId="2120"/>
    <cellStyle name="20% - Accent4 2 3 2 3 2" xfId="4416"/>
    <cellStyle name="20% - Accent4 2 3 2 3 2 2" xfId="27191"/>
    <cellStyle name="20% - Accent4 2 3 2 3 3" xfId="24895"/>
    <cellStyle name="20% - Accent4 2 3 2 30" xfId="21472"/>
    <cellStyle name="20% - Accent4 2 3 2 30 2" xfId="44247"/>
    <cellStyle name="20% - Accent4 2 3 2 31" xfId="22128"/>
    <cellStyle name="20% - Accent4 2 3 2 31 2" xfId="44903"/>
    <cellStyle name="20% - Accent4 2 3 2 32" xfId="22784"/>
    <cellStyle name="20% - Accent4 2 3 2 32 2" xfId="45559"/>
    <cellStyle name="20% - Accent4 2 3 2 33" xfId="23583"/>
    <cellStyle name="20% - Accent4 2 3 2 4" xfId="5072"/>
    <cellStyle name="20% - Accent4 2 3 2 4 2" xfId="27847"/>
    <cellStyle name="20% - Accent4 2 3 2 5" xfId="5728"/>
    <cellStyle name="20% - Accent4 2 3 2 5 2" xfId="28503"/>
    <cellStyle name="20% - Accent4 2 3 2 6" xfId="6384"/>
    <cellStyle name="20% - Accent4 2 3 2 6 2" xfId="29159"/>
    <cellStyle name="20% - Accent4 2 3 2 7" xfId="3104"/>
    <cellStyle name="20% - Accent4 2 3 2 7 2" xfId="25879"/>
    <cellStyle name="20% - Accent4 2 3 2 8" xfId="7040"/>
    <cellStyle name="20% - Accent4 2 3 2 8 2" xfId="29815"/>
    <cellStyle name="20% - Accent4 2 3 2 9" xfId="7696"/>
    <cellStyle name="20% - Accent4 2 3 2 9 2" xfId="30471"/>
    <cellStyle name="20% - Accent4 2 3 20" xfId="13272"/>
    <cellStyle name="20% - Accent4 2 3 20 2" xfId="36047"/>
    <cellStyle name="20% - Accent4 2 3 21" xfId="13928"/>
    <cellStyle name="20% - Accent4 2 3 21 2" xfId="36703"/>
    <cellStyle name="20% - Accent4 2 3 22" xfId="14584"/>
    <cellStyle name="20% - Accent4 2 3 22 2" xfId="37359"/>
    <cellStyle name="20% - Accent4 2 3 23" xfId="15240"/>
    <cellStyle name="20% - Accent4 2 3 23 2" xfId="38015"/>
    <cellStyle name="20% - Accent4 2 3 24" xfId="15896"/>
    <cellStyle name="20% - Accent4 2 3 24 2" xfId="38671"/>
    <cellStyle name="20% - Accent4 2 3 25" xfId="16552"/>
    <cellStyle name="20% - Accent4 2 3 25 2" xfId="39327"/>
    <cellStyle name="20% - Accent4 2 3 26" xfId="17208"/>
    <cellStyle name="20% - Accent4 2 3 26 2" xfId="39983"/>
    <cellStyle name="20% - Accent4 2 3 27" xfId="17864"/>
    <cellStyle name="20% - Accent4 2 3 27 2" xfId="40639"/>
    <cellStyle name="20% - Accent4 2 3 28" xfId="18520"/>
    <cellStyle name="20% - Accent4 2 3 28 2" xfId="41295"/>
    <cellStyle name="20% - Accent4 2 3 29" xfId="19176"/>
    <cellStyle name="20% - Accent4 2 3 29 2" xfId="41951"/>
    <cellStyle name="20% - Accent4 2 3 3" xfId="1136"/>
    <cellStyle name="20% - Accent4 2 3 3 2" xfId="2776"/>
    <cellStyle name="20% - Accent4 2 3 3 2 2" xfId="25551"/>
    <cellStyle name="20% - Accent4 2 3 3 3" xfId="23911"/>
    <cellStyle name="20% - Accent4 2 3 30" xfId="19832"/>
    <cellStyle name="20% - Accent4 2 3 30 2" xfId="42607"/>
    <cellStyle name="20% - Accent4 2 3 31" xfId="20488"/>
    <cellStyle name="20% - Accent4 2 3 31 2" xfId="43263"/>
    <cellStyle name="20% - Accent4 2 3 32" xfId="21144"/>
    <cellStyle name="20% - Accent4 2 3 32 2" xfId="43919"/>
    <cellStyle name="20% - Accent4 2 3 33" xfId="21800"/>
    <cellStyle name="20% - Accent4 2 3 33 2" xfId="44575"/>
    <cellStyle name="20% - Accent4 2 3 34" xfId="22456"/>
    <cellStyle name="20% - Accent4 2 3 34 2" xfId="45231"/>
    <cellStyle name="20% - Accent4 2 3 35" xfId="23255"/>
    <cellStyle name="20% - Accent4 2 3 4" xfId="1792"/>
    <cellStyle name="20% - Accent4 2 3 4 2" xfId="3432"/>
    <cellStyle name="20% - Accent4 2 3 4 2 2" xfId="26207"/>
    <cellStyle name="20% - Accent4 2 3 4 3" xfId="24567"/>
    <cellStyle name="20% - Accent4 2 3 5" xfId="4088"/>
    <cellStyle name="20% - Accent4 2 3 5 2" xfId="26863"/>
    <cellStyle name="20% - Accent4 2 3 6" xfId="4744"/>
    <cellStyle name="20% - Accent4 2 3 6 2" xfId="27519"/>
    <cellStyle name="20% - Accent4 2 3 7" xfId="5400"/>
    <cellStyle name="20% - Accent4 2 3 7 2" xfId="28175"/>
    <cellStyle name="20% - Accent4 2 3 8" xfId="6056"/>
    <cellStyle name="20% - Accent4 2 3 8 2" xfId="28831"/>
    <cellStyle name="20% - Accent4 2 3 9" xfId="2448"/>
    <cellStyle name="20% - Accent4 2 3 9 2" xfId="25223"/>
    <cellStyle name="20% - Accent4 2 30" xfId="18335"/>
    <cellStyle name="20% - Accent4 2 30 2" xfId="41110"/>
    <cellStyle name="20% - Accent4 2 31" xfId="18991"/>
    <cellStyle name="20% - Accent4 2 31 2" xfId="41766"/>
    <cellStyle name="20% - Accent4 2 32" xfId="19647"/>
    <cellStyle name="20% - Accent4 2 32 2" xfId="42422"/>
    <cellStyle name="20% - Accent4 2 33" xfId="20303"/>
    <cellStyle name="20% - Accent4 2 33 2" xfId="43078"/>
    <cellStyle name="20% - Accent4 2 34" xfId="20959"/>
    <cellStyle name="20% - Accent4 2 34 2" xfId="43734"/>
    <cellStyle name="20% - Accent4 2 35" xfId="21615"/>
    <cellStyle name="20% - Accent4 2 35 2" xfId="44390"/>
    <cellStyle name="20% - Accent4 2 36" xfId="22271"/>
    <cellStyle name="20% - Accent4 2 36 2" xfId="45046"/>
    <cellStyle name="20% - Accent4 2 37" xfId="210"/>
    <cellStyle name="20% - Accent4 2 38" xfId="22927"/>
    <cellStyle name="20% - Accent4 2 4" xfId="623"/>
    <cellStyle name="20% - Accent4 2 4 10" xfId="8167"/>
    <cellStyle name="20% - Accent4 2 4 10 2" xfId="30942"/>
    <cellStyle name="20% - Accent4 2 4 11" xfId="8823"/>
    <cellStyle name="20% - Accent4 2 4 11 2" xfId="31598"/>
    <cellStyle name="20% - Accent4 2 4 12" xfId="9479"/>
    <cellStyle name="20% - Accent4 2 4 12 2" xfId="32254"/>
    <cellStyle name="20% - Accent4 2 4 13" xfId="10135"/>
    <cellStyle name="20% - Accent4 2 4 13 2" xfId="32910"/>
    <cellStyle name="20% - Accent4 2 4 14" xfId="10791"/>
    <cellStyle name="20% - Accent4 2 4 14 2" xfId="33566"/>
    <cellStyle name="20% - Accent4 2 4 15" xfId="11447"/>
    <cellStyle name="20% - Accent4 2 4 15 2" xfId="34222"/>
    <cellStyle name="20% - Accent4 2 4 16" xfId="12103"/>
    <cellStyle name="20% - Accent4 2 4 16 2" xfId="34878"/>
    <cellStyle name="20% - Accent4 2 4 17" xfId="12759"/>
    <cellStyle name="20% - Accent4 2 4 17 2" xfId="35534"/>
    <cellStyle name="20% - Accent4 2 4 18" xfId="13415"/>
    <cellStyle name="20% - Accent4 2 4 18 2" xfId="36190"/>
    <cellStyle name="20% - Accent4 2 4 19" xfId="14071"/>
    <cellStyle name="20% - Accent4 2 4 19 2" xfId="36846"/>
    <cellStyle name="20% - Accent4 2 4 2" xfId="1279"/>
    <cellStyle name="20% - Accent4 2 4 2 2" xfId="3575"/>
    <cellStyle name="20% - Accent4 2 4 2 2 2" xfId="26350"/>
    <cellStyle name="20% - Accent4 2 4 2 3" xfId="24054"/>
    <cellStyle name="20% - Accent4 2 4 20" xfId="14727"/>
    <cellStyle name="20% - Accent4 2 4 20 2" xfId="37502"/>
    <cellStyle name="20% - Accent4 2 4 21" xfId="15383"/>
    <cellStyle name="20% - Accent4 2 4 21 2" xfId="38158"/>
    <cellStyle name="20% - Accent4 2 4 22" xfId="16039"/>
    <cellStyle name="20% - Accent4 2 4 22 2" xfId="38814"/>
    <cellStyle name="20% - Accent4 2 4 23" xfId="16695"/>
    <cellStyle name="20% - Accent4 2 4 23 2" xfId="39470"/>
    <cellStyle name="20% - Accent4 2 4 24" xfId="17351"/>
    <cellStyle name="20% - Accent4 2 4 24 2" xfId="40126"/>
    <cellStyle name="20% - Accent4 2 4 25" xfId="18007"/>
    <cellStyle name="20% - Accent4 2 4 25 2" xfId="40782"/>
    <cellStyle name="20% - Accent4 2 4 26" xfId="18663"/>
    <cellStyle name="20% - Accent4 2 4 26 2" xfId="41438"/>
    <cellStyle name="20% - Accent4 2 4 27" xfId="19319"/>
    <cellStyle name="20% - Accent4 2 4 27 2" xfId="42094"/>
    <cellStyle name="20% - Accent4 2 4 28" xfId="19975"/>
    <cellStyle name="20% - Accent4 2 4 28 2" xfId="42750"/>
    <cellStyle name="20% - Accent4 2 4 29" xfId="20631"/>
    <cellStyle name="20% - Accent4 2 4 29 2" xfId="43406"/>
    <cellStyle name="20% - Accent4 2 4 3" xfId="1935"/>
    <cellStyle name="20% - Accent4 2 4 3 2" xfId="4231"/>
    <cellStyle name="20% - Accent4 2 4 3 2 2" xfId="27006"/>
    <cellStyle name="20% - Accent4 2 4 3 3" xfId="24710"/>
    <cellStyle name="20% - Accent4 2 4 30" xfId="21287"/>
    <cellStyle name="20% - Accent4 2 4 30 2" xfId="44062"/>
    <cellStyle name="20% - Accent4 2 4 31" xfId="21943"/>
    <cellStyle name="20% - Accent4 2 4 31 2" xfId="44718"/>
    <cellStyle name="20% - Accent4 2 4 32" xfId="22599"/>
    <cellStyle name="20% - Accent4 2 4 32 2" xfId="45374"/>
    <cellStyle name="20% - Accent4 2 4 33" xfId="23398"/>
    <cellStyle name="20% - Accent4 2 4 4" xfId="4887"/>
    <cellStyle name="20% - Accent4 2 4 4 2" xfId="27662"/>
    <cellStyle name="20% - Accent4 2 4 5" xfId="5543"/>
    <cellStyle name="20% - Accent4 2 4 5 2" xfId="28318"/>
    <cellStyle name="20% - Accent4 2 4 6" xfId="6199"/>
    <cellStyle name="20% - Accent4 2 4 6 2" xfId="28974"/>
    <cellStyle name="20% - Accent4 2 4 7" xfId="2919"/>
    <cellStyle name="20% - Accent4 2 4 7 2" xfId="25694"/>
    <cellStyle name="20% - Accent4 2 4 8" xfId="6855"/>
    <cellStyle name="20% - Accent4 2 4 8 2" xfId="29630"/>
    <cellStyle name="20% - Accent4 2 4 9" xfId="7511"/>
    <cellStyle name="20% - Accent4 2 4 9 2" xfId="30286"/>
    <cellStyle name="20% - Accent4 2 5" xfId="296"/>
    <cellStyle name="20% - Accent4 2 5 2" xfId="2591"/>
    <cellStyle name="20% - Accent4 2 5 2 2" xfId="25366"/>
    <cellStyle name="20% - Accent4 2 5 3" xfId="23070"/>
    <cellStyle name="20% - Accent4 2 6" xfId="951"/>
    <cellStyle name="20% - Accent4 2 6 2" xfId="3247"/>
    <cellStyle name="20% - Accent4 2 6 2 2" xfId="26022"/>
    <cellStyle name="20% - Accent4 2 6 3" xfId="23726"/>
    <cellStyle name="20% - Accent4 2 7" xfId="1607"/>
    <cellStyle name="20% - Accent4 2 7 2" xfId="3903"/>
    <cellStyle name="20% - Accent4 2 7 2 2" xfId="26678"/>
    <cellStyle name="20% - Accent4 2 7 3" xfId="24382"/>
    <cellStyle name="20% - Accent4 2 8" xfId="4559"/>
    <cellStyle name="20% - Accent4 2 8 2" xfId="27334"/>
    <cellStyle name="20% - Accent4 2 9" xfId="5215"/>
    <cellStyle name="20% - Accent4 2 9 2" xfId="27990"/>
    <cellStyle name="20% - Accent4 20" xfId="7167"/>
    <cellStyle name="20% - Accent4 20 2" xfId="29942"/>
    <cellStyle name="20% - Accent4 21" xfId="7823"/>
    <cellStyle name="20% - Accent4 21 2" xfId="30598"/>
    <cellStyle name="20% - Accent4 22" xfId="8479"/>
    <cellStyle name="20% - Accent4 22 2" xfId="31254"/>
    <cellStyle name="20% - Accent4 23" xfId="9135"/>
    <cellStyle name="20% - Accent4 23 2" xfId="31910"/>
    <cellStyle name="20% - Accent4 24" xfId="9791"/>
    <cellStyle name="20% - Accent4 24 2" xfId="32566"/>
    <cellStyle name="20% - Accent4 25" xfId="10447"/>
    <cellStyle name="20% - Accent4 25 2" xfId="33222"/>
    <cellStyle name="20% - Accent4 26" xfId="11103"/>
    <cellStyle name="20% - Accent4 26 2" xfId="33878"/>
    <cellStyle name="20% - Accent4 27" xfId="11759"/>
    <cellStyle name="20% - Accent4 27 2" xfId="34534"/>
    <cellStyle name="20% - Accent4 28" xfId="12415"/>
    <cellStyle name="20% - Accent4 28 2" xfId="35190"/>
    <cellStyle name="20% - Accent4 29" xfId="13071"/>
    <cellStyle name="20% - Accent4 29 2" xfId="35846"/>
    <cellStyle name="20% - Accent4 3" xfId="59"/>
    <cellStyle name="20% - Accent4 3 10" xfId="5886"/>
    <cellStyle name="20% - Accent4 3 10 2" xfId="28661"/>
    <cellStyle name="20% - Accent4 3 11" xfId="2278"/>
    <cellStyle name="20% - Accent4 3 11 2" xfId="25053"/>
    <cellStyle name="20% - Accent4 3 12" xfId="6542"/>
    <cellStyle name="20% - Accent4 3 12 2" xfId="29317"/>
    <cellStyle name="20% - Accent4 3 13" xfId="7198"/>
    <cellStyle name="20% - Accent4 3 13 2" xfId="29973"/>
    <cellStyle name="20% - Accent4 3 14" xfId="7854"/>
    <cellStyle name="20% - Accent4 3 14 2" xfId="30629"/>
    <cellStyle name="20% - Accent4 3 15" xfId="8510"/>
    <cellStyle name="20% - Accent4 3 15 2" xfId="31285"/>
    <cellStyle name="20% - Accent4 3 16" xfId="9166"/>
    <cellStyle name="20% - Accent4 3 16 2" xfId="31941"/>
    <cellStyle name="20% - Accent4 3 17" xfId="9822"/>
    <cellStyle name="20% - Accent4 3 17 2" xfId="32597"/>
    <cellStyle name="20% - Accent4 3 18" xfId="10478"/>
    <cellStyle name="20% - Accent4 3 18 2" xfId="33253"/>
    <cellStyle name="20% - Accent4 3 19" xfId="11134"/>
    <cellStyle name="20% - Accent4 3 19 2" xfId="33909"/>
    <cellStyle name="20% - Accent4 3 2" xfId="137"/>
    <cellStyle name="20% - Accent4 3 2 10" xfId="2333"/>
    <cellStyle name="20% - Accent4 3 2 10 2" xfId="25108"/>
    <cellStyle name="20% - Accent4 3 2 11" xfId="6597"/>
    <cellStyle name="20% - Accent4 3 2 11 2" xfId="29372"/>
    <cellStyle name="20% - Accent4 3 2 12" xfId="7253"/>
    <cellStyle name="20% - Accent4 3 2 12 2" xfId="30028"/>
    <cellStyle name="20% - Accent4 3 2 13" xfId="7909"/>
    <cellStyle name="20% - Accent4 3 2 13 2" xfId="30684"/>
    <cellStyle name="20% - Accent4 3 2 14" xfId="8565"/>
    <cellStyle name="20% - Accent4 3 2 14 2" xfId="31340"/>
    <cellStyle name="20% - Accent4 3 2 15" xfId="9221"/>
    <cellStyle name="20% - Accent4 3 2 15 2" xfId="31996"/>
    <cellStyle name="20% - Accent4 3 2 16" xfId="9877"/>
    <cellStyle name="20% - Accent4 3 2 16 2" xfId="32652"/>
    <cellStyle name="20% - Accent4 3 2 17" xfId="10533"/>
    <cellStyle name="20% - Accent4 3 2 17 2" xfId="33308"/>
    <cellStyle name="20% - Accent4 3 2 18" xfId="11189"/>
    <cellStyle name="20% - Accent4 3 2 18 2" xfId="33964"/>
    <cellStyle name="20% - Accent4 3 2 19" xfId="11845"/>
    <cellStyle name="20% - Accent4 3 2 19 2" xfId="34620"/>
    <cellStyle name="20% - Accent4 3 2 2" xfId="549"/>
    <cellStyle name="20% - Accent4 3 2 2 10" xfId="6782"/>
    <cellStyle name="20% - Accent4 3 2 2 10 2" xfId="29557"/>
    <cellStyle name="20% - Accent4 3 2 2 11" xfId="7438"/>
    <cellStyle name="20% - Accent4 3 2 2 11 2" xfId="30213"/>
    <cellStyle name="20% - Accent4 3 2 2 12" xfId="8094"/>
    <cellStyle name="20% - Accent4 3 2 2 12 2" xfId="30869"/>
    <cellStyle name="20% - Accent4 3 2 2 13" xfId="8750"/>
    <cellStyle name="20% - Accent4 3 2 2 13 2" xfId="31525"/>
    <cellStyle name="20% - Accent4 3 2 2 14" xfId="9406"/>
    <cellStyle name="20% - Accent4 3 2 2 14 2" xfId="32181"/>
    <cellStyle name="20% - Accent4 3 2 2 15" xfId="10062"/>
    <cellStyle name="20% - Accent4 3 2 2 15 2" xfId="32837"/>
    <cellStyle name="20% - Accent4 3 2 2 16" xfId="10718"/>
    <cellStyle name="20% - Accent4 3 2 2 16 2" xfId="33493"/>
    <cellStyle name="20% - Accent4 3 2 2 17" xfId="11374"/>
    <cellStyle name="20% - Accent4 3 2 2 17 2" xfId="34149"/>
    <cellStyle name="20% - Accent4 3 2 2 18" xfId="12030"/>
    <cellStyle name="20% - Accent4 3 2 2 18 2" xfId="34805"/>
    <cellStyle name="20% - Accent4 3 2 2 19" xfId="12686"/>
    <cellStyle name="20% - Accent4 3 2 2 19 2" xfId="35461"/>
    <cellStyle name="20% - Accent4 3 2 2 2" xfId="878"/>
    <cellStyle name="20% - Accent4 3 2 2 2 10" xfId="8422"/>
    <cellStyle name="20% - Accent4 3 2 2 2 10 2" xfId="31197"/>
    <cellStyle name="20% - Accent4 3 2 2 2 11" xfId="9078"/>
    <cellStyle name="20% - Accent4 3 2 2 2 11 2" xfId="31853"/>
    <cellStyle name="20% - Accent4 3 2 2 2 12" xfId="9734"/>
    <cellStyle name="20% - Accent4 3 2 2 2 12 2" xfId="32509"/>
    <cellStyle name="20% - Accent4 3 2 2 2 13" xfId="10390"/>
    <cellStyle name="20% - Accent4 3 2 2 2 13 2" xfId="33165"/>
    <cellStyle name="20% - Accent4 3 2 2 2 14" xfId="11046"/>
    <cellStyle name="20% - Accent4 3 2 2 2 14 2" xfId="33821"/>
    <cellStyle name="20% - Accent4 3 2 2 2 15" xfId="11702"/>
    <cellStyle name="20% - Accent4 3 2 2 2 15 2" xfId="34477"/>
    <cellStyle name="20% - Accent4 3 2 2 2 16" xfId="12358"/>
    <cellStyle name="20% - Accent4 3 2 2 2 16 2" xfId="35133"/>
    <cellStyle name="20% - Accent4 3 2 2 2 17" xfId="13014"/>
    <cellStyle name="20% - Accent4 3 2 2 2 17 2" xfId="35789"/>
    <cellStyle name="20% - Accent4 3 2 2 2 18" xfId="13670"/>
    <cellStyle name="20% - Accent4 3 2 2 2 18 2" xfId="36445"/>
    <cellStyle name="20% - Accent4 3 2 2 2 19" xfId="14326"/>
    <cellStyle name="20% - Accent4 3 2 2 2 19 2" xfId="37101"/>
    <cellStyle name="20% - Accent4 3 2 2 2 2" xfId="1534"/>
    <cellStyle name="20% - Accent4 3 2 2 2 2 2" xfId="3830"/>
    <cellStyle name="20% - Accent4 3 2 2 2 2 2 2" xfId="26605"/>
    <cellStyle name="20% - Accent4 3 2 2 2 2 3" xfId="24309"/>
    <cellStyle name="20% - Accent4 3 2 2 2 20" xfId="14982"/>
    <cellStyle name="20% - Accent4 3 2 2 2 20 2" xfId="37757"/>
    <cellStyle name="20% - Accent4 3 2 2 2 21" xfId="15638"/>
    <cellStyle name="20% - Accent4 3 2 2 2 21 2" xfId="38413"/>
    <cellStyle name="20% - Accent4 3 2 2 2 22" xfId="16294"/>
    <cellStyle name="20% - Accent4 3 2 2 2 22 2" xfId="39069"/>
    <cellStyle name="20% - Accent4 3 2 2 2 23" xfId="16950"/>
    <cellStyle name="20% - Accent4 3 2 2 2 23 2" xfId="39725"/>
    <cellStyle name="20% - Accent4 3 2 2 2 24" xfId="17606"/>
    <cellStyle name="20% - Accent4 3 2 2 2 24 2" xfId="40381"/>
    <cellStyle name="20% - Accent4 3 2 2 2 25" xfId="18262"/>
    <cellStyle name="20% - Accent4 3 2 2 2 25 2" xfId="41037"/>
    <cellStyle name="20% - Accent4 3 2 2 2 26" xfId="18918"/>
    <cellStyle name="20% - Accent4 3 2 2 2 26 2" xfId="41693"/>
    <cellStyle name="20% - Accent4 3 2 2 2 27" xfId="19574"/>
    <cellStyle name="20% - Accent4 3 2 2 2 27 2" xfId="42349"/>
    <cellStyle name="20% - Accent4 3 2 2 2 28" xfId="20230"/>
    <cellStyle name="20% - Accent4 3 2 2 2 28 2" xfId="43005"/>
    <cellStyle name="20% - Accent4 3 2 2 2 29" xfId="20886"/>
    <cellStyle name="20% - Accent4 3 2 2 2 29 2" xfId="43661"/>
    <cellStyle name="20% - Accent4 3 2 2 2 3" xfId="2190"/>
    <cellStyle name="20% - Accent4 3 2 2 2 3 2" xfId="4486"/>
    <cellStyle name="20% - Accent4 3 2 2 2 3 2 2" xfId="27261"/>
    <cellStyle name="20% - Accent4 3 2 2 2 3 3" xfId="24965"/>
    <cellStyle name="20% - Accent4 3 2 2 2 30" xfId="21542"/>
    <cellStyle name="20% - Accent4 3 2 2 2 30 2" xfId="44317"/>
    <cellStyle name="20% - Accent4 3 2 2 2 31" xfId="22198"/>
    <cellStyle name="20% - Accent4 3 2 2 2 31 2" xfId="44973"/>
    <cellStyle name="20% - Accent4 3 2 2 2 32" xfId="22854"/>
    <cellStyle name="20% - Accent4 3 2 2 2 32 2" xfId="45629"/>
    <cellStyle name="20% - Accent4 3 2 2 2 33" xfId="23653"/>
    <cellStyle name="20% - Accent4 3 2 2 2 4" xfId="5142"/>
    <cellStyle name="20% - Accent4 3 2 2 2 4 2" xfId="27917"/>
    <cellStyle name="20% - Accent4 3 2 2 2 5" xfId="5798"/>
    <cellStyle name="20% - Accent4 3 2 2 2 5 2" xfId="28573"/>
    <cellStyle name="20% - Accent4 3 2 2 2 6" xfId="6454"/>
    <cellStyle name="20% - Accent4 3 2 2 2 6 2" xfId="29229"/>
    <cellStyle name="20% - Accent4 3 2 2 2 7" xfId="3174"/>
    <cellStyle name="20% - Accent4 3 2 2 2 7 2" xfId="25949"/>
    <cellStyle name="20% - Accent4 3 2 2 2 8" xfId="7110"/>
    <cellStyle name="20% - Accent4 3 2 2 2 8 2" xfId="29885"/>
    <cellStyle name="20% - Accent4 3 2 2 2 9" xfId="7766"/>
    <cellStyle name="20% - Accent4 3 2 2 2 9 2" xfId="30541"/>
    <cellStyle name="20% - Accent4 3 2 2 20" xfId="13342"/>
    <cellStyle name="20% - Accent4 3 2 2 20 2" xfId="36117"/>
    <cellStyle name="20% - Accent4 3 2 2 21" xfId="13998"/>
    <cellStyle name="20% - Accent4 3 2 2 21 2" xfId="36773"/>
    <cellStyle name="20% - Accent4 3 2 2 22" xfId="14654"/>
    <cellStyle name="20% - Accent4 3 2 2 22 2" xfId="37429"/>
    <cellStyle name="20% - Accent4 3 2 2 23" xfId="15310"/>
    <cellStyle name="20% - Accent4 3 2 2 23 2" xfId="38085"/>
    <cellStyle name="20% - Accent4 3 2 2 24" xfId="15966"/>
    <cellStyle name="20% - Accent4 3 2 2 24 2" xfId="38741"/>
    <cellStyle name="20% - Accent4 3 2 2 25" xfId="16622"/>
    <cellStyle name="20% - Accent4 3 2 2 25 2" xfId="39397"/>
    <cellStyle name="20% - Accent4 3 2 2 26" xfId="17278"/>
    <cellStyle name="20% - Accent4 3 2 2 26 2" xfId="40053"/>
    <cellStyle name="20% - Accent4 3 2 2 27" xfId="17934"/>
    <cellStyle name="20% - Accent4 3 2 2 27 2" xfId="40709"/>
    <cellStyle name="20% - Accent4 3 2 2 28" xfId="18590"/>
    <cellStyle name="20% - Accent4 3 2 2 28 2" xfId="41365"/>
    <cellStyle name="20% - Accent4 3 2 2 29" xfId="19246"/>
    <cellStyle name="20% - Accent4 3 2 2 29 2" xfId="42021"/>
    <cellStyle name="20% - Accent4 3 2 2 3" xfId="1206"/>
    <cellStyle name="20% - Accent4 3 2 2 3 2" xfId="2846"/>
    <cellStyle name="20% - Accent4 3 2 2 3 2 2" xfId="25621"/>
    <cellStyle name="20% - Accent4 3 2 2 3 3" xfId="23981"/>
    <cellStyle name="20% - Accent4 3 2 2 30" xfId="19902"/>
    <cellStyle name="20% - Accent4 3 2 2 30 2" xfId="42677"/>
    <cellStyle name="20% - Accent4 3 2 2 31" xfId="20558"/>
    <cellStyle name="20% - Accent4 3 2 2 31 2" xfId="43333"/>
    <cellStyle name="20% - Accent4 3 2 2 32" xfId="21214"/>
    <cellStyle name="20% - Accent4 3 2 2 32 2" xfId="43989"/>
    <cellStyle name="20% - Accent4 3 2 2 33" xfId="21870"/>
    <cellStyle name="20% - Accent4 3 2 2 33 2" xfId="44645"/>
    <cellStyle name="20% - Accent4 3 2 2 34" xfId="22526"/>
    <cellStyle name="20% - Accent4 3 2 2 34 2" xfId="45301"/>
    <cellStyle name="20% - Accent4 3 2 2 35" xfId="23325"/>
    <cellStyle name="20% - Accent4 3 2 2 4" xfId="1862"/>
    <cellStyle name="20% - Accent4 3 2 2 4 2" xfId="3502"/>
    <cellStyle name="20% - Accent4 3 2 2 4 2 2" xfId="26277"/>
    <cellStyle name="20% - Accent4 3 2 2 4 3" xfId="24637"/>
    <cellStyle name="20% - Accent4 3 2 2 5" xfId="4158"/>
    <cellStyle name="20% - Accent4 3 2 2 5 2" xfId="26933"/>
    <cellStyle name="20% - Accent4 3 2 2 6" xfId="4814"/>
    <cellStyle name="20% - Accent4 3 2 2 6 2" xfId="27589"/>
    <cellStyle name="20% - Accent4 3 2 2 7" xfId="5470"/>
    <cellStyle name="20% - Accent4 3 2 2 7 2" xfId="28245"/>
    <cellStyle name="20% - Accent4 3 2 2 8" xfId="6126"/>
    <cellStyle name="20% - Accent4 3 2 2 8 2" xfId="28901"/>
    <cellStyle name="20% - Accent4 3 2 2 9" xfId="2518"/>
    <cellStyle name="20% - Accent4 3 2 2 9 2" xfId="25293"/>
    <cellStyle name="20% - Accent4 3 2 20" xfId="12501"/>
    <cellStyle name="20% - Accent4 3 2 20 2" xfId="35276"/>
    <cellStyle name="20% - Accent4 3 2 21" xfId="13157"/>
    <cellStyle name="20% - Accent4 3 2 21 2" xfId="35932"/>
    <cellStyle name="20% - Accent4 3 2 22" xfId="13813"/>
    <cellStyle name="20% - Accent4 3 2 22 2" xfId="36588"/>
    <cellStyle name="20% - Accent4 3 2 23" xfId="14469"/>
    <cellStyle name="20% - Accent4 3 2 23 2" xfId="37244"/>
    <cellStyle name="20% - Accent4 3 2 24" xfId="15125"/>
    <cellStyle name="20% - Accent4 3 2 24 2" xfId="37900"/>
    <cellStyle name="20% - Accent4 3 2 25" xfId="15781"/>
    <cellStyle name="20% - Accent4 3 2 25 2" xfId="38556"/>
    <cellStyle name="20% - Accent4 3 2 26" xfId="16437"/>
    <cellStyle name="20% - Accent4 3 2 26 2" xfId="39212"/>
    <cellStyle name="20% - Accent4 3 2 27" xfId="17093"/>
    <cellStyle name="20% - Accent4 3 2 27 2" xfId="39868"/>
    <cellStyle name="20% - Accent4 3 2 28" xfId="17749"/>
    <cellStyle name="20% - Accent4 3 2 28 2" xfId="40524"/>
    <cellStyle name="20% - Accent4 3 2 29" xfId="18405"/>
    <cellStyle name="20% - Accent4 3 2 29 2" xfId="41180"/>
    <cellStyle name="20% - Accent4 3 2 3" xfId="693"/>
    <cellStyle name="20% - Accent4 3 2 3 10" xfId="8237"/>
    <cellStyle name="20% - Accent4 3 2 3 10 2" xfId="31012"/>
    <cellStyle name="20% - Accent4 3 2 3 11" xfId="8893"/>
    <cellStyle name="20% - Accent4 3 2 3 11 2" xfId="31668"/>
    <cellStyle name="20% - Accent4 3 2 3 12" xfId="9549"/>
    <cellStyle name="20% - Accent4 3 2 3 12 2" xfId="32324"/>
    <cellStyle name="20% - Accent4 3 2 3 13" xfId="10205"/>
    <cellStyle name="20% - Accent4 3 2 3 13 2" xfId="32980"/>
    <cellStyle name="20% - Accent4 3 2 3 14" xfId="10861"/>
    <cellStyle name="20% - Accent4 3 2 3 14 2" xfId="33636"/>
    <cellStyle name="20% - Accent4 3 2 3 15" xfId="11517"/>
    <cellStyle name="20% - Accent4 3 2 3 15 2" xfId="34292"/>
    <cellStyle name="20% - Accent4 3 2 3 16" xfId="12173"/>
    <cellStyle name="20% - Accent4 3 2 3 16 2" xfId="34948"/>
    <cellStyle name="20% - Accent4 3 2 3 17" xfId="12829"/>
    <cellStyle name="20% - Accent4 3 2 3 17 2" xfId="35604"/>
    <cellStyle name="20% - Accent4 3 2 3 18" xfId="13485"/>
    <cellStyle name="20% - Accent4 3 2 3 18 2" xfId="36260"/>
    <cellStyle name="20% - Accent4 3 2 3 19" xfId="14141"/>
    <cellStyle name="20% - Accent4 3 2 3 19 2" xfId="36916"/>
    <cellStyle name="20% - Accent4 3 2 3 2" xfId="1349"/>
    <cellStyle name="20% - Accent4 3 2 3 2 2" xfId="3645"/>
    <cellStyle name="20% - Accent4 3 2 3 2 2 2" xfId="26420"/>
    <cellStyle name="20% - Accent4 3 2 3 2 3" xfId="24124"/>
    <cellStyle name="20% - Accent4 3 2 3 20" xfId="14797"/>
    <cellStyle name="20% - Accent4 3 2 3 20 2" xfId="37572"/>
    <cellStyle name="20% - Accent4 3 2 3 21" xfId="15453"/>
    <cellStyle name="20% - Accent4 3 2 3 21 2" xfId="38228"/>
    <cellStyle name="20% - Accent4 3 2 3 22" xfId="16109"/>
    <cellStyle name="20% - Accent4 3 2 3 22 2" xfId="38884"/>
    <cellStyle name="20% - Accent4 3 2 3 23" xfId="16765"/>
    <cellStyle name="20% - Accent4 3 2 3 23 2" xfId="39540"/>
    <cellStyle name="20% - Accent4 3 2 3 24" xfId="17421"/>
    <cellStyle name="20% - Accent4 3 2 3 24 2" xfId="40196"/>
    <cellStyle name="20% - Accent4 3 2 3 25" xfId="18077"/>
    <cellStyle name="20% - Accent4 3 2 3 25 2" xfId="40852"/>
    <cellStyle name="20% - Accent4 3 2 3 26" xfId="18733"/>
    <cellStyle name="20% - Accent4 3 2 3 26 2" xfId="41508"/>
    <cellStyle name="20% - Accent4 3 2 3 27" xfId="19389"/>
    <cellStyle name="20% - Accent4 3 2 3 27 2" xfId="42164"/>
    <cellStyle name="20% - Accent4 3 2 3 28" xfId="20045"/>
    <cellStyle name="20% - Accent4 3 2 3 28 2" xfId="42820"/>
    <cellStyle name="20% - Accent4 3 2 3 29" xfId="20701"/>
    <cellStyle name="20% - Accent4 3 2 3 29 2" xfId="43476"/>
    <cellStyle name="20% - Accent4 3 2 3 3" xfId="2005"/>
    <cellStyle name="20% - Accent4 3 2 3 3 2" xfId="4301"/>
    <cellStyle name="20% - Accent4 3 2 3 3 2 2" xfId="27076"/>
    <cellStyle name="20% - Accent4 3 2 3 3 3" xfId="24780"/>
    <cellStyle name="20% - Accent4 3 2 3 30" xfId="21357"/>
    <cellStyle name="20% - Accent4 3 2 3 30 2" xfId="44132"/>
    <cellStyle name="20% - Accent4 3 2 3 31" xfId="22013"/>
    <cellStyle name="20% - Accent4 3 2 3 31 2" xfId="44788"/>
    <cellStyle name="20% - Accent4 3 2 3 32" xfId="22669"/>
    <cellStyle name="20% - Accent4 3 2 3 32 2" xfId="45444"/>
    <cellStyle name="20% - Accent4 3 2 3 33" xfId="23468"/>
    <cellStyle name="20% - Accent4 3 2 3 4" xfId="4957"/>
    <cellStyle name="20% - Accent4 3 2 3 4 2" xfId="27732"/>
    <cellStyle name="20% - Accent4 3 2 3 5" xfId="5613"/>
    <cellStyle name="20% - Accent4 3 2 3 5 2" xfId="28388"/>
    <cellStyle name="20% - Accent4 3 2 3 6" xfId="6269"/>
    <cellStyle name="20% - Accent4 3 2 3 6 2" xfId="29044"/>
    <cellStyle name="20% - Accent4 3 2 3 7" xfId="2989"/>
    <cellStyle name="20% - Accent4 3 2 3 7 2" xfId="25764"/>
    <cellStyle name="20% - Accent4 3 2 3 8" xfId="6925"/>
    <cellStyle name="20% - Accent4 3 2 3 8 2" xfId="29700"/>
    <cellStyle name="20% - Accent4 3 2 3 9" xfId="7581"/>
    <cellStyle name="20% - Accent4 3 2 3 9 2" xfId="30356"/>
    <cellStyle name="20% - Accent4 3 2 30" xfId="19061"/>
    <cellStyle name="20% - Accent4 3 2 30 2" xfId="41836"/>
    <cellStyle name="20% - Accent4 3 2 31" xfId="19717"/>
    <cellStyle name="20% - Accent4 3 2 31 2" xfId="42492"/>
    <cellStyle name="20% - Accent4 3 2 32" xfId="20373"/>
    <cellStyle name="20% - Accent4 3 2 32 2" xfId="43148"/>
    <cellStyle name="20% - Accent4 3 2 33" xfId="21029"/>
    <cellStyle name="20% - Accent4 3 2 33 2" xfId="43804"/>
    <cellStyle name="20% - Accent4 3 2 34" xfId="21685"/>
    <cellStyle name="20% - Accent4 3 2 34 2" xfId="44460"/>
    <cellStyle name="20% - Accent4 3 2 35" xfId="22341"/>
    <cellStyle name="20% - Accent4 3 2 35 2" xfId="45116"/>
    <cellStyle name="20% - Accent4 3 2 36" xfId="22997"/>
    <cellStyle name="20% - Accent4 3 2 4" xfId="366"/>
    <cellStyle name="20% - Accent4 3 2 4 2" xfId="2661"/>
    <cellStyle name="20% - Accent4 3 2 4 2 2" xfId="25436"/>
    <cellStyle name="20% - Accent4 3 2 4 3" xfId="23140"/>
    <cellStyle name="20% - Accent4 3 2 5" xfId="1021"/>
    <cellStyle name="20% - Accent4 3 2 5 2" xfId="3317"/>
    <cellStyle name="20% - Accent4 3 2 5 2 2" xfId="26092"/>
    <cellStyle name="20% - Accent4 3 2 5 3" xfId="23796"/>
    <cellStyle name="20% - Accent4 3 2 6" xfId="1677"/>
    <cellStyle name="20% - Accent4 3 2 6 2" xfId="3973"/>
    <cellStyle name="20% - Accent4 3 2 6 2 2" xfId="26748"/>
    <cellStyle name="20% - Accent4 3 2 6 3" xfId="24452"/>
    <cellStyle name="20% - Accent4 3 2 7" xfId="4629"/>
    <cellStyle name="20% - Accent4 3 2 7 2" xfId="27404"/>
    <cellStyle name="20% - Accent4 3 2 8" xfId="5285"/>
    <cellStyle name="20% - Accent4 3 2 8 2" xfId="28060"/>
    <cellStyle name="20% - Accent4 3 2 9" xfId="5941"/>
    <cellStyle name="20% - Accent4 3 2 9 2" xfId="28716"/>
    <cellStyle name="20% - Accent4 3 20" xfId="11790"/>
    <cellStyle name="20% - Accent4 3 20 2" xfId="34565"/>
    <cellStyle name="20% - Accent4 3 21" xfId="12446"/>
    <cellStyle name="20% - Accent4 3 21 2" xfId="35221"/>
    <cellStyle name="20% - Accent4 3 22" xfId="13102"/>
    <cellStyle name="20% - Accent4 3 22 2" xfId="35877"/>
    <cellStyle name="20% - Accent4 3 23" xfId="13758"/>
    <cellStyle name="20% - Accent4 3 23 2" xfId="36533"/>
    <cellStyle name="20% - Accent4 3 24" xfId="14414"/>
    <cellStyle name="20% - Accent4 3 24 2" xfId="37189"/>
    <cellStyle name="20% - Accent4 3 25" xfId="15070"/>
    <cellStyle name="20% - Accent4 3 25 2" xfId="37845"/>
    <cellStyle name="20% - Accent4 3 26" xfId="15726"/>
    <cellStyle name="20% - Accent4 3 26 2" xfId="38501"/>
    <cellStyle name="20% - Accent4 3 27" xfId="16382"/>
    <cellStyle name="20% - Accent4 3 27 2" xfId="39157"/>
    <cellStyle name="20% - Accent4 3 28" xfId="17038"/>
    <cellStyle name="20% - Accent4 3 28 2" xfId="39813"/>
    <cellStyle name="20% - Accent4 3 29" xfId="17694"/>
    <cellStyle name="20% - Accent4 3 29 2" xfId="40469"/>
    <cellStyle name="20% - Accent4 3 3" xfId="495"/>
    <cellStyle name="20% - Accent4 3 3 10" xfId="6727"/>
    <cellStyle name="20% - Accent4 3 3 10 2" xfId="29502"/>
    <cellStyle name="20% - Accent4 3 3 11" xfId="7383"/>
    <cellStyle name="20% - Accent4 3 3 11 2" xfId="30158"/>
    <cellStyle name="20% - Accent4 3 3 12" xfId="8039"/>
    <cellStyle name="20% - Accent4 3 3 12 2" xfId="30814"/>
    <cellStyle name="20% - Accent4 3 3 13" xfId="8695"/>
    <cellStyle name="20% - Accent4 3 3 13 2" xfId="31470"/>
    <cellStyle name="20% - Accent4 3 3 14" xfId="9351"/>
    <cellStyle name="20% - Accent4 3 3 14 2" xfId="32126"/>
    <cellStyle name="20% - Accent4 3 3 15" xfId="10007"/>
    <cellStyle name="20% - Accent4 3 3 15 2" xfId="32782"/>
    <cellStyle name="20% - Accent4 3 3 16" xfId="10663"/>
    <cellStyle name="20% - Accent4 3 3 16 2" xfId="33438"/>
    <cellStyle name="20% - Accent4 3 3 17" xfId="11319"/>
    <cellStyle name="20% - Accent4 3 3 17 2" xfId="34094"/>
    <cellStyle name="20% - Accent4 3 3 18" xfId="11975"/>
    <cellStyle name="20% - Accent4 3 3 18 2" xfId="34750"/>
    <cellStyle name="20% - Accent4 3 3 19" xfId="12631"/>
    <cellStyle name="20% - Accent4 3 3 19 2" xfId="35406"/>
    <cellStyle name="20% - Accent4 3 3 2" xfId="823"/>
    <cellStyle name="20% - Accent4 3 3 2 10" xfId="8367"/>
    <cellStyle name="20% - Accent4 3 3 2 10 2" xfId="31142"/>
    <cellStyle name="20% - Accent4 3 3 2 11" xfId="9023"/>
    <cellStyle name="20% - Accent4 3 3 2 11 2" xfId="31798"/>
    <cellStyle name="20% - Accent4 3 3 2 12" xfId="9679"/>
    <cellStyle name="20% - Accent4 3 3 2 12 2" xfId="32454"/>
    <cellStyle name="20% - Accent4 3 3 2 13" xfId="10335"/>
    <cellStyle name="20% - Accent4 3 3 2 13 2" xfId="33110"/>
    <cellStyle name="20% - Accent4 3 3 2 14" xfId="10991"/>
    <cellStyle name="20% - Accent4 3 3 2 14 2" xfId="33766"/>
    <cellStyle name="20% - Accent4 3 3 2 15" xfId="11647"/>
    <cellStyle name="20% - Accent4 3 3 2 15 2" xfId="34422"/>
    <cellStyle name="20% - Accent4 3 3 2 16" xfId="12303"/>
    <cellStyle name="20% - Accent4 3 3 2 16 2" xfId="35078"/>
    <cellStyle name="20% - Accent4 3 3 2 17" xfId="12959"/>
    <cellStyle name="20% - Accent4 3 3 2 17 2" xfId="35734"/>
    <cellStyle name="20% - Accent4 3 3 2 18" xfId="13615"/>
    <cellStyle name="20% - Accent4 3 3 2 18 2" xfId="36390"/>
    <cellStyle name="20% - Accent4 3 3 2 19" xfId="14271"/>
    <cellStyle name="20% - Accent4 3 3 2 19 2" xfId="37046"/>
    <cellStyle name="20% - Accent4 3 3 2 2" xfId="1479"/>
    <cellStyle name="20% - Accent4 3 3 2 2 2" xfId="3775"/>
    <cellStyle name="20% - Accent4 3 3 2 2 2 2" xfId="26550"/>
    <cellStyle name="20% - Accent4 3 3 2 2 3" xfId="24254"/>
    <cellStyle name="20% - Accent4 3 3 2 20" xfId="14927"/>
    <cellStyle name="20% - Accent4 3 3 2 20 2" xfId="37702"/>
    <cellStyle name="20% - Accent4 3 3 2 21" xfId="15583"/>
    <cellStyle name="20% - Accent4 3 3 2 21 2" xfId="38358"/>
    <cellStyle name="20% - Accent4 3 3 2 22" xfId="16239"/>
    <cellStyle name="20% - Accent4 3 3 2 22 2" xfId="39014"/>
    <cellStyle name="20% - Accent4 3 3 2 23" xfId="16895"/>
    <cellStyle name="20% - Accent4 3 3 2 23 2" xfId="39670"/>
    <cellStyle name="20% - Accent4 3 3 2 24" xfId="17551"/>
    <cellStyle name="20% - Accent4 3 3 2 24 2" xfId="40326"/>
    <cellStyle name="20% - Accent4 3 3 2 25" xfId="18207"/>
    <cellStyle name="20% - Accent4 3 3 2 25 2" xfId="40982"/>
    <cellStyle name="20% - Accent4 3 3 2 26" xfId="18863"/>
    <cellStyle name="20% - Accent4 3 3 2 26 2" xfId="41638"/>
    <cellStyle name="20% - Accent4 3 3 2 27" xfId="19519"/>
    <cellStyle name="20% - Accent4 3 3 2 27 2" xfId="42294"/>
    <cellStyle name="20% - Accent4 3 3 2 28" xfId="20175"/>
    <cellStyle name="20% - Accent4 3 3 2 28 2" xfId="42950"/>
    <cellStyle name="20% - Accent4 3 3 2 29" xfId="20831"/>
    <cellStyle name="20% - Accent4 3 3 2 29 2" xfId="43606"/>
    <cellStyle name="20% - Accent4 3 3 2 3" xfId="2135"/>
    <cellStyle name="20% - Accent4 3 3 2 3 2" xfId="4431"/>
    <cellStyle name="20% - Accent4 3 3 2 3 2 2" xfId="27206"/>
    <cellStyle name="20% - Accent4 3 3 2 3 3" xfId="24910"/>
    <cellStyle name="20% - Accent4 3 3 2 30" xfId="21487"/>
    <cellStyle name="20% - Accent4 3 3 2 30 2" xfId="44262"/>
    <cellStyle name="20% - Accent4 3 3 2 31" xfId="22143"/>
    <cellStyle name="20% - Accent4 3 3 2 31 2" xfId="44918"/>
    <cellStyle name="20% - Accent4 3 3 2 32" xfId="22799"/>
    <cellStyle name="20% - Accent4 3 3 2 32 2" xfId="45574"/>
    <cellStyle name="20% - Accent4 3 3 2 33" xfId="23598"/>
    <cellStyle name="20% - Accent4 3 3 2 4" xfId="5087"/>
    <cellStyle name="20% - Accent4 3 3 2 4 2" xfId="27862"/>
    <cellStyle name="20% - Accent4 3 3 2 5" xfId="5743"/>
    <cellStyle name="20% - Accent4 3 3 2 5 2" xfId="28518"/>
    <cellStyle name="20% - Accent4 3 3 2 6" xfId="6399"/>
    <cellStyle name="20% - Accent4 3 3 2 6 2" xfId="29174"/>
    <cellStyle name="20% - Accent4 3 3 2 7" xfId="3119"/>
    <cellStyle name="20% - Accent4 3 3 2 7 2" xfId="25894"/>
    <cellStyle name="20% - Accent4 3 3 2 8" xfId="7055"/>
    <cellStyle name="20% - Accent4 3 3 2 8 2" xfId="29830"/>
    <cellStyle name="20% - Accent4 3 3 2 9" xfId="7711"/>
    <cellStyle name="20% - Accent4 3 3 2 9 2" xfId="30486"/>
    <cellStyle name="20% - Accent4 3 3 20" xfId="13287"/>
    <cellStyle name="20% - Accent4 3 3 20 2" xfId="36062"/>
    <cellStyle name="20% - Accent4 3 3 21" xfId="13943"/>
    <cellStyle name="20% - Accent4 3 3 21 2" xfId="36718"/>
    <cellStyle name="20% - Accent4 3 3 22" xfId="14599"/>
    <cellStyle name="20% - Accent4 3 3 22 2" xfId="37374"/>
    <cellStyle name="20% - Accent4 3 3 23" xfId="15255"/>
    <cellStyle name="20% - Accent4 3 3 23 2" xfId="38030"/>
    <cellStyle name="20% - Accent4 3 3 24" xfId="15911"/>
    <cellStyle name="20% - Accent4 3 3 24 2" xfId="38686"/>
    <cellStyle name="20% - Accent4 3 3 25" xfId="16567"/>
    <cellStyle name="20% - Accent4 3 3 25 2" xfId="39342"/>
    <cellStyle name="20% - Accent4 3 3 26" xfId="17223"/>
    <cellStyle name="20% - Accent4 3 3 26 2" xfId="39998"/>
    <cellStyle name="20% - Accent4 3 3 27" xfId="17879"/>
    <cellStyle name="20% - Accent4 3 3 27 2" xfId="40654"/>
    <cellStyle name="20% - Accent4 3 3 28" xfId="18535"/>
    <cellStyle name="20% - Accent4 3 3 28 2" xfId="41310"/>
    <cellStyle name="20% - Accent4 3 3 29" xfId="19191"/>
    <cellStyle name="20% - Accent4 3 3 29 2" xfId="41966"/>
    <cellStyle name="20% - Accent4 3 3 3" xfId="1151"/>
    <cellStyle name="20% - Accent4 3 3 3 2" xfId="2791"/>
    <cellStyle name="20% - Accent4 3 3 3 2 2" xfId="25566"/>
    <cellStyle name="20% - Accent4 3 3 3 3" xfId="23926"/>
    <cellStyle name="20% - Accent4 3 3 30" xfId="19847"/>
    <cellStyle name="20% - Accent4 3 3 30 2" xfId="42622"/>
    <cellStyle name="20% - Accent4 3 3 31" xfId="20503"/>
    <cellStyle name="20% - Accent4 3 3 31 2" xfId="43278"/>
    <cellStyle name="20% - Accent4 3 3 32" xfId="21159"/>
    <cellStyle name="20% - Accent4 3 3 32 2" xfId="43934"/>
    <cellStyle name="20% - Accent4 3 3 33" xfId="21815"/>
    <cellStyle name="20% - Accent4 3 3 33 2" xfId="44590"/>
    <cellStyle name="20% - Accent4 3 3 34" xfId="22471"/>
    <cellStyle name="20% - Accent4 3 3 34 2" xfId="45246"/>
    <cellStyle name="20% - Accent4 3 3 35" xfId="23270"/>
    <cellStyle name="20% - Accent4 3 3 4" xfId="1807"/>
    <cellStyle name="20% - Accent4 3 3 4 2" xfId="3447"/>
    <cellStyle name="20% - Accent4 3 3 4 2 2" xfId="26222"/>
    <cellStyle name="20% - Accent4 3 3 4 3" xfId="24582"/>
    <cellStyle name="20% - Accent4 3 3 5" xfId="4103"/>
    <cellStyle name="20% - Accent4 3 3 5 2" xfId="26878"/>
    <cellStyle name="20% - Accent4 3 3 6" xfId="4759"/>
    <cellStyle name="20% - Accent4 3 3 6 2" xfId="27534"/>
    <cellStyle name="20% - Accent4 3 3 7" xfId="5415"/>
    <cellStyle name="20% - Accent4 3 3 7 2" xfId="28190"/>
    <cellStyle name="20% - Accent4 3 3 8" xfId="6071"/>
    <cellStyle name="20% - Accent4 3 3 8 2" xfId="28846"/>
    <cellStyle name="20% - Accent4 3 3 9" xfId="2463"/>
    <cellStyle name="20% - Accent4 3 3 9 2" xfId="25238"/>
    <cellStyle name="20% - Accent4 3 30" xfId="18350"/>
    <cellStyle name="20% - Accent4 3 30 2" xfId="41125"/>
    <cellStyle name="20% - Accent4 3 31" xfId="19006"/>
    <cellStyle name="20% - Accent4 3 31 2" xfId="41781"/>
    <cellStyle name="20% - Accent4 3 32" xfId="19662"/>
    <cellStyle name="20% - Accent4 3 32 2" xfId="42437"/>
    <cellStyle name="20% - Accent4 3 33" xfId="20318"/>
    <cellStyle name="20% - Accent4 3 33 2" xfId="43093"/>
    <cellStyle name="20% - Accent4 3 34" xfId="20974"/>
    <cellStyle name="20% - Accent4 3 34 2" xfId="43749"/>
    <cellStyle name="20% - Accent4 3 35" xfId="21630"/>
    <cellStyle name="20% - Accent4 3 35 2" xfId="44405"/>
    <cellStyle name="20% - Accent4 3 36" xfId="22286"/>
    <cellStyle name="20% - Accent4 3 36 2" xfId="45061"/>
    <cellStyle name="20% - Accent4 3 37" xfId="225"/>
    <cellStyle name="20% - Accent4 3 38" xfId="22942"/>
    <cellStyle name="20% - Accent4 3 4" xfId="638"/>
    <cellStyle name="20% - Accent4 3 4 10" xfId="8182"/>
    <cellStyle name="20% - Accent4 3 4 10 2" xfId="30957"/>
    <cellStyle name="20% - Accent4 3 4 11" xfId="8838"/>
    <cellStyle name="20% - Accent4 3 4 11 2" xfId="31613"/>
    <cellStyle name="20% - Accent4 3 4 12" xfId="9494"/>
    <cellStyle name="20% - Accent4 3 4 12 2" xfId="32269"/>
    <cellStyle name="20% - Accent4 3 4 13" xfId="10150"/>
    <cellStyle name="20% - Accent4 3 4 13 2" xfId="32925"/>
    <cellStyle name="20% - Accent4 3 4 14" xfId="10806"/>
    <cellStyle name="20% - Accent4 3 4 14 2" xfId="33581"/>
    <cellStyle name="20% - Accent4 3 4 15" xfId="11462"/>
    <cellStyle name="20% - Accent4 3 4 15 2" xfId="34237"/>
    <cellStyle name="20% - Accent4 3 4 16" xfId="12118"/>
    <cellStyle name="20% - Accent4 3 4 16 2" xfId="34893"/>
    <cellStyle name="20% - Accent4 3 4 17" xfId="12774"/>
    <cellStyle name="20% - Accent4 3 4 17 2" xfId="35549"/>
    <cellStyle name="20% - Accent4 3 4 18" xfId="13430"/>
    <cellStyle name="20% - Accent4 3 4 18 2" xfId="36205"/>
    <cellStyle name="20% - Accent4 3 4 19" xfId="14086"/>
    <cellStyle name="20% - Accent4 3 4 19 2" xfId="36861"/>
    <cellStyle name="20% - Accent4 3 4 2" xfId="1294"/>
    <cellStyle name="20% - Accent4 3 4 2 2" xfId="3590"/>
    <cellStyle name="20% - Accent4 3 4 2 2 2" xfId="26365"/>
    <cellStyle name="20% - Accent4 3 4 2 3" xfId="24069"/>
    <cellStyle name="20% - Accent4 3 4 20" xfId="14742"/>
    <cellStyle name="20% - Accent4 3 4 20 2" xfId="37517"/>
    <cellStyle name="20% - Accent4 3 4 21" xfId="15398"/>
    <cellStyle name="20% - Accent4 3 4 21 2" xfId="38173"/>
    <cellStyle name="20% - Accent4 3 4 22" xfId="16054"/>
    <cellStyle name="20% - Accent4 3 4 22 2" xfId="38829"/>
    <cellStyle name="20% - Accent4 3 4 23" xfId="16710"/>
    <cellStyle name="20% - Accent4 3 4 23 2" xfId="39485"/>
    <cellStyle name="20% - Accent4 3 4 24" xfId="17366"/>
    <cellStyle name="20% - Accent4 3 4 24 2" xfId="40141"/>
    <cellStyle name="20% - Accent4 3 4 25" xfId="18022"/>
    <cellStyle name="20% - Accent4 3 4 25 2" xfId="40797"/>
    <cellStyle name="20% - Accent4 3 4 26" xfId="18678"/>
    <cellStyle name="20% - Accent4 3 4 26 2" xfId="41453"/>
    <cellStyle name="20% - Accent4 3 4 27" xfId="19334"/>
    <cellStyle name="20% - Accent4 3 4 27 2" xfId="42109"/>
    <cellStyle name="20% - Accent4 3 4 28" xfId="19990"/>
    <cellStyle name="20% - Accent4 3 4 28 2" xfId="42765"/>
    <cellStyle name="20% - Accent4 3 4 29" xfId="20646"/>
    <cellStyle name="20% - Accent4 3 4 29 2" xfId="43421"/>
    <cellStyle name="20% - Accent4 3 4 3" xfId="1950"/>
    <cellStyle name="20% - Accent4 3 4 3 2" xfId="4246"/>
    <cellStyle name="20% - Accent4 3 4 3 2 2" xfId="27021"/>
    <cellStyle name="20% - Accent4 3 4 3 3" xfId="24725"/>
    <cellStyle name="20% - Accent4 3 4 30" xfId="21302"/>
    <cellStyle name="20% - Accent4 3 4 30 2" xfId="44077"/>
    <cellStyle name="20% - Accent4 3 4 31" xfId="21958"/>
    <cellStyle name="20% - Accent4 3 4 31 2" xfId="44733"/>
    <cellStyle name="20% - Accent4 3 4 32" xfId="22614"/>
    <cellStyle name="20% - Accent4 3 4 32 2" xfId="45389"/>
    <cellStyle name="20% - Accent4 3 4 33" xfId="23413"/>
    <cellStyle name="20% - Accent4 3 4 4" xfId="4902"/>
    <cellStyle name="20% - Accent4 3 4 4 2" xfId="27677"/>
    <cellStyle name="20% - Accent4 3 4 5" xfId="5558"/>
    <cellStyle name="20% - Accent4 3 4 5 2" xfId="28333"/>
    <cellStyle name="20% - Accent4 3 4 6" xfId="6214"/>
    <cellStyle name="20% - Accent4 3 4 6 2" xfId="28989"/>
    <cellStyle name="20% - Accent4 3 4 7" xfId="2934"/>
    <cellStyle name="20% - Accent4 3 4 7 2" xfId="25709"/>
    <cellStyle name="20% - Accent4 3 4 8" xfId="6870"/>
    <cellStyle name="20% - Accent4 3 4 8 2" xfId="29645"/>
    <cellStyle name="20% - Accent4 3 4 9" xfId="7526"/>
    <cellStyle name="20% - Accent4 3 4 9 2" xfId="30301"/>
    <cellStyle name="20% - Accent4 3 5" xfId="311"/>
    <cellStyle name="20% - Accent4 3 5 2" xfId="2606"/>
    <cellStyle name="20% - Accent4 3 5 2 2" xfId="25381"/>
    <cellStyle name="20% - Accent4 3 5 3" xfId="23085"/>
    <cellStyle name="20% - Accent4 3 6" xfId="966"/>
    <cellStyle name="20% - Accent4 3 6 2" xfId="3262"/>
    <cellStyle name="20% - Accent4 3 6 2 2" xfId="26037"/>
    <cellStyle name="20% - Accent4 3 6 3" xfId="23741"/>
    <cellStyle name="20% - Accent4 3 7" xfId="1622"/>
    <cellStyle name="20% - Accent4 3 7 2" xfId="3918"/>
    <cellStyle name="20% - Accent4 3 7 2 2" xfId="26693"/>
    <cellStyle name="20% - Accent4 3 7 3" xfId="24397"/>
    <cellStyle name="20% - Accent4 3 8" xfId="4574"/>
    <cellStyle name="20% - Accent4 3 8 2" xfId="27349"/>
    <cellStyle name="20% - Accent4 3 9" xfId="5230"/>
    <cellStyle name="20% - Accent4 3 9 2" xfId="28005"/>
    <cellStyle name="20% - Accent4 30" xfId="13727"/>
    <cellStyle name="20% - Accent4 30 2" xfId="36502"/>
    <cellStyle name="20% - Accent4 31" xfId="14383"/>
    <cellStyle name="20% - Accent4 31 2" xfId="37158"/>
    <cellStyle name="20% - Accent4 32" xfId="15039"/>
    <cellStyle name="20% - Accent4 32 2" xfId="37814"/>
    <cellStyle name="20% - Accent4 33" xfId="15695"/>
    <cellStyle name="20% - Accent4 33 2" xfId="38470"/>
    <cellStyle name="20% - Accent4 34" xfId="16351"/>
    <cellStyle name="20% - Accent4 34 2" xfId="39126"/>
    <cellStyle name="20% - Accent4 35" xfId="17007"/>
    <cellStyle name="20% - Accent4 35 2" xfId="39782"/>
    <cellStyle name="20% - Accent4 36" xfId="17663"/>
    <cellStyle name="20% - Accent4 36 2" xfId="40438"/>
    <cellStyle name="20% - Accent4 37" xfId="18319"/>
    <cellStyle name="20% - Accent4 37 2" xfId="41094"/>
    <cellStyle name="20% - Accent4 38" xfId="18975"/>
    <cellStyle name="20% - Accent4 38 2" xfId="41750"/>
    <cellStyle name="20% - Accent4 39" xfId="19631"/>
    <cellStyle name="20% - Accent4 39 2" xfId="42406"/>
    <cellStyle name="20% - Accent4 4" xfId="94"/>
    <cellStyle name="20% - Accent4 4 10" xfId="5900"/>
    <cellStyle name="20% - Accent4 4 10 2" xfId="28675"/>
    <cellStyle name="20% - Accent4 4 11" xfId="2292"/>
    <cellStyle name="20% - Accent4 4 11 2" xfId="25067"/>
    <cellStyle name="20% - Accent4 4 12" xfId="6556"/>
    <cellStyle name="20% - Accent4 4 12 2" xfId="29331"/>
    <cellStyle name="20% - Accent4 4 13" xfId="7212"/>
    <cellStyle name="20% - Accent4 4 13 2" xfId="29987"/>
    <cellStyle name="20% - Accent4 4 14" xfId="7868"/>
    <cellStyle name="20% - Accent4 4 14 2" xfId="30643"/>
    <cellStyle name="20% - Accent4 4 15" xfId="8524"/>
    <cellStyle name="20% - Accent4 4 15 2" xfId="31299"/>
    <cellStyle name="20% - Accent4 4 16" xfId="9180"/>
    <cellStyle name="20% - Accent4 4 16 2" xfId="31955"/>
    <cellStyle name="20% - Accent4 4 17" xfId="9836"/>
    <cellStyle name="20% - Accent4 4 17 2" xfId="32611"/>
    <cellStyle name="20% - Accent4 4 18" xfId="10492"/>
    <cellStyle name="20% - Accent4 4 18 2" xfId="33267"/>
    <cellStyle name="20% - Accent4 4 19" xfId="11148"/>
    <cellStyle name="20% - Accent4 4 19 2" xfId="33923"/>
    <cellStyle name="20% - Accent4 4 2" xfId="165"/>
    <cellStyle name="20% - Accent4 4 2 10" xfId="2363"/>
    <cellStyle name="20% - Accent4 4 2 10 2" xfId="25138"/>
    <cellStyle name="20% - Accent4 4 2 11" xfId="6627"/>
    <cellStyle name="20% - Accent4 4 2 11 2" xfId="29402"/>
    <cellStyle name="20% - Accent4 4 2 12" xfId="7283"/>
    <cellStyle name="20% - Accent4 4 2 12 2" xfId="30058"/>
    <cellStyle name="20% - Accent4 4 2 13" xfId="7939"/>
    <cellStyle name="20% - Accent4 4 2 13 2" xfId="30714"/>
    <cellStyle name="20% - Accent4 4 2 14" xfId="8595"/>
    <cellStyle name="20% - Accent4 4 2 14 2" xfId="31370"/>
    <cellStyle name="20% - Accent4 4 2 15" xfId="9251"/>
    <cellStyle name="20% - Accent4 4 2 15 2" xfId="32026"/>
    <cellStyle name="20% - Accent4 4 2 16" xfId="9907"/>
    <cellStyle name="20% - Accent4 4 2 16 2" xfId="32682"/>
    <cellStyle name="20% - Accent4 4 2 17" xfId="10563"/>
    <cellStyle name="20% - Accent4 4 2 17 2" xfId="33338"/>
    <cellStyle name="20% - Accent4 4 2 18" xfId="11219"/>
    <cellStyle name="20% - Accent4 4 2 18 2" xfId="33994"/>
    <cellStyle name="20% - Accent4 4 2 19" xfId="11875"/>
    <cellStyle name="20% - Accent4 4 2 19 2" xfId="34650"/>
    <cellStyle name="20% - Accent4 4 2 2" xfId="579"/>
    <cellStyle name="20% - Accent4 4 2 2 10" xfId="6812"/>
    <cellStyle name="20% - Accent4 4 2 2 10 2" xfId="29587"/>
    <cellStyle name="20% - Accent4 4 2 2 11" xfId="7468"/>
    <cellStyle name="20% - Accent4 4 2 2 11 2" xfId="30243"/>
    <cellStyle name="20% - Accent4 4 2 2 12" xfId="8124"/>
    <cellStyle name="20% - Accent4 4 2 2 12 2" xfId="30899"/>
    <cellStyle name="20% - Accent4 4 2 2 13" xfId="8780"/>
    <cellStyle name="20% - Accent4 4 2 2 13 2" xfId="31555"/>
    <cellStyle name="20% - Accent4 4 2 2 14" xfId="9436"/>
    <cellStyle name="20% - Accent4 4 2 2 14 2" xfId="32211"/>
    <cellStyle name="20% - Accent4 4 2 2 15" xfId="10092"/>
    <cellStyle name="20% - Accent4 4 2 2 15 2" xfId="32867"/>
    <cellStyle name="20% - Accent4 4 2 2 16" xfId="10748"/>
    <cellStyle name="20% - Accent4 4 2 2 16 2" xfId="33523"/>
    <cellStyle name="20% - Accent4 4 2 2 17" xfId="11404"/>
    <cellStyle name="20% - Accent4 4 2 2 17 2" xfId="34179"/>
    <cellStyle name="20% - Accent4 4 2 2 18" xfId="12060"/>
    <cellStyle name="20% - Accent4 4 2 2 18 2" xfId="34835"/>
    <cellStyle name="20% - Accent4 4 2 2 19" xfId="12716"/>
    <cellStyle name="20% - Accent4 4 2 2 19 2" xfId="35491"/>
    <cellStyle name="20% - Accent4 4 2 2 2" xfId="908"/>
    <cellStyle name="20% - Accent4 4 2 2 2 10" xfId="8452"/>
    <cellStyle name="20% - Accent4 4 2 2 2 10 2" xfId="31227"/>
    <cellStyle name="20% - Accent4 4 2 2 2 11" xfId="9108"/>
    <cellStyle name="20% - Accent4 4 2 2 2 11 2" xfId="31883"/>
    <cellStyle name="20% - Accent4 4 2 2 2 12" xfId="9764"/>
    <cellStyle name="20% - Accent4 4 2 2 2 12 2" xfId="32539"/>
    <cellStyle name="20% - Accent4 4 2 2 2 13" xfId="10420"/>
    <cellStyle name="20% - Accent4 4 2 2 2 13 2" xfId="33195"/>
    <cellStyle name="20% - Accent4 4 2 2 2 14" xfId="11076"/>
    <cellStyle name="20% - Accent4 4 2 2 2 14 2" xfId="33851"/>
    <cellStyle name="20% - Accent4 4 2 2 2 15" xfId="11732"/>
    <cellStyle name="20% - Accent4 4 2 2 2 15 2" xfId="34507"/>
    <cellStyle name="20% - Accent4 4 2 2 2 16" xfId="12388"/>
    <cellStyle name="20% - Accent4 4 2 2 2 16 2" xfId="35163"/>
    <cellStyle name="20% - Accent4 4 2 2 2 17" xfId="13044"/>
    <cellStyle name="20% - Accent4 4 2 2 2 17 2" xfId="35819"/>
    <cellStyle name="20% - Accent4 4 2 2 2 18" xfId="13700"/>
    <cellStyle name="20% - Accent4 4 2 2 2 18 2" xfId="36475"/>
    <cellStyle name="20% - Accent4 4 2 2 2 19" xfId="14356"/>
    <cellStyle name="20% - Accent4 4 2 2 2 19 2" xfId="37131"/>
    <cellStyle name="20% - Accent4 4 2 2 2 2" xfId="1564"/>
    <cellStyle name="20% - Accent4 4 2 2 2 2 2" xfId="3860"/>
    <cellStyle name="20% - Accent4 4 2 2 2 2 2 2" xfId="26635"/>
    <cellStyle name="20% - Accent4 4 2 2 2 2 3" xfId="24339"/>
    <cellStyle name="20% - Accent4 4 2 2 2 20" xfId="15012"/>
    <cellStyle name="20% - Accent4 4 2 2 2 20 2" xfId="37787"/>
    <cellStyle name="20% - Accent4 4 2 2 2 21" xfId="15668"/>
    <cellStyle name="20% - Accent4 4 2 2 2 21 2" xfId="38443"/>
    <cellStyle name="20% - Accent4 4 2 2 2 22" xfId="16324"/>
    <cellStyle name="20% - Accent4 4 2 2 2 22 2" xfId="39099"/>
    <cellStyle name="20% - Accent4 4 2 2 2 23" xfId="16980"/>
    <cellStyle name="20% - Accent4 4 2 2 2 23 2" xfId="39755"/>
    <cellStyle name="20% - Accent4 4 2 2 2 24" xfId="17636"/>
    <cellStyle name="20% - Accent4 4 2 2 2 24 2" xfId="40411"/>
    <cellStyle name="20% - Accent4 4 2 2 2 25" xfId="18292"/>
    <cellStyle name="20% - Accent4 4 2 2 2 25 2" xfId="41067"/>
    <cellStyle name="20% - Accent4 4 2 2 2 26" xfId="18948"/>
    <cellStyle name="20% - Accent4 4 2 2 2 26 2" xfId="41723"/>
    <cellStyle name="20% - Accent4 4 2 2 2 27" xfId="19604"/>
    <cellStyle name="20% - Accent4 4 2 2 2 27 2" xfId="42379"/>
    <cellStyle name="20% - Accent4 4 2 2 2 28" xfId="20260"/>
    <cellStyle name="20% - Accent4 4 2 2 2 28 2" xfId="43035"/>
    <cellStyle name="20% - Accent4 4 2 2 2 29" xfId="20916"/>
    <cellStyle name="20% - Accent4 4 2 2 2 29 2" xfId="43691"/>
    <cellStyle name="20% - Accent4 4 2 2 2 3" xfId="2220"/>
    <cellStyle name="20% - Accent4 4 2 2 2 3 2" xfId="4516"/>
    <cellStyle name="20% - Accent4 4 2 2 2 3 2 2" xfId="27291"/>
    <cellStyle name="20% - Accent4 4 2 2 2 3 3" xfId="24995"/>
    <cellStyle name="20% - Accent4 4 2 2 2 30" xfId="21572"/>
    <cellStyle name="20% - Accent4 4 2 2 2 30 2" xfId="44347"/>
    <cellStyle name="20% - Accent4 4 2 2 2 31" xfId="22228"/>
    <cellStyle name="20% - Accent4 4 2 2 2 31 2" xfId="45003"/>
    <cellStyle name="20% - Accent4 4 2 2 2 32" xfId="22884"/>
    <cellStyle name="20% - Accent4 4 2 2 2 32 2" xfId="45659"/>
    <cellStyle name="20% - Accent4 4 2 2 2 33" xfId="23683"/>
    <cellStyle name="20% - Accent4 4 2 2 2 4" xfId="5172"/>
    <cellStyle name="20% - Accent4 4 2 2 2 4 2" xfId="27947"/>
    <cellStyle name="20% - Accent4 4 2 2 2 5" xfId="5828"/>
    <cellStyle name="20% - Accent4 4 2 2 2 5 2" xfId="28603"/>
    <cellStyle name="20% - Accent4 4 2 2 2 6" xfId="6484"/>
    <cellStyle name="20% - Accent4 4 2 2 2 6 2" xfId="29259"/>
    <cellStyle name="20% - Accent4 4 2 2 2 7" xfId="3204"/>
    <cellStyle name="20% - Accent4 4 2 2 2 7 2" xfId="25979"/>
    <cellStyle name="20% - Accent4 4 2 2 2 8" xfId="7140"/>
    <cellStyle name="20% - Accent4 4 2 2 2 8 2" xfId="29915"/>
    <cellStyle name="20% - Accent4 4 2 2 2 9" xfId="7796"/>
    <cellStyle name="20% - Accent4 4 2 2 2 9 2" xfId="30571"/>
    <cellStyle name="20% - Accent4 4 2 2 20" xfId="13372"/>
    <cellStyle name="20% - Accent4 4 2 2 20 2" xfId="36147"/>
    <cellStyle name="20% - Accent4 4 2 2 21" xfId="14028"/>
    <cellStyle name="20% - Accent4 4 2 2 21 2" xfId="36803"/>
    <cellStyle name="20% - Accent4 4 2 2 22" xfId="14684"/>
    <cellStyle name="20% - Accent4 4 2 2 22 2" xfId="37459"/>
    <cellStyle name="20% - Accent4 4 2 2 23" xfId="15340"/>
    <cellStyle name="20% - Accent4 4 2 2 23 2" xfId="38115"/>
    <cellStyle name="20% - Accent4 4 2 2 24" xfId="15996"/>
    <cellStyle name="20% - Accent4 4 2 2 24 2" xfId="38771"/>
    <cellStyle name="20% - Accent4 4 2 2 25" xfId="16652"/>
    <cellStyle name="20% - Accent4 4 2 2 25 2" xfId="39427"/>
    <cellStyle name="20% - Accent4 4 2 2 26" xfId="17308"/>
    <cellStyle name="20% - Accent4 4 2 2 26 2" xfId="40083"/>
    <cellStyle name="20% - Accent4 4 2 2 27" xfId="17964"/>
    <cellStyle name="20% - Accent4 4 2 2 27 2" xfId="40739"/>
    <cellStyle name="20% - Accent4 4 2 2 28" xfId="18620"/>
    <cellStyle name="20% - Accent4 4 2 2 28 2" xfId="41395"/>
    <cellStyle name="20% - Accent4 4 2 2 29" xfId="19276"/>
    <cellStyle name="20% - Accent4 4 2 2 29 2" xfId="42051"/>
    <cellStyle name="20% - Accent4 4 2 2 3" xfId="1236"/>
    <cellStyle name="20% - Accent4 4 2 2 3 2" xfId="2876"/>
    <cellStyle name="20% - Accent4 4 2 2 3 2 2" xfId="25651"/>
    <cellStyle name="20% - Accent4 4 2 2 3 3" xfId="24011"/>
    <cellStyle name="20% - Accent4 4 2 2 30" xfId="19932"/>
    <cellStyle name="20% - Accent4 4 2 2 30 2" xfId="42707"/>
    <cellStyle name="20% - Accent4 4 2 2 31" xfId="20588"/>
    <cellStyle name="20% - Accent4 4 2 2 31 2" xfId="43363"/>
    <cellStyle name="20% - Accent4 4 2 2 32" xfId="21244"/>
    <cellStyle name="20% - Accent4 4 2 2 32 2" xfId="44019"/>
    <cellStyle name="20% - Accent4 4 2 2 33" xfId="21900"/>
    <cellStyle name="20% - Accent4 4 2 2 33 2" xfId="44675"/>
    <cellStyle name="20% - Accent4 4 2 2 34" xfId="22556"/>
    <cellStyle name="20% - Accent4 4 2 2 34 2" xfId="45331"/>
    <cellStyle name="20% - Accent4 4 2 2 35" xfId="23355"/>
    <cellStyle name="20% - Accent4 4 2 2 4" xfId="1892"/>
    <cellStyle name="20% - Accent4 4 2 2 4 2" xfId="3532"/>
    <cellStyle name="20% - Accent4 4 2 2 4 2 2" xfId="26307"/>
    <cellStyle name="20% - Accent4 4 2 2 4 3" xfId="24667"/>
    <cellStyle name="20% - Accent4 4 2 2 5" xfId="4188"/>
    <cellStyle name="20% - Accent4 4 2 2 5 2" xfId="26963"/>
    <cellStyle name="20% - Accent4 4 2 2 6" xfId="4844"/>
    <cellStyle name="20% - Accent4 4 2 2 6 2" xfId="27619"/>
    <cellStyle name="20% - Accent4 4 2 2 7" xfId="5500"/>
    <cellStyle name="20% - Accent4 4 2 2 7 2" xfId="28275"/>
    <cellStyle name="20% - Accent4 4 2 2 8" xfId="6156"/>
    <cellStyle name="20% - Accent4 4 2 2 8 2" xfId="28931"/>
    <cellStyle name="20% - Accent4 4 2 2 9" xfId="2548"/>
    <cellStyle name="20% - Accent4 4 2 2 9 2" xfId="25323"/>
    <cellStyle name="20% - Accent4 4 2 20" xfId="12531"/>
    <cellStyle name="20% - Accent4 4 2 20 2" xfId="35306"/>
    <cellStyle name="20% - Accent4 4 2 21" xfId="13187"/>
    <cellStyle name="20% - Accent4 4 2 21 2" xfId="35962"/>
    <cellStyle name="20% - Accent4 4 2 22" xfId="13843"/>
    <cellStyle name="20% - Accent4 4 2 22 2" xfId="36618"/>
    <cellStyle name="20% - Accent4 4 2 23" xfId="14499"/>
    <cellStyle name="20% - Accent4 4 2 23 2" xfId="37274"/>
    <cellStyle name="20% - Accent4 4 2 24" xfId="15155"/>
    <cellStyle name="20% - Accent4 4 2 24 2" xfId="37930"/>
    <cellStyle name="20% - Accent4 4 2 25" xfId="15811"/>
    <cellStyle name="20% - Accent4 4 2 25 2" xfId="38586"/>
    <cellStyle name="20% - Accent4 4 2 26" xfId="16467"/>
    <cellStyle name="20% - Accent4 4 2 26 2" xfId="39242"/>
    <cellStyle name="20% - Accent4 4 2 27" xfId="17123"/>
    <cellStyle name="20% - Accent4 4 2 27 2" xfId="39898"/>
    <cellStyle name="20% - Accent4 4 2 28" xfId="17779"/>
    <cellStyle name="20% - Accent4 4 2 28 2" xfId="40554"/>
    <cellStyle name="20% - Accent4 4 2 29" xfId="18435"/>
    <cellStyle name="20% - Accent4 4 2 29 2" xfId="41210"/>
    <cellStyle name="20% - Accent4 4 2 3" xfId="723"/>
    <cellStyle name="20% - Accent4 4 2 3 10" xfId="8267"/>
    <cellStyle name="20% - Accent4 4 2 3 10 2" xfId="31042"/>
    <cellStyle name="20% - Accent4 4 2 3 11" xfId="8923"/>
    <cellStyle name="20% - Accent4 4 2 3 11 2" xfId="31698"/>
    <cellStyle name="20% - Accent4 4 2 3 12" xfId="9579"/>
    <cellStyle name="20% - Accent4 4 2 3 12 2" xfId="32354"/>
    <cellStyle name="20% - Accent4 4 2 3 13" xfId="10235"/>
    <cellStyle name="20% - Accent4 4 2 3 13 2" xfId="33010"/>
    <cellStyle name="20% - Accent4 4 2 3 14" xfId="10891"/>
    <cellStyle name="20% - Accent4 4 2 3 14 2" xfId="33666"/>
    <cellStyle name="20% - Accent4 4 2 3 15" xfId="11547"/>
    <cellStyle name="20% - Accent4 4 2 3 15 2" xfId="34322"/>
    <cellStyle name="20% - Accent4 4 2 3 16" xfId="12203"/>
    <cellStyle name="20% - Accent4 4 2 3 16 2" xfId="34978"/>
    <cellStyle name="20% - Accent4 4 2 3 17" xfId="12859"/>
    <cellStyle name="20% - Accent4 4 2 3 17 2" xfId="35634"/>
    <cellStyle name="20% - Accent4 4 2 3 18" xfId="13515"/>
    <cellStyle name="20% - Accent4 4 2 3 18 2" xfId="36290"/>
    <cellStyle name="20% - Accent4 4 2 3 19" xfId="14171"/>
    <cellStyle name="20% - Accent4 4 2 3 19 2" xfId="36946"/>
    <cellStyle name="20% - Accent4 4 2 3 2" xfId="1379"/>
    <cellStyle name="20% - Accent4 4 2 3 2 2" xfId="3675"/>
    <cellStyle name="20% - Accent4 4 2 3 2 2 2" xfId="26450"/>
    <cellStyle name="20% - Accent4 4 2 3 2 3" xfId="24154"/>
    <cellStyle name="20% - Accent4 4 2 3 20" xfId="14827"/>
    <cellStyle name="20% - Accent4 4 2 3 20 2" xfId="37602"/>
    <cellStyle name="20% - Accent4 4 2 3 21" xfId="15483"/>
    <cellStyle name="20% - Accent4 4 2 3 21 2" xfId="38258"/>
    <cellStyle name="20% - Accent4 4 2 3 22" xfId="16139"/>
    <cellStyle name="20% - Accent4 4 2 3 22 2" xfId="38914"/>
    <cellStyle name="20% - Accent4 4 2 3 23" xfId="16795"/>
    <cellStyle name="20% - Accent4 4 2 3 23 2" xfId="39570"/>
    <cellStyle name="20% - Accent4 4 2 3 24" xfId="17451"/>
    <cellStyle name="20% - Accent4 4 2 3 24 2" xfId="40226"/>
    <cellStyle name="20% - Accent4 4 2 3 25" xfId="18107"/>
    <cellStyle name="20% - Accent4 4 2 3 25 2" xfId="40882"/>
    <cellStyle name="20% - Accent4 4 2 3 26" xfId="18763"/>
    <cellStyle name="20% - Accent4 4 2 3 26 2" xfId="41538"/>
    <cellStyle name="20% - Accent4 4 2 3 27" xfId="19419"/>
    <cellStyle name="20% - Accent4 4 2 3 27 2" xfId="42194"/>
    <cellStyle name="20% - Accent4 4 2 3 28" xfId="20075"/>
    <cellStyle name="20% - Accent4 4 2 3 28 2" xfId="42850"/>
    <cellStyle name="20% - Accent4 4 2 3 29" xfId="20731"/>
    <cellStyle name="20% - Accent4 4 2 3 29 2" xfId="43506"/>
    <cellStyle name="20% - Accent4 4 2 3 3" xfId="2035"/>
    <cellStyle name="20% - Accent4 4 2 3 3 2" xfId="4331"/>
    <cellStyle name="20% - Accent4 4 2 3 3 2 2" xfId="27106"/>
    <cellStyle name="20% - Accent4 4 2 3 3 3" xfId="24810"/>
    <cellStyle name="20% - Accent4 4 2 3 30" xfId="21387"/>
    <cellStyle name="20% - Accent4 4 2 3 30 2" xfId="44162"/>
    <cellStyle name="20% - Accent4 4 2 3 31" xfId="22043"/>
    <cellStyle name="20% - Accent4 4 2 3 31 2" xfId="44818"/>
    <cellStyle name="20% - Accent4 4 2 3 32" xfId="22699"/>
    <cellStyle name="20% - Accent4 4 2 3 32 2" xfId="45474"/>
    <cellStyle name="20% - Accent4 4 2 3 33" xfId="23498"/>
    <cellStyle name="20% - Accent4 4 2 3 4" xfId="4987"/>
    <cellStyle name="20% - Accent4 4 2 3 4 2" xfId="27762"/>
    <cellStyle name="20% - Accent4 4 2 3 5" xfId="5643"/>
    <cellStyle name="20% - Accent4 4 2 3 5 2" xfId="28418"/>
    <cellStyle name="20% - Accent4 4 2 3 6" xfId="6299"/>
    <cellStyle name="20% - Accent4 4 2 3 6 2" xfId="29074"/>
    <cellStyle name="20% - Accent4 4 2 3 7" xfId="3019"/>
    <cellStyle name="20% - Accent4 4 2 3 7 2" xfId="25794"/>
    <cellStyle name="20% - Accent4 4 2 3 8" xfId="6955"/>
    <cellStyle name="20% - Accent4 4 2 3 8 2" xfId="29730"/>
    <cellStyle name="20% - Accent4 4 2 3 9" xfId="7611"/>
    <cellStyle name="20% - Accent4 4 2 3 9 2" xfId="30386"/>
    <cellStyle name="20% - Accent4 4 2 30" xfId="19091"/>
    <cellStyle name="20% - Accent4 4 2 30 2" xfId="41866"/>
    <cellStyle name="20% - Accent4 4 2 31" xfId="19747"/>
    <cellStyle name="20% - Accent4 4 2 31 2" xfId="42522"/>
    <cellStyle name="20% - Accent4 4 2 32" xfId="20403"/>
    <cellStyle name="20% - Accent4 4 2 32 2" xfId="43178"/>
    <cellStyle name="20% - Accent4 4 2 33" xfId="21059"/>
    <cellStyle name="20% - Accent4 4 2 33 2" xfId="43834"/>
    <cellStyle name="20% - Accent4 4 2 34" xfId="21715"/>
    <cellStyle name="20% - Accent4 4 2 34 2" xfId="44490"/>
    <cellStyle name="20% - Accent4 4 2 35" xfId="22371"/>
    <cellStyle name="20% - Accent4 4 2 35 2" xfId="45146"/>
    <cellStyle name="20% - Accent4 4 2 36" xfId="23027"/>
    <cellStyle name="20% - Accent4 4 2 4" xfId="396"/>
    <cellStyle name="20% - Accent4 4 2 4 2" xfId="2691"/>
    <cellStyle name="20% - Accent4 4 2 4 2 2" xfId="25466"/>
    <cellStyle name="20% - Accent4 4 2 4 3" xfId="23170"/>
    <cellStyle name="20% - Accent4 4 2 5" xfId="1051"/>
    <cellStyle name="20% - Accent4 4 2 5 2" xfId="3347"/>
    <cellStyle name="20% - Accent4 4 2 5 2 2" xfId="26122"/>
    <cellStyle name="20% - Accent4 4 2 5 3" xfId="23826"/>
    <cellStyle name="20% - Accent4 4 2 6" xfId="1707"/>
    <cellStyle name="20% - Accent4 4 2 6 2" xfId="4003"/>
    <cellStyle name="20% - Accent4 4 2 6 2 2" xfId="26778"/>
    <cellStyle name="20% - Accent4 4 2 6 3" xfId="24482"/>
    <cellStyle name="20% - Accent4 4 2 7" xfId="4659"/>
    <cellStyle name="20% - Accent4 4 2 7 2" xfId="27434"/>
    <cellStyle name="20% - Accent4 4 2 8" xfId="5315"/>
    <cellStyle name="20% - Accent4 4 2 8 2" xfId="28090"/>
    <cellStyle name="20% - Accent4 4 2 9" xfId="5971"/>
    <cellStyle name="20% - Accent4 4 2 9 2" xfId="28746"/>
    <cellStyle name="20% - Accent4 4 20" xfId="11804"/>
    <cellStyle name="20% - Accent4 4 20 2" xfId="34579"/>
    <cellStyle name="20% - Accent4 4 21" xfId="12460"/>
    <cellStyle name="20% - Accent4 4 21 2" xfId="35235"/>
    <cellStyle name="20% - Accent4 4 22" xfId="13116"/>
    <cellStyle name="20% - Accent4 4 22 2" xfId="35891"/>
    <cellStyle name="20% - Accent4 4 23" xfId="13772"/>
    <cellStyle name="20% - Accent4 4 23 2" xfId="36547"/>
    <cellStyle name="20% - Accent4 4 24" xfId="14428"/>
    <cellStyle name="20% - Accent4 4 24 2" xfId="37203"/>
    <cellStyle name="20% - Accent4 4 25" xfId="15084"/>
    <cellStyle name="20% - Accent4 4 25 2" xfId="37859"/>
    <cellStyle name="20% - Accent4 4 26" xfId="15740"/>
    <cellStyle name="20% - Accent4 4 26 2" xfId="38515"/>
    <cellStyle name="20% - Accent4 4 27" xfId="16396"/>
    <cellStyle name="20% - Accent4 4 27 2" xfId="39171"/>
    <cellStyle name="20% - Accent4 4 28" xfId="17052"/>
    <cellStyle name="20% - Accent4 4 28 2" xfId="39827"/>
    <cellStyle name="20% - Accent4 4 29" xfId="17708"/>
    <cellStyle name="20% - Accent4 4 29 2" xfId="40483"/>
    <cellStyle name="20% - Accent4 4 3" xfId="509"/>
    <cellStyle name="20% - Accent4 4 3 10" xfId="6741"/>
    <cellStyle name="20% - Accent4 4 3 10 2" xfId="29516"/>
    <cellStyle name="20% - Accent4 4 3 11" xfId="7397"/>
    <cellStyle name="20% - Accent4 4 3 11 2" xfId="30172"/>
    <cellStyle name="20% - Accent4 4 3 12" xfId="8053"/>
    <cellStyle name="20% - Accent4 4 3 12 2" xfId="30828"/>
    <cellStyle name="20% - Accent4 4 3 13" xfId="8709"/>
    <cellStyle name="20% - Accent4 4 3 13 2" xfId="31484"/>
    <cellStyle name="20% - Accent4 4 3 14" xfId="9365"/>
    <cellStyle name="20% - Accent4 4 3 14 2" xfId="32140"/>
    <cellStyle name="20% - Accent4 4 3 15" xfId="10021"/>
    <cellStyle name="20% - Accent4 4 3 15 2" xfId="32796"/>
    <cellStyle name="20% - Accent4 4 3 16" xfId="10677"/>
    <cellStyle name="20% - Accent4 4 3 16 2" xfId="33452"/>
    <cellStyle name="20% - Accent4 4 3 17" xfId="11333"/>
    <cellStyle name="20% - Accent4 4 3 17 2" xfId="34108"/>
    <cellStyle name="20% - Accent4 4 3 18" xfId="11989"/>
    <cellStyle name="20% - Accent4 4 3 18 2" xfId="34764"/>
    <cellStyle name="20% - Accent4 4 3 19" xfId="12645"/>
    <cellStyle name="20% - Accent4 4 3 19 2" xfId="35420"/>
    <cellStyle name="20% - Accent4 4 3 2" xfId="837"/>
    <cellStyle name="20% - Accent4 4 3 2 10" xfId="8381"/>
    <cellStyle name="20% - Accent4 4 3 2 10 2" xfId="31156"/>
    <cellStyle name="20% - Accent4 4 3 2 11" xfId="9037"/>
    <cellStyle name="20% - Accent4 4 3 2 11 2" xfId="31812"/>
    <cellStyle name="20% - Accent4 4 3 2 12" xfId="9693"/>
    <cellStyle name="20% - Accent4 4 3 2 12 2" xfId="32468"/>
    <cellStyle name="20% - Accent4 4 3 2 13" xfId="10349"/>
    <cellStyle name="20% - Accent4 4 3 2 13 2" xfId="33124"/>
    <cellStyle name="20% - Accent4 4 3 2 14" xfId="11005"/>
    <cellStyle name="20% - Accent4 4 3 2 14 2" xfId="33780"/>
    <cellStyle name="20% - Accent4 4 3 2 15" xfId="11661"/>
    <cellStyle name="20% - Accent4 4 3 2 15 2" xfId="34436"/>
    <cellStyle name="20% - Accent4 4 3 2 16" xfId="12317"/>
    <cellStyle name="20% - Accent4 4 3 2 16 2" xfId="35092"/>
    <cellStyle name="20% - Accent4 4 3 2 17" xfId="12973"/>
    <cellStyle name="20% - Accent4 4 3 2 17 2" xfId="35748"/>
    <cellStyle name="20% - Accent4 4 3 2 18" xfId="13629"/>
    <cellStyle name="20% - Accent4 4 3 2 18 2" xfId="36404"/>
    <cellStyle name="20% - Accent4 4 3 2 19" xfId="14285"/>
    <cellStyle name="20% - Accent4 4 3 2 19 2" xfId="37060"/>
    <cellStyle name="20% - Accent4 4 3 2 2" xfId="1493"/>
    <cellStyle name="20% - Accent4 4 3 2 2 2" xfId="3789"/>
    <cellStyle name="20% - Accent4 4 3 2 2 2 2" xfId="26564"/>
    <cellStyle name="20% - Accent4 4 3 2 2 3" xfId="24268"/>
    <cellStyle name="20% - Accent4 4 3 2 20" xfId="14941"/>
    <cellStyle name="20% - Accent4 4 3 2 20 2" xfId="37716"/>
    <cellStyle name="20% - Accent4 4 3 2 21" xfId="15597"/>
    <cellStyle name="20% - Accent4 4 3 2 21 2" xfId="38372"/>
    <cellStyle name="20% - Accent4 4 3 2 22" xfId="16253"/>
    <cellStyle name="20% - Accent4 4 3 2 22 2" xfId="39028"/>
    <cellStyle name="20% - Accent4 4 3 2 23" xfId="16909"/>
    <cellStyle name="20% - Accent4 4 3 2 23 2" xfId="39684"/>
    <cellStyle name="20% - Accent4 4 3 2 24" xfId="17565"/>
    <cellStyle name="20% - Accent4 4 3 2 24 2" xfId="40340"/>
    <cellStyle name="20% - Accent4 4 3 2 25" xfId="18221"/>
    <cellStyle name="20% - Accent4 4 3 2 25 2" xfId="40996"/>
    <cellStyle name="20% - Accent4 4 3 2 26" xfId="18877"/>
    <cellStyle name="20% - Accent4 4 3 2 26 2" xfId="41652"/>
    <cellStyle name="20% - Accent4 4 3 2 27" xfId="19533"/>
    <cellStyle name="20% - Accent4 4 3 2 27 2" xfId="42308"/>
    <cellStyle name="20% - Accent4 4 3 2 28" xfId="20189"/>
    <cellStyle name="20% - Accent4 4 3 2 28 2" xfId="42964"/>
    <cellStyle name="20% - Accent4 4 3 2 29" xfId="20845"/>
    <cellStyle name="20% - Accent4 4 3 2 29 2" xfId="43620"/>
    <cellStyle name="20% - Accent4 4 3 2 3" xfId="2149"/>
    <cellStyle name="20% - Accent4 4 3 2 3 2" xfId="4445"/>
    <cellStyle name="20% - Accent4 4 3 2 3 2 2" xfId="27220"/>
    <cellStyle name="20% - Accent4 4 3 2 3 3" xfId="24924"/>
    <cellStyle name="20% - Accent4 4 3 2 30" xfId="21501"/>
    <cellStyle name="20% - Accent4 4 3 2 30 2" xfId="44276"/>
    <cellStyle name="20% - Accent4 4 3 2 31" xfId="22157"/>
    <cellStyle name="20% - Accent4 4 3 2 31 2" xfId="44932"/>
    <cellStyle name="20% - Accent4 4 3 2 32" xfId="22813"/>
    <cellStyle name="20% - Accent4 4 3 2 32 2" xfId="45588"/>
    <cellStyle name="20% - Accent4 4 3 2 33" xfId="23612"/>
    <cellStyle name="20% - Accent4 4 3 2 4" xfId="5101"/>
    <cellStyle name="20% - Accent4 4 3 2 4 2" xfId="27876"/>
    <cellStyle name="20% - Accent4 4 3 2 5" xfId="5757"/>
    <cellStyle name="20% - Accent4 4 3 2 5 2" xfId="28532"/>
    <cellStyle name="20% - Accent4 4 3 2 6" xfId="6413"/>
    <cellStyle name="20% - Accent4 4 3 2 6 2" xfId="29188"/>
    <cellStyle name="20% - Accent4 4 3 2 7" xfId="3133"/>
    <cellStyle name="20% - Accent4 4 3 2 7 2" xfId="25908"/>
    <cellStyle name="20% - Accent4 4 3 2 8" xfId="7069"/>
    <cellStyle name="20% - Accent4 4 3 2 8 2" xfId="29844"/>
    <cellStyle name="20% - Accent4 4 3 2 9" xfId="7725"/>
    <cellStyle name="20% - Accent4 4 3 2 9 2" xfId="30500"/>
    <cellStyle name="20% - Accent4 4 3 20" xfId="13301"/>
    <cellStyle name="20% - Accent4 4 3 20 2" xfId="36076"/>
    <cellStyle name="20% - Accent4 4 3 21" xfId="13957"/>
    <cellStyle name="20% - Accent4 4 3 21 2" xfId="36732"/>
    <cellStyle name="20% - Accent4 4 3 22" xfId="14613"/>
    <cellStyle name="20% - Accent4 4 3 22 2" xfId="37388"/>
    <cellStyle name="20% - Accent4 4 3 23" xfId="15269"/>
    <cellStyle name="20% - Accent4 4 3 23 2" xfId="38044"/>
    <cellStyle name="20% - Accent4 4 3 24" xfId="15925"/>
    <cellStyle name="20% - Accent4 4 3 24 2" xfId="38700"/>
    <cellStyle name="20% - Accent4 4 3 25" xfId="16581"/>
    <cellStyle name="20% - Accent4 4 3 25 2" xfId="39356"/>
    <cellStyle name="20% - Accent4 4 3 26" xfId="17237"/>
    <cellStyle name="20% - Accent4 4 3 26 2" xfId="40012"/>
    <cellStyle name="20% - Accent4 4 3 27" xfId="17893"/>
    <cellStyle name="20% - Accent4 4 3 27 2" xfId="40668"/>
    <cellStyle name="20% - Accent4 4 3 28" xfId="18549"/>
    <cellStyle name="20% - Accent4 4 3 28 2" xfId="41324"/>
    <cellStyle name="20% - Accent4 4 3 29" xfId="19205"/>
    <cellStyle name="20% - Accent4 4 3 29 2" xfId="41980"/>
    <cellStyle name="20% - Accent4 4 3 3" xfId="1165"/>
    <cellStyle name="20% - Accent4 4 3 3 2" xfId="2805"/>
    <cellStyle name="20% - Accent4 4 3 3 2 2" xfId="25580"/>
    <cellStyle name="20% - Accent4 4 3 3 3" xfId="23940"/>
    <cellStyle name="20% - Accent4 4 3 30" xfId="19861"/>
    <cellStyle name="20% - Accent4 4 3 30 2" xfId="42636"/>
    <cellStyle name="20% - Accent4 4 3 31" xfId="20517"/>
    <cellStyle name="20% - Accent4 4 3 31 2" xfId="43292"/>
    <cellStyle name="20% - Accent4 4 3 32" xfId="21173"/>
    <cellStyle name="20% - Accent4 4 3 32 2" xfId="43948"/>
    <cellStyle name="20% - Accent4 4 3 33" xfId="21829"/>
    <cellStyle name="20% - Accent4 4 3 33 2" xfId="44604"/>
    <cellStyle name="20% - Accent4 4 3 34" xfId="22485"/>
    <cellStyle name="20% - Accent4 4 3 34 2" xfId="45260"/>
    <cellStyle name="20% - Accent4 4 3 35" xfId="23284"/>
    <cellStyle name="20% - Accent4 4 3 4" xfId="1821"/>
    <cellStyle name="20% - Accent4 4 3 4 2" xfId="3461"/>
    <cellStyle name="20% - Accent4 4 3 4 2 2" xfId="26236"/>
    <cellStyle name="20% - Accent4 4 3 4 3" xfId="24596"/>
    <cellStyle name="20% - Accent4 4 3 5" xfId="4117"/>
    <cellStyle name="20% - Accent4 4 3 5 2" xfId="26892"/>
    <cellStyle name="20% - Accent4 4 3 6" xfId="4773"/>
    <cellStyle name="20% - Accent4 4 3 6 2" xfId="27548"/>
    <cellStyle name="20% - Accent4 4 3 7" xfId="5429"/>
    <cellStyle name="20% - Accent4 4 3 7 2" xfId="28204"/>
    <cellStyle name="20% - Accent4 4 3 8" xfId="6085"/>
    <cellStyle name="20% - Accent4 4 3 8 2" xfId="28860"/>
    <cellStyle name="20% - Accent4 4 3 9" xfId="2477"/>
    <cellStyle name="20% - Accent4 4 3 9 2" xfId="25252"/>
    <cellStyle name="20% - Accent4 4 30" xfId="18364"/>
    <cellStyle name="20% - Accent4 4 30 2" xfId="41139"/>
    <cellStyle name="20% - Accent4 4 31" xfId="19020"/>
    <cellStyle name="20% - Accent4 4 31 2" xfId="41795"/>
    <cellStyle name="20% - Accent4 4 32" xfId="19676"/>
    <cellStyle name="20% - Accent4 4 32 2" xfId="42451"/>
    <cellStyle name="20% - Accent4 4 33" xfId="20332"/>
    <cellStyle name="20% - Accent4 4 33 2" xfId="43107"/>
    <cellStyle name="20% - Accent4 4 34" xfId="20988"/>
    <cellStyle name="20% - Accent4 4 34 2" xfId="43763"/>
    <cellStyle name="20% - Accent4 4 35" xfId="21644"/>
    <cellStyle name="20% - Accent4 4 35 2" xfId="44419"/>
    <cellStyle name="20% - Accent4 4 36" xfId="22300"/>
    <cellStyle name="20% - Accent4 4 36 2" xfId="45075"/>
    <cellStyle name="20% - Accent4 4 37" xfId="239"/>
    <cellStyle name="20% - Accent4 4 38" xfId="22956"/>
    <cellStyle name="20% - Accent4 4 4" xfId="652"/>
    <cellStyle name="20% - Accent4 4 4 10" xfId="8196"/>
    <cellStyle name="20% - Accent4 4 4 10 2" xfId="30971"/>
    <cellStyle name="20% - Accent4 4 4 11" xfId="8852"/>
    <cellStyle name="20% - Accent4 4 4 11 2" xfId="31627"/>
    <cellStyle name="20% - Accent4 4 4 12" xfId="9508"/>
    <cellStyle name="20% - Accent4 4 4 12 2" xfId="32283"/>
    <cellStyle name="20% - Accent4 4 4 13" xfId="10164"/>
    <cellStyle name="20% - Accent4 4 4 13 2" xfId="32939"/>
    <cellStyle name="20% - Accent4 4 4 14" xfId="10820"/>
    <cellStyle name="20% - Accent4 4 4 14 2" xfId="33595"/>
    <cellStyle name="20% - Accent4 4 4 15" xfId="11476"/>
    <cellStyle name="20% - Accent4 4 4 15 2" xfId="34251"/>
    <cellStyle name="20% - Accent4 4 4 16" xfId="12132"/>
    <cellStyle name="20% - Accent4 4 4 16 2" xfId="34907"/>
    <cellStyle name="20% - Accent4 4 4 17" xfId="12788"/>
    <cellStyle name="20% - Accent4 4 4 17 2" xfId="35563"/>
    <cellStyle name="20% - Accent4 4 4 18" xfId="13444"/>
    <cellStyle name="20% - Accent4 4 4 18 2" xfId="36219"/>
    <cellStyle name="20% - Accent4 4 4 19" xfId="14100"/>
    <cellStyle name="20% - Accent4 4 4 19 2" xfId="36875"/>
    <cellStyle name="20% - Accent4 4 4 2" xfId="1308"/>
    <cellStyle name="20% - Accent4 4 4 2 2" xfId="3604"/>
    <cellStyle name="20% - Accent4 4 4 2 2 2" xfId="26379"/>
    <cellStyle name="20% - Accent4 4 4 2 3" xfId="24083"/>
    <cellStyle name="20% - Accent4 4 4 20" xfId="14756"/>
    <cellStyle name="20% - Accent4 4 4 20 2" xfId="37531"/>
    <cellStyle name="20% - Accent4 4 4 21" xfId="15412"/>
    <cellStyle name="20% - Accent4 4 4 21 2" xfId="38187"/>
    <cellStyle name="20% - Accent4 4 4 22" xfId="16068"/>
    <cellStyle name="20% - Accent4 4 4 22 2" xfId="38843"/>
    <cellStyle name="20% - Accent4 4 4 23" xfId="16724"/>
    <cellStyle name="20% - Accent4 4 4 23 2" xfId="39499"/>
    <cellStyle name="20% - Accent4 4 4 24" xfId="17380"/>
    <cellStyle name="20% - Accent4 4 4 24 2" xfId="40155"/>
    <cellStyle name="20% - Accent4 4 4 25" xfId="18036"/>
    <cellStyle name="20% - Accent4 4 4 25 2" xfId="40811"/>
    <cellStyle name="20% - Accent4 4 4 26" xfId="18692"/>
    <cellStyle name="20% - Accent4 4 4 26 2" xfId="41467"/>
    <cellStyle name="20% - Accent4 4 4 27" xfId="19348"/>
    <cellStyle name="20% - Accent4 4 4 27 2" xfId="42123"/>
    <cellStyle name="20% - Accent4 4 4 28" xfId="20004"/>
    <cellStyle name="20% - Accent4 4 4 28 2" xfId="42779"/>
    <cellStyle name="20% - Accent4 4 4 29" xfId="20660"/>
    <cellStyle name="20% - Accent4 4 4 29 2" xfId="43435"/>
    <cellStyle name="20% - Accent4 4 4 3" xfId="1964"/>
    <cellStyle name="20% - Accent4 4 4 3 2" xfId="4260"/>
    <cellStyle name="20% - Accent4 4 4 3 2 2" xfId="27035"/>
    <cellStyle name="20% - Accent4 4 4 3 3" xfId="24739"/>
    <cellStyle name="20% - Accent4 4 4 30" xfId="21316"/>
    <cellStyle name="20% - Accent4 4 4 30 2" xfId="44091"/>
    <cellStyle name="20% - Accent4 4 4 31" xfId="21972"/>
    <cellStyle name="20% - Accent4 4 4 31 2" xfId="44747"/>
    <cellStyle name="20% - Accent4 4 4 32" xfId="22628"/>
    <cellStyle name="20% - Accent4 4 4 32 2" xfId="45403"/>
    <cellStyle name="20% - Accent4 4 4 33" xfId="23427"/>
    <cellStyle name="20% - Accent4 4 4 4" xfId="4916"/>
    <cellStyle name="20% - Accent4 4 4 4 2" xfId="27691"/>
    <cellStyle name="20% - Accent4 4 4 5" xfId="5572"/>
    <cellStyle name="20% - Accent4 4 4 5 2" xfId="28347"/>
    <cellStyle name="20% - Accent4 4 4 6" xfId="6228"/>
    <cellStyle name="20% - Accent4 4 4 6 2" xfId="29003"/>
    <cellStyle name="20% - Accent4 4 4 7" xfId="2948"/>
    <cellStyle name="20% - Accent4 4 4 7 2" xfId="25723"/>
    <cellStyle name="20% - Accent4 4 4 8" xfId="6884"/>
    <cellStyle name="20% - Accent4 4 4 8 2" xfId="29659"/>
    <cellStyle name="20% - Accent4 4 4 9" xfId="7540"/>
    <cellStyle name="20% - Accent4 4 4 9 2" xfId="30315"/>
    <cellStyle name="20% - Accent4 4 5" xfId="325"/>
    <cellStyle name="20% - Accent4 4 5 2" xfId="2620"/>
    <cellStyle name="20% - Accent4 4 5 2 2" xfId="25395"/>
    <cellStyle name="20% - Accent4 4 5 3" xfId="23099"/>
    <cellStyle name="20% - Accent4 4 6" xfId="980"/>
    <cellStyle name="20% - Accent4 4 6 2" xfId="3276"/>
    <cellStyle name="20% - Accent4 4 6 2 2" xfId="26051"/>
    <cellStyle name="20% - Accent4 4 6 3" xfId="23755"/>
    <cellStyle name="20% - Accent4 4 7" xfId="1636"/>
    <cellStyle name="20% - Accent4 4 7 2" xfId="3932"/>
    <cellStyle name="20% - Accent4 4 7 2 2" xfId="26707"/>
    <cellStyle name="20% - Accent4 4 7 3" xfId="24411"/>
    <cellStyle name="20% - Accent4 4 8" xfId="4588"/>
    <cellStyle name="20% - Accent4 4 8 2" xfId="27363"/>
    <cellStyle name="20% - Accent4 4 9" xfId="5244"/>
    <cellStyle name="20% - Accent4 4 9 2" xfId="28019"/>
    <cellStyle name="20% - Accent4 40" xfId="20287"/>
    <cellStyle name="20% - Accent4 40 2" xfId="43062"/>
    <cellStyle name="20% - Accent4 41" xfId="20943"/>
    <cellStyle name="20% - Accent4 41 2" xfId="43718"/>
    <cellStyle name="20% - Accent4 42" xfId="21599"/>
    <cellStyle name="20% - Accent4 42 2" xfId="44374"/>
    <cellStyle name="20% - Accent4 43" xfId="22255"/>
    <cellStyle name="20% - Accent4 43 2" xfId="45030"/>
    <cellStyle name="20% - Accent4 44" xfId="194"/>
    <cellStyle name="20% - Accent4 45" xfId="22911"/>
    <cellStyle name="20% - Accent4 5" xfId="108"/>
    <cellStyle name="20% - Accent4 5 10" xfId="5914"/>
    <cellStyle name="20% - Accent4 5 10 2" xfId="28689"/>
    <cellStyle name="20% - Accent4 5 11" xfId="2306"/>
    <cellStyle name="20% - Accent4 5 11 2" xfId="25081"/>
    <cellStyle name="20% - Accent4 5 12" xfId="6570"/>
    <cellStyle name="20% - Accent4 5 12 2" xfId="29345"/>
    <cellStyle name="20% - Accent4 5 13" xfId="7226"/>
    <cellStyle name="20% - Accent4 5 13 2" xfId="30001"/>
    <cellStyle name="20% - Accent4 5 14" xfId="7882"/>
    <cellStyle name="20% - Accent4 5 14 2" xfId="30657"/>
    <cellStyle name="20% - Accent4 5 15" xfId="8538"/>
    <cellStyle name="20% - Accent4 5 15 2" xfId="31313"/>
    <cellStyle name="20% - Accent4 5 16" xfId="9194"/>
    <cellStyle name="20% - Accent4 5 16 2" xfId="31969"/>
    <cellStyle name="20% - Accent4 5 17" xfId="9850"/>
    <cellStyle name="20% - Accent4 5 17 2" xfId="32625"/>
    <cellStyle name="20% - Accent4 5 18" xfId="10506"/>
    <cellStyle name="20% - Accent4 5 18 2" xfId="33281"/>
    <cellStyle name="20% - Accent4 5 19" xfId="11162"/>
    <cellStyle name="20% - Accent4 5 19 2" xfId="33937"/>
    <cellStyle name="20% - Accent4 5 2" xfId="179"/>
    <cellStyle name="20% - Accent4 5 2 10" xfId="2377"/>
    <cellStyle name="20% - Accent4 5 2 10 2" xfId="25152"/>
    <cellStyle name="20% - Accent4 5 2 11" xfId="6641"/>
    <cellStyle name="20% - Accent4 5 2 11 2" xfId="29416"/>
    <cellStyle name="20% - Accent4 5 2 12" xfId="7297"/>
    <cellStyle name="20% - Accent4 5 2 12 2" xfId="30072"/>
    <cellStyle name="20% - Accent4 5 2 13" xfId="7953"/>
    <cellStyle name="20% - Accent4 5 2 13 2" xfId="30728"/>
    <cellStyle name="20% - Accent4 5 2 14" xfId="8609"/>
    <cellStyle name="20% - Accent4 5 2 14 2" xfId="31384"/>
    <cellStyle name="20% - Accent4 5 2 15" xfId="9265"/>
    <cellStyle name="20% - Accent4 5 2 15 2" xfId="32040"/>
    <cellStyle name="20% - Accent4 5 2 16" xfId="9921"/>
    <cellStyle name="20% - Accent4 5 2 16 2" xfId="32696"/>
    <cellStyle name="20% - Accent4 5 2 17" xfId="10577"/>
    <cellStyle name="20% - Accent4 5 2 17 2" xfId="33352"/>
    <cellStyle name="20% - Accent4 5 2 18" xfId="11233"/>
    <cellStyle name="20% - Accent4 5 2 18 2" xfId="34008"/>
    <cellStyle name="20% - Accent4 5 2 19" xfId="11889"/>
    <cellStyle name="20% - Accent4 5 2 19 2" xfId="34664"/>
    <cellStyle name="20% - Accent4 5 2 2" xfId="593"/>
    <cellStyle name="20% - Accent4 5 2 2 10" xfId="6826"/>
    <cellStyle name="20% - Accent4 5 2 2 10 2" xfId="29601"/>
    <cellStyle name="20% - Accent4 5 2 2 11" xfId="7482"/>
    <cellStyle name="20% - Accent4 5 2 2 11 2" xfId="30257"/>
    <cellStyle name="20% - Accent4 5 2 2 12" xfId="8138"/>
    <cellStyle name="20% - Accent4 5 2 2 12 2" xfId="30913"/>
    <cellStyle name="20% - Accent4 5 2 2 13" xfId="8794"/>
    <cellStyle name="20% - Accent4 5 2 2 13 2" xfId="31569"/>
    <cellStyle name="20% - Accent4 5 2 2 14" xfId="9450"/>
    <cellStyle name="20% - Accent4 5 2 2 14 2" xfId="32225"/>
    <cellStyle name="20% - Accent4 5 2 2 15" xfId="10106"/>
    <cellStyle name="20% - Accent4 5 2 2 15 2" xfId="32881"/>
    <cellStyle name="20% - Accent4 5 2 2 16" xfId="10762"/>
    <cellStyle name="20% - Accent4 5 2 2 16 2" xfId="33537"/>
    <cellStyle name="20% - Accent4 5 2 2 17" xfId="11418"/>
    <cellStyle name="20% - Accent4 5 2 2 17 2" xfId="34193"/>
    <cellStyle name="20% - Accent4 5 2 2 18" xfId="12074"/>
    <cellStyle name="20% - Accent4 5 2 2 18 2" xfId="34849"/>
    <cellStyle name="20% - Accent4 5 2 2 19" xfId="12730"/>
    <cellStyle name="20% - Accent4 5 2 2 19 2" xfId="35505"/>
    <cellStyle name="20% - Accent4 5 2 2 2" xfId="922"/>
    <cellStyle name="20% - Accent4 5 2 2 2 10" xfId="8466"/>
    <cellStyle name="20% - Accent4 5 2 2 2 10 2" xfId="31241"/>
    <cellStyle name="20% - Accent4 5 2 2 2 11" xfId="9122"/>
    <cellStyle name="20% - Accent4 5 2 2 2 11 2" xfId="31897"/>
    <cellStyle name="20% - Accent4 5 2 2 2 12" xfId="9778"/>
    <cellStyle name="20% - Accent4 5 2 2 2 12 2" xfId="32553"/>
    <cellStyle name="20% - Accent4 5 2 2 2 13" xfId="10434"/>
    <cellStyle name="20% - Accent4 5 2 2 2 13 2" xfId="33209"/>
    <cellStyle name="20% - Accent4 5 2 2 2 14" xfId="11090"/>
    <cellStyle name="20% - Accent4 5 2 2 2 14 2" xfId="33865"/>
    <cellStyle name="20% - Accent4 5 2 2 2 15" xfId="11746"/>
    <cellStyle name="20% - Accent4 5 2 2 2 15 2" xfId="34521"/>
    <cellStyle name="20% - Accent4 5 2 2 2 16" xfId="12402"/>
    <cellStyle name="20% - Accent4 5 2 2 2 16 2" xfId="35177"/>
    <cellStyle name="20% - Accent4 5 2 2 2 17" xfId="13058"/>
    <cellStyle name="20% - Accent4 5 2 2 2 17 2" xfId="35833"/>
    <cellStyle name="20% - Accent4 5 2 2 2 18" xfId="13714"/>
    <cellStyle name="20% - Accent4 5 2 2 2 18 2" xfId="36489"/>
    <cellStyle name="20% - Accent4 5 2 2 2 19" xfId="14370"/>
    <cellStyle name="20% - Accent4 5 2 2 2 19 2" xfId="37145"/>
    <cellStyle name="20% - Accent4 5 2 2 2 2" xfId="1578"/>
    <cellStyle name="20% - Accent4 5 2 2 2 2 2" xfId="3874"/>
    <cellStyle name="20% - Accent4 5 2 2 2 2 2 2" xfId="26649"/>
    <cellStyle name="20% - Accent4 5 2 2 2 2 3" xfId="24353"/>
    <cellStyle name="20% - Accent4 5 2 2 2 20" xfId="15026"/>
    <cellStyle name="20% - Accent4 5 2 2 2 20 2" xfId="37801"/>
    <cellStyle name="20% - Accent4 5 2 2 2 21" xfId="15682"/>
    <cellStyle name="20% - Accent4 5 2 2 2 21 2" xfId="38457"/>
    <cellStyle name="20% - Accent4 5 2 2 2 22" xfId="16338"/>
    <cellStyle name="20% - Accent4 5 2 2 2 22 2" xfId="39113"/>
    <cellStyle name="20% - Accent4 5 2 2 2 23" xfId="16994"/>
    <cellStyle name="20% - Accent4 5 2 2 2 23 2" xfId="39769"/>
    <cellStyle name="20% - Accent4 5 2 2 2 24" xfId="17650"/>
    <cellStyle name="20% - Accent4 5 2 2 2 24 2" xfId="40425"/>
    <cellStyle name="20% - Accent4 5 2 2 2 25" xfId="18306"/>
    <cellStyle name="20% - Accent4 5 2 2 2 25 2" xfId="41081"/>
    <cellStyle name="20% - Accent4 5 2 2 2 26" xfId="18962"/>
    <cellStyle name="20% - Accent4 5 2 2 2 26 2" xfId="41737"/>
    <cellStyle name="20% - Accent4 5 2 2 2 27" xfId="19618"/>
    <cellStyle name="20% - Accent4 5 2 2 2 27 2" xfId="42393"/>
    <cellStyle name="20% - Accent4 5 2 2 2 28" xfId="20274"/>
    <cellStyle name="20% - Accent4 5 2 2 2 28 2" xfId="43049"/>
    <cellStyle name="20% - Accent4 5 2 2 2 29" xfId="20930"/>
    <cellStyle name="20% - Accent4 5 2 2 2 29 2" xfId="43705"/>
    <cellStyle name="20% - Accent4 5 2 2 2 3" xfId="2234"/>
    <cellStyle name="20% - Accent4 5 2 2 2 3 2" xfId="4530"/>
    <cellStyle name="20% - Accent4 5 2 2 2 3 2 2" xfId="27305"/>
    <cellStyle name="20% - Accent4 5 2 2 2 3 3" xfId="25009"/>
    <cellStyle name="20% - Accent4 5 2 2 2 30" xfId="21586"/>
    <cellStyle name="20% - Accent4 5 2 2 2 30 2" xfId="44361"/>
    <cellStyle name="20% - Accent4 5 2 2 2 31" xfId="22242"/>
    <cellStyle name="20% - Accent4 5 2 2 2 31 2" xfId="45017"/>
    <cellStyle name="20% - Accent4 5 2 2 2 32" xfId="22898"/>
    <cellStyle name="20% - Accent4 5 2 2 2 32 2" xfId="45673"/>
    <cellStyle name="20% - Accent4 5 2 2 2 33" xfId="23697"/>
    <cellStyle name="20% - Accent4 5 2 2 2 4" xfId="5186"/>
    <cellStyle name="20% - Accent4 5 2 2 2 4 2" xfId="27961"/>
    <cellStyle name="20% - Accent4 5 2 2 2 5" xfId="5842"/>
    <cellStyle name="20% - Accent4 5 2 2 2 5 2" xfId="28617"/>
    <cellStyle name="20% - Accent4 5 2 2 2 6" xfId="6498"/>
    <cellStyle name="20% - Accent4 5 2 2 2 6 2" xfId="29273"/>
    <cellStyle name="20% - Accent4 5 2 2 2 7" xfId="3218"/>
    <cellStyle name="20% - Accent4 5 2 2 2 7 2" xfId="25993"/>
    <cellStyle name="20% - Accent4 5 2 2 2 8" xfId="7154"/>
    <cellStyle name="20% - Accent4 5 2 2 2 8 2" xfId="29929"/>
    <cellStyle name="20% - Accent4 5 2 2 2 9" xfId="7810"/>
    <cellStyle name="20% - Accent4 5 2 2 2 9 2" xfId="30585"/>
    <cellStyle name="20% - Accent4 5 2 2 20" xfId="13386"/>
    <cellStyle name="20% - Accent4 5 2 2 20 2" xfId="36161"/>
    <cellStyle name="20% - Accent4 5 2 2 21" xfId="14042"/>
    <cellStyle name="20% - Accent4 5 2 2 21 2" xfId="36817"/>
    <cellStyle name="20% - Accent4 5 2 2 22" xfId="14698"/>
    <cellStyle name="20% - Accent4 5 2 2 22 2" xfId="37473"/>
    <cellStyle name="20% - Accent4 5 2 2 23" xfId="15354"/>
    <cellStyle name="20% - Accent4 5 2 2 23 2" xfId="38129"/>
    <cellStyle name="20% - Accent4 5 2 2 24" xfId="16010"/>
    <cellStyle name="20% - Accent4 5 2 2 24 2" xfId="38785"/>
    <cellStyle name="20% - Accent4 5 2 2 25" xfId="16666"/>
    <cellStyle name="20% - Accent4 5 2 2 25 2" xfId="39441"/>
    <cellStyle name="20% - Accent4 5 2 2 26" xfId="17322"/>
    <cellStyle name="20% - Accent4 5 2 2 26 2" xfId="40097"/>
    <cellStyle name="20% - Accent4 5 2 2 27" xfId="17978"/>
    <cellStyle name="20% - Accent4 5 2 2 27 2" xfId="40753"/>
    <cellStyle name="20% - Accent4 5 2 2 28" xfId="18634"/>
    <cellStyle name="20% - Accent4 5 2 2 28 2" xfId="41409"/>
    <cellStyle name="20% - Accent4 5 2 2 29" xfId="19290"/>
    <cellStyle name="20% - Accent4 5 2 2 29 2" xfId="42065"/>
    <cellStyle name="20% - Accent4 5 2 2 3" xfId="1250"/>
    <cellStyle name="20% - Accent4 5 2 2 3 2" xfId="2890"/>
    <cellStyle name="20% - Accent4 5 2 2 3 2 2" xfId="25665"/>
    <cellStyle name="20% - Accent4 5 2 2 3 3" xfId="24025"/>
    <cellStyle name="20% - Accent4 5 2 2 30" xfId="19946"/>
    <cellStyle name="20% - Accent4 5 2 2 30 2" xfId="42721"/>
    <cellStyle name="20% - Accent4 5 2 2 31" xfId="20602"/>
    <cellStyle name="20% - Accent4 5 2 2 31 2" xfId="43377"/>
    <cellStyle name="20% - Accent4 5 2 2 32" xfId="21258"/>
    <cellStyle name="20% - Accent4 5 2 2 32 2" xfId="44033"/>
    <cellStyle name="20% - Accent4 5 2 2 33" xfId="21914"/>
    <cellStyle name="20% - Accent4 5 2 2 33 2" xfId="44689"/>
    <cellStyle name="20% - Accent4 5 2 2 34" xfId="22570"/>
    <cellStyle name="20% - Accent4 5 2 2 34 2" xfId="45345"/>
    <cellStyle name="20% - Accent4 5 2 2 35" xfId="23369"/>
    <cellStyle name="20% - Accent4 5 2 2 4" xfId="1906"/>
    <cellStyle name="20% - Accent4 5 2 2 4 2" xfId="3546"/>
    <cellStyle name="20% - Accent4 5 2 2 4 2 2" xfId="26321"/>
    <cellStyle name="20% - Accent4 5 2 2 4 3" xfId="24681"/>
    <cellStyle name="20% - Accent4 5 2 2 5" xfId="4202"/>
    <cellStyle name="20% - Accent4 5 2 2 5 2" xfId="26977"/>
    <cellStyle name="20% - Accent4 5 2 2 6" xfId="4858"/>
    <cellStyle name="20% - Accent4 5 2 2 6 2" xfId="27633"/>
    <cellStyle name="20% - Accent4 5 2 2 7" xfId="5514"/>
    <cellStyle name="20% - Accent4 5 2 2 7 2" xfId="28289"/>
    <cellStyle name="20% - Accent4 5 2 2 8" xfId="6170"/>
    <cellStyle name="20% - Accent4 5 2 2 8 2" xfId="28945"/>
    <cellStyle name="20% - Accent4 5 2 2 9" xfId="2562"/>
    <cellStyle name="20% - Accent4 5 2 2 9 2" xfId="25337"/>
    <cellStyle name="20% - Accent4 5 2 20" xfId="12545"/>
    <cellStyle name="20% - Accent4 5 2 20 2" xfId="35320"/>
    <cellStyle name="20% - Accent4 5 2 21" xfId="13201"/>
    <cellStyle name="20% - Accent4 5 2 21 2" xfId="35976"/>
    <cellStyle name="20% - Accent4 5 2 22" xfId="13857"/>
    <cellStyle name="20% - Accent4 5 2 22 2" xfId="36632"/>
    <cellStyle name="20% - Accent4 5 2 23" xfId="14513"/>
    <cellStyle name="20% - Accent4 5 2 23 2" xfId="37288"/>
    <cellStyle name="20% - Accent4 5 2 24" xfId="15169"/>
    <cellStyle name="20% - Accent4 5 2 24 2" xfId="37944"/>
    <cellStyle name="20% - Accent4 5 2 25" xfId="15825"/>
    <cellStyle name="20% - Accent4 5 2 25 2" xfId="38600"/>
    <cellStyle name="20% - Accent4 5 2 26" xfId="16481"/>
    <cellStyle name="20% - Accent4 5 2 26 2" xfId="39256"/>
    <cellStyle name="20% - Accent4 5 2 27" xfId="17137"/>
    <cellStyle name="20% - Accent4 5 2 27 2" xfId="39912"/>
    <cellStyle name="20% - Accent4 5 2 28" xfId="17793"/>
    <cellStyle name="20% - Accent4 5 2 28 2" xfId="40568"/>
    <cellStyle name="20% - Accent4 5 2 29" xfId="18449"/>
    <cellStyle name="20% - Accent4 5 2 29 2" xfId="41224"/>
    <cellStyle name="20% - Accent4 5 2 3" xfId="737"/>
    <cellStyle name="20% - Accent4 5 2 3 10" xfId="8281"/>
    <cellStyle name="20% - Accent4 5 2 3 10 2" xfId="31056"/>
    <cellStyle name="20% - Accent4 5 2 3 11" xfId="8937"/>
    <cellStyle name="20% - Accent4 5 2 3 11 2" xfId="31712"/>
    <cellStyle name="20% - Accent4 5 2 3 12" xfId="9593"/>
    <cellStyle name="20% - Accent4 5 2 3 12 2" xfId="32368"/>
    <cellStyle name="20% - Accent4 5 2 3 13" xfId="10249"/>
    <cellStyle name="20% - Accent4 5 2 3 13 2" xfId="33024"/>
    <cellStyle name="20% - Accent4 5 2 3 14" xfId="10905"/>
    <cellStyle name="20% - Accent4 5 2 3 14 2" xfId="33680"/>
    <cellStyle name="20% - Accent4 5 2 3 15" xfId="11561"/>
    <cellStyle name="20% - Accent4 5 2 3 15 2" xfId="34336"/>
    <cellStyle name="20% - Accent4 5 2 3 16" xfId="12217"/>
    <cellStyle name="20% - Accent4 5 2 3 16 2" xfId="34992"/>
    <cellStyle name="20% - Accent4 5 2 3 17" xfId="12873"/>
    <cellStyle name="20% - Accent4 5 2 3 17 2" xfId="35648"/>
    <cellStyle name="20% - Accent4 5 2 3 18" xfId="13529"/>
    <cellStyle name="20% - Accent4 5 2 3 18 2" xfId="36304"/>
    <cellStyle name="20% - Accent4 5 2 3 19" xfId="14185"/>
    <cellStyle name="20% - Accent4 5 2 3 19 2" xfId="36960"/>
    <cellStyle name="20% - Accent4 5 2 3 2" xfId="1393"/>
    <cellStyle name="20% - Accent4 5 2 3 2 2" xfId="3689"/>
    <cellStyle name="20% - Accent4 5 2 3 2 2 2" xfId="26464"/>
    <cellStyle name="20% - Accent4 5 2 3 2 3" xfId="24168"/>
    <cellStyle name="20% - Accent4 5 2 3 20" xfId="14841"/>
    <cellStyle name="20% - Accent4 5 2 3 20 2" xfId="37616"/>
    <cellStyle name="20% - Accent4 5 2 3 21" xfId="15497"/>
    <cellStyle name="20% - Accent4 5 2 3 21 2" xfId="38272"/>
    <cellStyle name="20% - Accent4 5 2 3 22" xfId="16153"/>
    <cellStyle name="20% - Accent4 5 2 3 22 2" xfId="38928"/>
    <cellStyle name="20% - Accent4 5 2 3 23" xfId="16809"/>
    <cellStyle name="20% - Accent4 5 2 3 23 2" xfId="39584"/>
    <cellStyle name="20% - Accent4 5 2 3 24" xfId="17465"/>
    <cellStyle name="20% - Accent4 5 2 3 24 2" xfId="40240"/>
    <cellStyle name="20% - Accent4 5 2 3 25" xfId="18121"/>
    <cellStyle name="20% - Accent4 5 2 3 25 2" xfId="40896"/>
    <cellStyle name="20% - Accent4 5 2 3 26" xfId="18777"/>
    <cellStyle name="20% - Accent4 5 2 3 26 2" xfId="41552"/>
    <cellStyle name="20% - Accent4 5 2 3 27" xfId="19433"/>
    <cellStyle name="20% - Accent4 5 2 3 27 2" xfId="42208"/>
    <cellStyle name="20% - Accent4 5 2 3 28" xfId="20089"/>
    <cellStyle name="20% - Accent4 5 2 3 28 2" xfId="42864"/>
    <cellStyle name="20% - Accent4 5 2 3 29" xfId="20745"/>
    <cellStyle name="20% - Accent4 5 2 3 29 2" xfId="43520"/>
    <cellStyle name="20% - Accent4 5 2 3 3" xfId="2049"/>
    <cellStyle name="20% - Accent4 5 2 3 3 2" xfId="4345"/>
    <cellStyle name="20% - Accent4 5 2 3 3 2 2" xfId="27120"/>
    <cellStyle name="20% - Accent4 5 2 3 3 3" xfId="24824"/>
    <cellStyle name="20% - Accent4 5 2 3 30" xfId="21401"/>
    <cellStyle name="20% - Accent4 5 2 3 30 2" xfId="44176"/>
    <cellStyle name="20% - Accent4 5 2 3 31" xfId="22057"/>
    <cellStyle name="20% - Accent4 5 2 3 31 2" xfId="44832"/>
    <cellStyle name="20% - Accent4 5 2 3 32" xfId="22713"/>
    <cellStyle name="20% - Accent4 5 2 3 32 2" xfId="45488"/>
    <cellStyle name="20% - Accent4 5 2 3 33" xfId="23512"/>
    <cellStyle name="20% - Accent4 5 2 3 4" xfId="5001"/>
    <cellStyle name="20% - Accent4 5 2 3 4 2" xfId="27776"/>
    <cellStyle name="20% - Accent4 5 2 3 5" xfId="5657"/>
    <cellStyle name="20% - Accent4 5 2 3 5 2" xfId="28432"/>
    <cellStyle name="20% - Accent4 5 2 3 6" xfId="6313"/>
    <cellStyle name="20% - Accent4 5 2 3 6 2" xfId="29088"/>
    <cellStyle name="20% - Accent4 5 2 3 7" xfId="3033"/>
    <cellStyle name="20% - Accent4 5 2 3 7 2" xfId="25808"/>
    <cellStyle name="20% - Accent4 5 2 3 8" xfId="6969"/>
    <cellStyle name="20% - Accent4 5 2 3 8 2" xfId="29744"/>
    <cellStyle name="20% - Accent4 5 2 3 9" xfId="7625"/>
    <cellStyle name="20% - Accent4 5 2 3 9 2" xfId="30400"/>
    <cellStyle name="20% - Accent4 5 2 30" xfId="19105"/>
    <cellStyle name="20% - Accent4 5 2 30 2" xfId="41880"/>
    <cellStyle name="20% - Accent4 5 2 31" xfId="19761"/>
    <cellStyle name="20% - Accent4 5 2 31 2" xfId="42536"/>
    <cellStyle name="20% - Accent4 5 2 32" xfId="20417"/>
    <cellStyle name="20% - Accent4 5 2 32 2" xfId="43192"/>
    <cellStyle name="20% - Accent4 5 2 33" xfId="21073"/>
    <cellStyle name="20% - Accent4 5 2 33 2" xfId="43848"/>
    <cellStyle name="20% - Accent4 5 2 34" xfId="21729"/>
    <cellStyle name="20% - Accent4 5 2 34 2" xfId="44504"/>
    <cellStyle name="20% - Accent4 5 2 35" xfId="22385"/>
    <cellStyle name="20% - Accent4 5 2 35 2" xfId="45160"/>
    <cellStyle name="20% - Accent4 5 2 36" xfId="23041"/>
    <cellStyle name="20% - Accent4 5 2 4" xfId="410"/>
    <cellStyle name="20% - Accent4 5 2 4 2" xfId="2705"/>
    <cellStyle name="20% - Accent4 5 2 4 2 2" xfId="25480"/>
    <cellStyle name="20% - Accent4 5 2 4 3" xfId="23184"/>
    <cellStyle name="20% - Accent4 5 2 5" xfId="1065"/>
    <cellStyle name="20% - Accent4 5 2 5 2" xfId="3361"/>
    <cellStyle name="20% - Accent4 5 2 5 2 2" xfId="26136"/>
    <cellStyle name="20% - Accent4 5 2 5 3" xfId="23840"/>
    <cellStyle name="20% - Accent4 5 2 6" xfId="1721"/>
    <cellStyle name="20% - Accent4 5 2 6 2" xfId="4017"/>
    <cellStyle name="20% - Accent4 5 2 6 2 2" xfId="26792"/>
    <cellStyle name="20% - Accent4 5 2 6 3" xfId="24496"/>
    <cellStyle name="20% - Accent4 5 2 7" xfId="4673"/>
    <cellStyle name="20% - Accent4 5 2 7 2" xfId="27448"/>
    <cellStyle name="20% - Accent4 5 2 8" xfId="5329"/>
    <cellStyle name="20% - Accent4 5 2 8 2" xfId="28104"/>
    <cellStyle name="20% - Accent4 5 2 9" xfId="5985"/>
    <cellStyle name="20% - Accent4 5 2 9 2" xfId="28760"/>
    <cellStyle name="20% - Accent4 5 20" xfId="11818"/>
    <cellStyle name="20% - Accent4 5 20 2" xfId="34593"/>
    <cellStyle name="20% - Accent4 5 21" xfId="12474"/>
    <cellStyle name="20% - Accent4 5 21 2" xfId="35249"/>
    <cellStyle name="20% - Accent4 5 22" xfId="13130"/>
    <cellStyle name="20% - Accent4 5 22 2" xfId="35905"/>
    <cellStyle name="20% - Accent4 5 23" xfId="13786"/>
    <cellStyle name="20% - Accent4 5 23 2" xfId="36561"/>
    <cellStyle name="20% - Accent4 5 24" xfId="14442"/>
    <cellStyle name="20% - Accent4 5 24 2" xfId="37217"/>
    <cellStyle name="20% - Accent4 5 25" xfId="15098"/>
    <cellStyle name="20% - Accent4 5 25 2" xfId="37873"/>
    <cellStyle name="20% - Accent4 5 26" xfId="15754"/>
    <cellStyle name="20% - Accent4 5 26 2" xfId="38529"/>
    <cellStyle name="20% - Accent4 5 27" xfId="16410"/>
    <cellStyle name="20% - Accent4 5 27 2" xfId="39185"/>
    <cellStyle name="20% - Accent4 5 28" xfId="17066"/>
    <cellStyle name="20% - Accent4 5 28 2" xfId="39841"/>
    <cellStyle name="20% - Accent4 5 29" xfId="17722"/>
    <cellStyle name="20% - Accent4 5 29 2" xfId="40497"/>
    <cellStyle name="20% - Accent4 5 3" xfId="523"/>
    <cellStyle name="20% - Accent4 5 3 10" xfId="6755"/>
    <cellStyle name="20% - Accent4 5 3 10 2" xfId="29530"/>
    <cellStyle name="20% - Accent4 5 3 11" xfId="7411"/>
    <cellStyle name="20% - Accent4 5 3 11 2" xfId="30186"/>
    <cellStyle name="20% - Accent4 5 3 12" xfId="8067"/>
    <cellStyle name="20% - Accent4 5 3 12 2" xfId="30842"/>
    <cellStyle name="20% - Accent4 5 3 13" xfId="8723"/>
    <cellStyle name="20% - Accent4 5 3 13 2" xfId="31498"/>
    <cellStyle name="20% - Accent4 5 3 14" xfId="9379"/>
    <cellStyle name="20% - Accent4 5 3 14 2" xfId="32154"/>
    <cellStyle name="20% - Accent4 5 3 15" xfId="10035"/>
    <cellStyle name="20% - Accent4 5 3 15 2" xfId="32810"/>
    <cellStyle name="20% - Accent4 5 3 16" xfId="10691"/>
    <cellStyle name="20% - Accent4 5 3 16 2" xfId="33466"/>
    <cellStyle name="20% - Accent4 5 3 17" xfId="11347"/>
    <cellStyle name="20% - Accent4 5 3 17 2" xfId="34122"/>
    <cellStyle name="20% - Accent4 5 3 18" xfId="12003"/>
    <cellStyle name="20% - Accent4 5 3 18 2" xfId="34778"/>
    <cellStyle name="20% - Accent4 5 3 19" xfId="12659"/>
    <cellStyle name="20% - Accent4 5 3 19 2" xfId="35434"/>
    <cellStyle name="20% - Accent4 5 3 2" xfId="851"/>
    <cellStyle name="20% - Accent4 5 3 2 10" xfId="8395"/>
    <cellStyle name="20% - Accent4 5 3 2 10 2" xfId="31170"/>
    <cellStyle name="20% - Accent4 5 3 2 11" xfId="9051"/>
    <cellStyle name="20% - Accent4 5 3 2 11 2" xfId="31826"/>
    <cellStyle name="20% - Accent4 5 3 2 12" xfId="9707"/>
    <cellStyle name="20% - Accent4 5 3 2 12 2" xfId="32482"/>
    <cellStyle name="20% - Accent4 5 3 2 13" xfId="10363"/>
    <cellStyle name="20% - Accent4 5 3 2 13 2" xfId="33138"/>
    <cellStyle name="20% - Accent4 5 3 2 14" xfId="11019"/>
    <cellStyle name="20% - Accent4 5 3 2 14 2" xfId="33794"/>
    <cellStyle name="20% - Accent4 5 3 2 15" xfId="11675"/>
    <cellStyle name="20% - Accent4 5 3 2 15 2" xfId="34450"/>
    <cellStyle name="20% - Accent4 5 3 2 16" xfId="12331"/>
    <cellStyle name="20% - Accent4 5 3 2 16 2" xfId="35106"/>
    <cellStyle name="20% - Accent4 5 3 2 17" xfId="12987"/>
    <cellStyle name="20% - Accent4 5 3 2 17 2" xfId="35762"/>
    <cellStyle name="20% - Accent4 5 3 2 18" xfId="13643"/>
    <cellStyle name="20% - Accent4 5 3 2 18 2" xfId="36418"/>
    <cellStyle name="20% - Accent4 5 3 2 19" xfId="14299"/>
    <cellStyle name="20% - Accent4 5 3 2 19 2" xfId="37074"/>
    <cellStyle name="20% - Accent4 5 3 2 2" xfId="1507"/>
    <cellStyle name="20% - Accent4 5 3 2 2 2" xfId="3803"/>
    <cellStyle name="20% - Accent4 5 3 2 2 2 2" xfId="26578"/>
    <cellStyle name="20% - Accent4 5 3 2 2 3" xfId="24282"/>
    <cellStyle name="20% - Accent4 5 3 2 20" xfId="14955"/>
    <cellStyle name="20% - Accent4 5 3 2 20 2" xfId="37730"/>
    <cellStyle name="20% - Accent4 5 3 2 21" xfId="15611"/>
    <cellStyle name="20% - Accent4 5 3 2 21 2" xfId="38386"/>
    <cellStyle name="20% - Accent4 5 3 2 22" xfId="16267"/>
    <cellStyle name="20% - Accent4 5 3 2 22 2" xfId="39042"/>
    <cellStyle name="20% - Accent4 5 3 2 23" xfId="16923"/>
    <cellStyle name="20% - Accent4 5 3 2 23 2" xfId="39698"/>
    <cellStyle name="20% - Accent4 5 3 2 24" xfId="17579"/>
    <cellStyle name="20% - Accent4 5 3 2 24 2" xfId="40354"/>
    <cellStyle name="20% - Accent4 5 3 2 25" xfId="18235"/>
    <cellStyle name="20% - Accent4 5 3 2 25 2" xfId="41010"/>
    <cellStyle name="20% - Accent4 5 3 2 26" xfId="18891"/>
    <cellStyle name="20% - Accent4 5 3 2 26 2" xfId="41666"/>
    <cellStyle name="20% - Accent4 5 3 2 27" xfId="19547"/>
    <cellStyle name="20% - Accent4 5 3 2 27 2" xfId="42322"/>
    <cellStyle name="20% - Accent4 5 3 2 28" xfId="20203"/>
    <cellStyle name="20% - Accent4 5 3 2 28 2" xfId="42978"/>
    <cellStyle name="20% - Accent4 5 3 2 29" xfId="20859"/>
    <cellStyle name="20% - Accent4 5 3 2 29 2" xfId="43634"/>
    <cellStyle name="20% - Accent4 5 3 2 3" xfId="2163"/>
    <cellStyle name="20% - Accent4 5 3 2 3 2" xfId="4459"/>
    <cellStyle name="20% - Accent4 5 3 2 3 2 2" xfId="27234"/>
    <cellStyle name="20% - Accent4 5 3 2 3 3" xfId="24938"/>
    <cellStyle name="20% - Accent4 5 3 2 30" xfId="21515"/>
    <cellStyle name="20% - Accent4 5 3 2 30 2" xfId="44290"/>
    <cellStyle name="20% - Accent4 5 3 2 31" xfId="22171"/>
    <cellStyle name="20% - Accent4 5 3 2 31 2" xfId="44946"/>
    <cellStyle name="20% - Accent4 5 3 2 32" xfId="22827"/>
    <cellStyle name="20% - Accent4 5 3 2 32 2" xfId="45602"/>
    <cellStyle name="20% - Accent4 5 3 2 33" xfId="23626"/>
    <cellStyle name="20% - Accent4 5 3 2 4" xfId="5115"/>
    <cellStyle name="20% - Accent4 5 3 2 4 2" xfId="27890"/>
    <cellStyle name="20% - Accent4 5 3 2 5" xfId="5771"/>
    <cellStyle name="20% - Accent4 5 3 2 5 2" xfId="28546"/>
    <cellStyle name="20% - Accent4 5 3 2 6" xfId="6427"/>
    <cellStyle name="20% - Accent4 5 3 2 6 2" xfId="29202"/>
    <cellStyle name="20% - Accent4 5 3 2 7" xfId="3147"/>
    <cellStyle name="20% - Accent4 5 3 2 7 2" xfId="25922"/>
    <cellStyle name="20% - Accent4 5 3 2 8" xfId="7083"/>
    <cellStyle name="20% - Accent4 5 3 2 8 2" xfId="29858"/>
    <cellStyle name="20% - Accent4 5 3 2 9" xfId="7739"/>
    <cellStyle name="20% - Accent4 5 3 2 9 2" xfId="30514"/>
    <cellStyle name="20% - Accent4 5 3 20" xfId="13315"/>
    <cellStyle name="20% - Accent4 5 3 20 2" xfId="36090"/>
    <cellStyle name="20% - Accent4 5 3 21" xfId="13971"/>
    <cellStyle name="20% - Accent4 5 3 21 2" xfId="36746"/>
    <cellStyle name="20% - Accent4 5 3 22" xfId="14627"/>
    <cellStyle name="20% - Accent4 5 3 22 2" xfId="37402"/>
    <cellStyle name="20% - Accent4 5 3 23" xfId="15283"/>
    <cellStyle name="20% - Accent4 5 3 23 2" xfId="38058"/>
    <cellStyle name="20% - Accent4 5 3 24" xfId="15939"/>
    <cellStyle name="20% - Accent4 5 3 24 2" xfId="38714"/>
    <cellStyle name="20% - Accent4 5 3 25" xfId="16595"/>
    <cellStyle name="20% - Accent4 5 3 25 2" xfId="39370"/>
    <cellStyle name="20% - Accent4 5 3 26" xfId="17251"/>
    <cellStyle name="20% - Accent4 5 3 26 2" xfId="40026"/>
    <cellStyle name="20% - Accent4 5 3 27" xfId="17907"/>
    <cellStyle name="20% - Accent4 5 3 27 2" xfId="40682"/>
    <cellStyle name="20% - Accent4 5 3 28" xfId="18563"/>
    <cellStyle name="20% - Accent4 5 3 28 2" xfId="41338"/>
    <cellStyle name="20% - Accent4 5 3 29" xfId="19219"/>
    <cellStyle name="20% - Accent4 5 3 29 2" xfId="41994"/>
    <cellStyle name="20% - Accent4 5 3 3" xfId="1179"/>
    <cellStyle name="20% - Accent4 5 3 3 2" xfId="2819"/>
    <cellStyle name="20% - Accent4 5 3 3 2 2" xfId="25594"/>
    <cellStyle name="20% - Accent4 5 3 3 3" xfId="23954"/>
    <cellStyle name="20% - Accent4 5 3 30" xfId="19875"/>
    <cellStyle name="20% - Accent4 5 3 30 2" xfId="42650"/>
    <cellStyle name="20% - Accent4 5 3 31" xfId="20531"/>
    <cellStyle name="20% - Accent4 5 3 31 2" xfId="43306"/>
    <cellStyle name="20% - Accent4 5 3 32" xfId="21187"/>
    <cellStyle name="20% - Accent4 5 3 32 2" xfId="43962"/>
    <cellStyle name="20% - Accent4 5 3 33" xfId="21843"/>
    <cellStyle name="20% - Accent4 5 3 33 2" xfId="44618"/>
    <cellStyle name="20% - Accent4 5 3 34" xfId="22499"/>
    <cellStyle name="20% - Accent4 5 3 34 2" xfId="45274"/>
    <cellStyle name="20% - Accent4 5 3 35" xfId="23298"/>
    <cellStyle name="20% - Accent4 5 3 4" xfId="1835"/>
    <cellStyle name="20% - Accent4 5 3 4 2" xfId="3475"/>
    <cellStyle name="20% - Accent4 5 3 4 2 2" xfId="26250"/>
    <cellStyle name="20% - Accent4 5 3 4 3" xfId="24610"/>
    <cellStyle name="20% - Accent4 5 3 5" xfId="4131"/>
    <cellStyle name="20% - Accent4 5 3 5 2" xfId="26906"/>
    <cellStyle name="20% - Accent4 5 3 6" xfId="4787"/>
    <cellStyle name="20% - Accent4 5 3 6 2" xfId="27562"/>
    <cellStyle name="20% - Accent4 5 3 7" xfId="5443"/>
    <cellStyle name="20% - Accent4 5 3 7 2" xfId="28218"/>
    <cellStyle name="20% - Accent4 5 3 8" xfId="6099"/>
    <cellStyle name="20% - Accent4 5 3 8 2" xfId="28874"/>
    <cellStyle name="20% - Accent4 5 3 9" xfId="2491"/>
    <cellStyle name="20% - Accent4 5 3 9 2" xfId="25266"/>
    <cellStyle name="20% - Accent4 5 30" xfId="18378"/>
    <cellStyle name="20% - Accent4 5 30 2" xfId="41153"/>
    <cellStyle name="20% - Accent4 5 31" xfId="19034"/>
    <cellStyle name="20% - Accent4 5 31 2" xfId="41809"/>
    <cellStyle name="20% - Accent4 5 32" xfId="19690"/>
    <cellStyle name="20% - Accent4 5 32 2" xfId="42465"/>
    <cellStyle name="20% - Accent4 5 33" xfId="20346"/>
    <cellStyle name="20% - Accent4 5 33 2" xfId="43121"/>
    <cellStyle name="20% - Accent4 5 34" xfId="21002"/>
    <cellStyle name="20% - Accent4 5 34 2" xfId="43777"/>
    <cellStyle name="20% - Accent4 5 35" xfId="21658"/>
    <cellStyle name="20% - Accent4 5 35 2" xfId="44433"/>
    <cellStyle name="20% - Accent4 5 36" xfId="22314"/>
    <cellStyle name="20% - Accent4 5 36 2" xfId="45089"/>
    <cellStyle name="20% - Accent4 5 37" xfId="253"/>
    <cellStyle name="20% - Accent4 5 38" xfId="22970"/>
    <cellStyle name="20% - Accent4 5 4" xfId="666"/>
    <cellStyle name="20% - Accent4 5 4 10" xfId="8210"/>
    <cellStyle name="20% - Accent4 5 4 10 2" xfId="30985"/>
    <cellStyle name="20% - Accent4 5 4 11" xfId="8866"/>
    <cellStyle name="20% - Accent4 5 4 11 2" xfId="31641"/>
    <cellStyle name="20% - Accent4 5 4 12" xfId="9522"/>
    <cellStyle name="20% - Accent4 5 4 12 2" xfId="32297"/>
    <cellStyle name="20% - Accent4 5 4 13" xfId="10178"/>
    <cellStyle name="20% - Accent4 5 4 13 2" xfId="32953"/>
    <cellStyle name="20% - Accent4 5 4 14" xfId="10834"/>
    <cellStyle name="20% - Accent4 5 4 14 2" xfId="33609"/>
    <cellStyle name="20% - Accent4 5 4 15" xfId="11490"/>
    <cellStyle name="20% - Accent4 5 4 15 2" xfId="34265"/>
    <cellStyle name="20% - Accent4 5 4 16" xfId="12146"/>
    <cellStyle name="20% - Accent4 5 4 16 2" xfId="34921"/>
    <cellStyle name="20% - Accent4 5 4 17" xfId="12802"/>
    <cellStyle name="20% - Accent4 5 4 17 2" xfId="35577"/>
    <cellStyle name="20% - Accent4 5 4 18" xfId="13458"/>
    <cellStyle name="20% - Accent4 5 4 18 2" xfId="36233"/>
    <cellStyle name="20% - Accent4 5 4 19" xfId="14114"/>
    <cellStyle name="20% - Accent4 5 4 19 2" xfId="36889"/>
    <cellStyle name="20% - Accent4 5 4 2" xfId="1322"/>
    <cellStyle name="20% - Accent4 5 4 2 2" xfId="3618"/>
    <cellStyle name="20% - Accent4 5 4 2 2 2" xfId="26393"/>
    <cellStyle name="20% - Accent4 5 4 2 3" xfId="24097"/>
    <cellStyle name="20% - Accent4 5 4 20" xfId="14770"/>
    <cellStyle name="20% - Accent4 5 4 20 2" xfId="37545"/>
    <cellStyle name="20% - Accent4 5 4 21" xfId="15426"/>
    <cellStyle name="20% - Accent4 5 4 21 2" xfId="38201"/>
    <cellStyle name="20% - Accent4 5 4 22" xfId="16082"/>
    <cellStyle name="20% - Accent4 5 4 22 2" xfId="38857"/>
    <cellStyle name="20% - Accent4 5 4 23" xfId="16738"/>
    <cellStyle name="20% - Accent4 5 4 23 2" xfId="39513"/>
    <cellStyle name="20% - Accent4 5 4 24" xfId="17394"/>
    <cellStyle name="20% - Accent4 5 4 24 2" xfId="40169"/>
    <cellStyle name="20% - Accent4 5 4 25" xfId="18050"/>
    <cellStyle name="20% - Accent4 5 4 25 2" xfId="40825"/>
    <cellStyle name="20% - Accent4 5 4 26" xfId="18706"/>
    <cellStyle name="20% - Accent4 5 4 26 2" xfId="41481"/>
    <cellStyle name="20% - Accent4 5 4 27" xfId="19362"/>
    <cellStyle name="20% - Accent4 5 4 27 2" xfId="42137"/>
    <cellStyle name="20% - Accent4 5 4 28" xfId="20018"/>
    <cellStyle name="20% - Accent4 5 4 28 2" xfId="42793"/>
    <cellStyle name="20% - Accent4 5 4 29" xfId="20674"/>
    <cellStyle name="20% - Accent4 5 4 29 2" xfId="43449"/>
    <cellStyle name="20% - Accent4 5 4 3" xfId="1978"/>
    <cellStyle name="20% - Accent4 5 4 3 2" xfId="4274"/>
    <cellStyle name="20% - Accent4 5 4 3 2 2" xfId="27049"/>
    <cellStyle name="20% - Accent4 5 4 3 3" xfId="24753"/>
    <cellStyle name="20% - Accent4 5 4 30" xfId="21330"/>
    <cellStyle name="20% - Accent4 5 4 30 2" xfId="44105"/>
    <cellStyle name="20% - Accent4 5 4 31" xfId="21986"/>
    <cellStyle name="20% - Accent4 5 4 31 2" xfId="44761"/>
    <cellStyle name="20% - Accent4 5 4 32" xfId="22642"/>
    <cellStyle name="20% - Accent4 5 4 32 2" xfId="45417"/>
    <cellStyle name="20% - Accent4 5 4 33" xfId="23441"/>
    <cellStyle name="20% - Accent4 5 4 4" xfId="4930"/>
    <cellStyle name="20% - Accent4 5 4 4 2" xfId="27705"/>
    <cellStyle name="20% - Accent4 5 4 5" xfId="5586"/>
    <cellStyle name="20% - Accent4 5 4 5 2" xfId="28361"/>
    <cellStyle name="20% - Accent4 5 4 6" xfId="6242"/>
    <cellStyle name="20% - Accent4 5 4 6 2" xfId="29017"/>
    <cellStyle name="20% - Accent4 5 4 7" xfId="2962"/>
    <cellStyle name="20% - Accent4 5 4 7 2" xfId="25737"/>
    <cellStyle name="20% - Accent4 5 4 8" xfId="6898"/>
    <cellStyle name="20% - Accent4 5 4 8 2" xfId="29673"/>
    <cellStyle name="20% - Accent4 5 4 9" xfId="7554"/>
    <cellStyle name="20% - Accent4 5 4 9 2" xfId="30329"/>
    <cellStyle name="20% - Accent4 5 5" xfId="339"/>
    <cellStyle name="20% - Accent4 5 5 2" xfId="2634"/>
    <cellStyle name="20% - Accent4 5 5 2 2" xfId="25409"/>
    <cellStyle name="20% - Accent4 5 5 3" xfId="23113"/>
    <cellStyle name="20% - Accent4 5 6" xfId="994"/>
    <cellStyle name="20% - Accent4 5 6 2" xfId="3290"/>
    <cellStyle name="20% - Accent4 5 6 2 2" xfId="26065"/>
    <cellStyle name="20% - Accent4 5 6 3" xfId="23769"/>
    <cellStyle name="20% - Accent4 5 7" xfId="1650"/>
    <cellStyle name="20% - Accent4 5 7 2" xfId="3946"/>
    <cellStyle name="20% - Accent4 5 7 2 2" xfId="26721"/>
    <cellStyle name="20% - Accent4 5 7 3" xfId="24425"/>
    <cellStyle name="20% - Accent4 5 8" xfId="4602"/>
    <cellStyle name="20% - Accent4 5 8 2" xfId="27377"/>
    <cellStyle name="20% - Accent4 5 9" xfId="5258"/>
    <cellStyle name="20% - Accent4 5 9 2" xfId="28033"/>
    <cellStyle name="20% - Accent4 6" xfId="121"/>
    <cellStyle name="20% - Accent4 6 10" xfId="2319"/>
    <cellStyle name="20% - Accent4 6 10 2" xfId="25094"/>
    <cellStyle name="20% - Accent4 6 11" xfId="6583"/>
    <cellStyle name="20% - Accent4 6 11 2" xfId="29358"/>
    <cellStyle name="20% - Accent4 6 12" xfId="7239"/>
    <cellStyle name="20% - Accent4 6 12 2" xfId="30014"/>
    <cellStyle name="20% - Accent4 6 13" xfId="7895"/>
    <cellStyle name="20% - Accent4 6 13 2" xfId="30670"/>
    <cellStyle name="20% - Accent4 6 14" xfId="8551"/>
    <cellStyle name="20% - Accent4 6 14 2" xfId="31326"/>
    <cellStyle name="20% - Accent4 6 15" xfId="9207"/>
    <cellStyle name="20% - Accent4 6 15 2" xfId="31982"/>
    <cellStyle name="20% - Accent4 6 16" xfId="9863"/>
    <cellStyle name="20% - Accent4 6 16 2" xfId="32638"/>
    <cellStyle name="20% - Accent4 6 17" xfId="10519"/>
    <cellStyle name="20% - Accent4 6 17 2" xfId="33294"/>
    <cellStyle name="20% - Accent4 6 18" xfId="11175"/>
    <cellStyle name="20% - Accent4 6 18 2" xfId="33950"/>
    <cellStyle name="20% - Accent4 6 19" xfId="11831"/>
    <cellStyle name="20% - Accent4 6 19 2" xfId="34606"/>
    <cellStyle name="20% - Accent4 6 2" xfId="535"/>
    <cellStyle name="20% - Accent4 6 2 10" xfId="6768"/>
    <cellStyle name="20% - Accent4 6 2 10 2" xfId="29543"/>
    <cellStyle name="20% - Accent4 6 2 11" xfId="7424"/>
    <cellStyle name="20% - Accent4 6 2 11 2" xfId="30199"/>
    <cellStyle name="20% - Accent4 6 2 12" xfId="8080"/>
    <cellStyle name="20% - Accent4 6 2 12 2" xfId="30855"/>
    <cellStyle name="20% - Accent4 6 2 13" xfId="8736"/>
    <cellStyle name="20% - Accent4 6 2 13 2" xfId="31511"/>
    <cellStyle name="20% - Accent4 6 2 14" xfId="9392"/>
    <cellStyle name="20% - Accent4 6 2 14 2" xfId="32167"/>
    <cellStyle name="20% - Accent4 6 2 15" xfId="10048"/>
    <cellStyle name="20% - Accent4 6 2 15 2" xfId="32823"/>
    <cellStyle name="20% - Accent4 6 2 16" xfId="10704"/>
    <cellStyle name="20% - Accent4 6 2 16 2" xfId="33479"/>
    <cellStyle name="20% - Accent4 6 2 17" xfId="11360"/>
    <cellStyle name="20% - Accent4 6 2 17 2" xfId="34135"/>
    <cellStyle name="20% - Accent4 6 2 18" xfId="12016"/>
    <cellStyle name="20% - Accent4 6 2 18 2" xfId="34791"/>
    <cellStyle name="20% - Accent4 6 2 19" xfId="12672"/>
    <cellStyle name="20% - Accent4 6 2 19 2" xfId="35447"/>
    <cellStyle name="20% - Accent4 6 2 2" xfId="864"/>
    <cellStyle name="20% - Accent4 6 2 2 10" xfId="8408"/>
    <cellStyle name="20% - Accent4 6 2 2 10 2" xfId="31183"/>
    <cellStyle name="20% - Accent4 6 2 2 11" xfId="9064"/>
    <cellStyle name="20% - Accent4 6 2 2 11 2" xfId="31839"/>
    <cellStyle name="20% - Accent4 6 2 2 12" xfId="9720"/>
    <cellStyle name="20% - Accent4 6 2 2 12 2" xfId="32495"/>
    <cellStyle name="20% - Accent4 6 2 2 13" xfId="10376"/>
    <cellStyle name="20% - Accent4 6 2 2 13 2" xfId="33151"/>
    <cellStyle name="20% - Accent4 6 2 2 14" xfId="11032"/>
    <cellStyle name="20% - Accent4 6 2 2 14 2" xfId="33807"/>
    <cellStyle name="20% - Accent4 6 2 2 15" xfId="11688"/>
    <cellStyle name="20% - Accent4 6 2 2 15 2" xfId="34463"/>
    <cellStyle name="20% - Accent4 6 2 2 16" xfId="12344"/>
    <cellStyle name="20% - Accent4 6 2 2 16 2" xfId="35119"/>
    <cellStyle name="20% - Accent4 6 2 2 17" xfId="13000"/>
    <cellStyle name="20% - Accent4 6 2 2 17 2" xfId="35775"/>
    <cellStyle name="20% - Accent4 6 2 2 18" xfId="13656"/>
    <cellStyle name="20% - Accent4 6 2 2 18 2" xfId="36431"/>
    <cellStyle name="20% - Accent4 6 2 2 19" xfId="14312"/>
    <cellStyle name="20% - Accent4 6 2 2 19 2" xfId="37087"/>
    <cellStyle name="20% - Accent4 6 2 2 2" xfId="1520"/>
    <cellStyle name="20% - Accent4 6 2 2 2 2" xfId="3816"/>
    <cellStyle name="20% - Accent4 6 2 2 2 2 2" xfId="26591"/>
    <cellStyle name="20% - Accent4 6 2 2 2 3" xfId="24295"/>
    <cellStyle name="20% - Accent4 6 2 2 20" xfId="14968"/>
    <cellStyle name="20% - Accent4 6 2 2 20 2" xfId="37743"/>
    <cellStyle name="20% - Accent4 6 2 2 21" xfId="15624"/>
    <cellStyle name="20% - Accent4 6 2 2 21 2" xfId="38399"/>
    <cellStyle name="20% - Accent4 6 2 2 22" xfId="16280"/>
    <cellStyle name="20% - Accent4 6 2 2 22 2" xfId="39055"/>
    <cellStyle name="20% - Accent4 6 2 2 23" xfId="16936"/>
    <cellStyle name="20% - Accent4 6 2 2 23 2" xfId="39711"/>
    <cellStyle name="20% - Accent4 6 2 2 24" xfId="17592"/>
    <cellStyle name="20% - Accent4 6 2 2 24 2" xfId="40367"/>
    <cellStyle name="20% - Accent4 6 2 2 25" xfId="18248"/>
    <cellStyle name="20% - Accent4 6 2 2 25 2" xfId="41023"/>
    <cellStyle name="20% - Accent4 6 2 2 26" xfId="18904"/>
    <cellStyle name="20% - Accent4 6 2 2 26 2" xfId="41679"/>
    <cellStyle name="20% - Accent4 6 2 2 27" xfId="19560"/>
    <cellStyle name="20% - Accent4 6 2 2 27 2" xfId="42335"/>
    <cellStyle name="20% - Accent4 6 2 2 28" xfId="20216"/>
    <cellStyle name="20% - Accent4 6 2 2 28 2" xfId="42991"/>
    <cellStyle name="20% - Accent4 6 2 2 29" xfId="20872"/>
    <cellStyle name="20% - Accent4 6 2 2 29 2" xfId="43647"/>
    <cellStyle name="20% - Accent4 6 2 2 3" xfId="2176"/>
    <cellStyle name="20% - Accent4 6 2 2 3 2" xfId="4472"/>
    <cellStyle name="20% - Accent4 6 2 2 3 2 2" xfId="27247"/>
    <cellStyle name="20% - Accent4 6 2 2 3 3" xfId="24951"/>
    <cellStyle name="20% - Accent4 6 2 2 30" xfId="21528"/>
    <cellStyle name="20% - Accent4 6 2 2 30 2" xfId="44303"/>
    <cellStyle name="20% - Accent4 6 2 2 31" xfId="22184"/>
    <cellStyle name="20% - Accent4 6 2 2 31 2" xfId="44959"/>
    <cellStyle name="20% - Accent4 6 2 2 32" xfId="22840"/>
    <cellStyle name="20% - Accent4 6 2 2 32 2" xfId="45615"/>
    <cellStyle name="20% - Accent4 6 2 2 33" xfId="23639"/>
    <cellStyle name="20% - Accent4 6 2 2 4" xfId="5128"/>
    <cellStyle name="20% - Accent4 6 2 2 4 2" xfId="27903"/>
    <cellStyle name="20% - Accent4 6 2 2 5" xfId="5784"/>
    <cellStyle name="20% - Accent4 6 2 2 5 2" xfId="28559"/>
    <cellStyle name="20% - Accent4 6 2 2 6" xfId="6440"/>
    <cellStyle name="20% - Accent4 6 2 2 6 2" xfId="29215"/>
    <cellStyle name="20% - Accent4 6 2 2 7" xfId="3160"/>
    <cellStyle name="20% - Accent4 6 2 2 7 2" xfId="25935"/>
    <cellStyle name="20% - Accent4 6 2 2 8" xfId="7096"/>
    <cellStyle name="20% - Accent4 6 2 2 8 2" xfId="29871"/>
    <cellStyle name="20% - Accent4 6 2 2 9" xfId="7752"/>
    <cellStyle name="20% - Accent4 6 2 2 9 2" xfId="30527"/>
    <cellStyle name="20% - Accent4 6 2 20" xfId="13328"/>
    <cellStyle name="20% - Accent4 6 2 20 2" xfId="36103"/>
    <cellStyle name="20% - Accent4 6 2 21" xfId="13984"/>
    <cellStyle name="20% - Accent4 6 2 21 2" xfId="36759"/>
    <cellStyle name="20% - Accent4 6 2 22" xfId="14640"/>
    <cellStyle name="20% - Accent4 6 2 22 2" xfId="37415"/>
    <cellStyle name="20% - Accent4 6 2 23" xfId="15296"/>
    <cellStyle name="20% - Accent4 6 2 23 2" xfId="38071"/>
    <cellStyle name="20% - Accent4 6 2 24" xfId="15952"/>
    <cellStyle name="20% - Accent4 6 2 24 2" xfId="38727"/>
    <cellStyle name="20% - Accent4 6 2 25" xfId="16608"/>
    <cellStyle name="20% - Accent4 6 2 25 2" xfId="39383"/>
    <cellStyle name="20% - Accent4 6 2 26" xfId="17264"/>
    <cellStyle name="20% - Accent4 6 2 26 2" xfId="40039"/>
    <cellStyle name="20% - Accent4 6 2 27" xfId="17920"/>
    <cellStyle name="20% - Accent4 6 2 27 2" xfId="40695"/>
    <cellStyle name="20% - Accent4 6 2 28" xfId="18576"/>
    <cellStyle name="20% - Accent4 6 2 28 2" xfId="41351"/>
    <cellStyle name="20% - Accent4 6 2 29" xfId="19232"/>
    <cellStyle name="20% - Accent4 6 2 29 2" xfId="42007"/>
    <cellStyle name="20% - Accent4 6 2 3" xfId="1192"/>
    <cellStyle name="20% - Accent4 6 2 3 2" xfId="2832"/>
    <cellStyle name="20% - Accent4 6 2 3 2 2" xfId="25607"/>
    <cellStyle name="20% - Accent4 6 2 3 3" xfId="23967"/>
    <cellStyle name="20% - Accent4 6 2 30" xfId="19888"/>
    <cellStyle name="20% - Accent4 6 2 30 2" xfId="42663"/>
    <cellStyle name="20% - Accent4 6 2 31" xfId="20544"/>
    <cellStyle name="20% - Accent4 6 2 31 2" xfId="43319"/>
    <cellStyle name="20% - Accent4 6 2 32" xfId="21200"/>
    <cellStyle name="20% - Accent4 6 2 32 2" xfId="43975"/>
    <cellStyle name="20% - Accent4 6 2 33" xfId="21856"/>
    <cellStyle name="20% - Accent4 6 2 33 2" xfId="44631"/>
    <cellStyle name="20% - Accent4 6 2 34" xfId="22512"/>
    <cellStyle name="20% - Accent4 6 2 34 2" xfId="45287"/>
    <cellStyle name="20% - Accent4 6 2 35" xfId="23311"/>
    <cellStyle name="20% - Accent4 6 2 4" xfId="1848"/>
    <cellStyle name="20% - Accent4 6 2 4 2" xfId="3488"/>
    <cellStyle name="20% - Accent4 6 2 4 2 2" xfId="26263"/>
    <cellStyle name="20% - Accent4 6 2 4 3" xfId="24623"/>
    <cellStyle name="20% - Accent4 6 2 5" xfId="4144"/>
    <cellStyle name="20% - Accent4 6 2 5 2" xfId="26919"/>
    <cellStyle name="20% - Accent4 6 2 6" xfId="4800"/>
    <cellStyle name="20% - Accent4 6 2 6 2" xfId="27575"/>
    <cellStyle name="20% - Accent4 6 2 7" xfId="5456"/>
    <cellStyle name="20% - Accent4 6 2 7 2" xfId="28231"/>
    <cellStyle name="20% - Accent4 6 2 8" xfId="6112"/>
    <cellStyle name="20% - Accent4 6 2 8 2" xfId="28887"/>
    <cellStyle name="20% - Accent4 6 2 9" xfId="2504"/>
    <cellStyle name="20% - Accent4 6 2 9 2" xfId="25279"/>
    <cellStyle name="20% - Accent4 6 20" xfId="12487"/>
    <cellStyle name="20% - Accent4 6 20 2" xfId="35262"/>
    <cellStyle name="20% - Accent4 6 21" xfId="13143"/>
    <cellStyle name="20% - Accent4 6 21 2" xfId="35918"/>
    <cellStyle name="20% - Accent4 6 22" xfId="13799"/>
    <cellStyle name="20% - Accent4 6 22 2" xfId="36574"/>
    <cellStyle name="20% - Accent4 6 23" xfId="14455"/>
    <cellStyle name="20% - Accent4 6 23 2" xfId="37230"/>
    <cellStyle name="20% - Accent4 6 24" xfId="15111"/>
    <cellStyle name="20% - Accent4 6 24 2" xfId="37886"/>
    <cellStyle name="20% - Accent4 6 25" xfId="15767"/>
    <cellStyle name="20% - Accent4 6 25 2" xfId="38542"/>
    <cellStyle name="20% - Accent4 6 26" xfId="16423"/>
    <cellStyle name="20% - Accent4 6 26 2" xfId="39198"/>
    <cellStyle name="20% - Accent4 6 27" xfId="17079"/>
    <cellStyle name="20% - Accent4 6 27 2" xfId="39854"/>
    <cellStyle name="20% - Accent4 6 28" xfId="17735"/>
    <cellStyle name="20% - Accent4 6 28 2" xfId="40510"/>
    <cellStyle name="20% - Accent4 6 29" xfId="18391"/>
    <cellStyle name="20% - Accent4 6 29 2" xfId="41166"/>
    <cellStyle name="20% - Accent4 6 3" xfId="679"/>
    <cellStyle name="20% - Accent4 6 3 10" xfId="8223"/>
    <cellStyle name="20% - Accent4 6 3 10 2" xfId="30998"/>
    <cellStyle name="20% - Accent4 6 3 11" xfId="8879"/>
    <cellStyle name="20% - Accent4 6 3 11 2" xfId="31654"/>
    <cellStyle name="20% - Accent4 6 3 12" xfId="9535"/>
    <cellStyle name="20% - Accent4 6 3 12 2" xfId="32310"/>
    <cellStyle name="20% - Accent4 6 3 13" xfId="10191"/>
    <cellStyle name="20% - Accent4 6 3 13 2" xfId="32966"/>
    <cellStyle name="20% - Accent4 6 3 14" xfId="10847"/>
    <cellStyle name="20% - Accent4 6 3 14 2" xfId="33622"/>
    <cellStyle name="20% - Accent4 6 3 15" xfId="11503"/>
    <cellStyle name="20% - Accent4 6 3 15 2" xfId="34278"/>
    <cellStyle name="20% - Accent4 6 3 16" xfId="12159"/>
    <cellStyle name="20% - Accent4 6 3 16 2" xfId="34934"/>
    <cellStyle name="20% - Accent4 6 3 17" xfId="12815"/>
    <cellStyle name="20% - Accent4 6 3 17 2" xfId="35590"/>
    <cellStyle name="20% - Accent4 6 3 18" xfId="13471"/>
    <cellStyle name="20% - Accent4 6 3 18 2" xfId="36246"/>
    <cellStyle name="20% - Accent4 6 3 19" xfId="14127"/>
    <cellStyle name="20% - Accent4 6 3 19 2" xfId="36902"/>
    <cellStyle name="20% - Accent4 6 3 2" xfId="1335"/>
    <cellStyle name="20% - Accent4 6 3 2 2" xfId="3631"/>
    <cellStyle name="20% - Accent4 6 3 2 2 2" xfId="26406"/>
    <cellStyle name="20% - Accent4 6 3 2 3" xfId="24110"/>
    <cellStyle name="20% - Accent4 6 3 20" xfId="14783"/>
    <cellStyle name="20% - Accent4 6 3 20 2" xfId="37558"/>
    <cellStyle name="20% - Accent4 6 3 21" xfId="15439"/>
    <cellStyle name="20% - Accent4 6 3 21 2" xfId="38214"/>
    <cellStyle name="20% - Accent4 6 3 22" xfId="16095"/>
    <cellStyle name="20% - Accent4 6 3 22 2" xfId="38870"/>
    <cellStyle name="20% - Accent4 6 3 23" xfId="16751"/>
    <cellStyle name="20% - Accent4 6 3 23 2" xfId="39526"/>
    <cellStyle name="20% - Accent4 6 3 24" xfId="17407"/>
    <cellStyle name="20% - Accent4 6 3 24 2" xfId="40182"/>
    <cellStyle name="20% - Accent4 6 3 25" xfId="18063"/>
    <cellStyle name="20% - Accent4 6 3 25 2" xfId="40838"/>
    <cellStyle name="20% - Accent4 6 3 26" xfId="18719"/>
    <cellStyle name="20% - Accent4 6 3 26 2" xfId="41494"/>
    <cellStyle name="20% - Accent4 6 3 27" xfId="19375"/>
    <cellStyle name="20% - Accent4 6 3 27 2" xfId="42150"/>
    <cellStyle name="20% - Accent4 6 3 28" xfId="20031"/>
    <cellStyle name="20% - Accent4 6 3 28 2" xfId="42806"/>
    <cellStyle name="20% - Accent4 6 3 29" xfId="20687"/>
    <cellStyle name="20% - Accent4 6 3 29 2" xfId="43462"/>
    <cellStyle name="20% - Accent4 6 3 3" xfId="1991"/>
    <cellStyle name="20% - Accent4 6 3 3 2" xfId="4287"/>
    <cellStyle name="20% - Accent4 6 3 3 2 2" xfId="27062"/>
    <cellStyle name="20% - Accent4 6 3 3 3" xfId="24766"/>
    <cellStyle name="20% - Accent4 6 3 30" xfId="21343"/>
    <cellStyle name="20% - Accent4 6 3 30 2" xfId="44118"/>
    <cellStyle name="20% - Accent4 6 3 31" xfId="21999"/>
    <cellStyle name="20% - Accent4 6 3 31 2" xfId="44774"/>
    <cellStyle name="20% - Accent4 6 3 32" xfId="22655"/>
    <cellStyle name="20% - Accent4 6 3 32 2" xfId="45430"/>
    <cellStyle name="20% - Accent4 6 3 33" xfId="23454"/>
    <cellStyle name="20% - Accent4 6 3 4" xfId="4943"/>
    <cellStyle name="20% - Accent4 6 3 4 2" xfId="27718"/>
    <cellStyle name="20% - Accent4 6 3 5" xfId="5599"/>
    <cellStyle name="20% - Accent4 6 3 5 2" xfId="28374"/>
    <cellStyle name="20% - Accent4 6 3 6" xfId="6255"/>
    <cellStyle name="20% - Accent4 6 3 6 2" xfId="29030"/>
    <cellStyle name="20% - Accent4 6 3 7" xfId="2975"/>
    <cellStyle name="20% - Accent4 6 3 7 2" xfId="25750"/>
    <cellStyle name="20% - Accent4 6 3 8" xfId="6911"/>
    <cellStyle name="20% - Accent4 6 3 8 2" xfId="29686"/>
    <cellStyle name="20% - Accent4 6 3 9" xfId="7567"/>
    <cellStyle name="20% - Accent4 6 3 9 2" xfId="30342"/>
    <cellStyle name="20% - Accent4 6 30" xfId="19047"/>
    <cellStyle name="20% - Accent4 6 30 2" xfId="41822"/>
    <cellStyle name="20% - Accent4 6 31" xfId="19703"/>
    <cellStyle name="20% - Accent4 6 31 2" xfId="42478"/>
    <cellStyle name="20% - Accent4 6 32" xfId="20359"/>
    <cellStyle name="20% - Accent4 6 32 2" xfId="43134"/>
    <cellStyle name="20% - Accent4 6 33" xfId="21015"/>
    <cellStyle name="20% - Accent4 6 33 2" xfId="43790"/>
    <cellStyle name="20% - Accent4 6 34" xfId="21671"/>
    <cellStyle name="20% - Accent4 6 34 2" xfId="44446"/>
    <cellStyle name="20% - Accent4 6 35" xfId="22327"/>
    <cellStyle name="20% - Accent4 6 35 2" xfId="45102"/>
    <cellStyle name="20% - Accent4 6 36" xfId="266"/>
    <cellStyle name="20% - Accent4 6 37" xfId="22983"/>
    <cellStyle name="20% - Accent4 6 4" xfId="352"/>
    <cellStyle name="20% - Accent4 6 4 2" xfId="2647"/>
    <cellStyle name="20% - Accent4 6 4 2 2" xfId="25422"/>
    <cellStyle name="20% - Accent4 6 4 3" xfId="23126"/>
    <cellStyle name="20% - Accent4 6 5" xfId="1007"/>
    <cellStyle name="20% - Accent4 6 5 2" xfId="3303"/>
    <cellStyle name="20% - Accent4 6 5 2 2" xfId="26078"/>
    <cellStyle name="20% - Accent4 6 5 3" xfId="23782"/>
    <cellStyle name="20% - Accent4 6 6" xfId="1663"/>
    <cellStyle name="20% - Accent4 6 6 2" xfId="3959"/>
    <cellStyle name="20% - Accent4 6 6 2 2" xfId="26734"/>
    <cellStyle name="20% - Accent4 6 6 3" xfId="24438"/>
    <cellStyle name="20% - Accent4 6 7" xfId="4615"/>
    <cellStyle name="20% - Accent4 6 7 2" xfId="27390"/>
    <cellStyle name="20% - Accent4 6 8" xfId="5271"/>
    <cellStyle name="20% - Accent4 6 8 2" xfId="28046"/>
    <cellStyle name="20% - Accent4 6 9" xfId="5927"/>
    <cellStyle name="20% - Accent4 6 9 2" xfId="28702"/>
    <cellStyle name="20% - Accent4 7" xfId="425"/>
    <cellStyle name="20% - Accent4 7 10" xfId="6656"/>
    <cellStyle name="20% - Accent4 7 10 2" xfId="29431"/>
    <cellStyle name="20% - Accent4 7 11" xfId="7312"/>
    <cellStyle name="20% - Accent4 7 11 2" xfId="30087"/>
    <cellStyle name="20% - Accent4 7 12" xfId="7968"/>
    <cellStyle name="20% - Accent4 7 12 2" xfId="30743"/>
    <cellStyle name="20% - Accent4 7 13" xfId="8624"/>
    <cellStyle name="20% - Accent4 7 13 2" xfId="31399"/>
    <cellStyle name="20% - Accent4 7 14" xfId="9280"/>
    <cellStyle name="20% - Accent4 7 14 2" xfId="32055"/>
    <cellStyle name="20% - Accent4 7 15" xfId="9936"/>
    <cellStyle name="20% - Accent4 7 15 2" xfId="32711"/>
    <cellStyle name="20% - Accent4 7 16" xfId="10592"/>
    <cellStyle name="20% - Accent4 7 16 2" xfId="33367"/>
    <cellStyle name="20% - Accent4 7 17" xfId="11248"/>
    <cellStyle name="20% - Accent4 7 17 2" xfId="34023"/>
    <cellStyle name="20% - Accent4 7 18" xfId="11904"/>
    <cellStyle name="20% - Accent4 7 18 2" xfId="34679"/>
    <cellStyle name="20% - Accent4 7 19" xfId="12560"/>
    <cellStyle name="20% - Accent4 7 19 2" xfId="35335"/>
    <cellStyle name="20% - Accent4 7 2" xfId="752"/>
    <cellStyle name="20% - Accent4 7 2 10" xfId="8296"/>
    <cellStyle name="20% - Accent4 7 2 10 2" xfId="31071"/>
    <cellStyle name="20% - Accent4 7 2 11" xfId="8952"/>
    <cellStyle name="20% - Accent4 7 2 11 2" xfId="31727"/>
    <cellStyle name="20% - Accent4 7 2 12" xfId="9608"/>
    <cellStyle name="20% - Accent4 7 2 12 2" xfId="32383"/>
    <cellStyle name="20% - Accent4 7 2 13" xfId="10264"/>
    <cellStyle name="20% - Accent4 7 2 13 2" xfId="33039"/>
    <cellStyle name="20% - Accent4 7 2 14" xfId="10920"/>
    <cellStyle name="20% - Accent4 7 2 14 2" xfId="33695"/>
    <cellStyle name="20% - Accent4 7 2 15" xfId="11576"/>
    <cellStyle name="20% - Accent4 7 2 15 2" xfId="34351"/>
    <cellStyle name="20% - Accent4 7 2 16" xfId="12232"/>
    <cellStyle name="20% - Accent4 7 2 16 2" xfId="35007"/>
    <cellStyle name="20% - Accent4 7 2 17" xfId="12888"/>
    <cellStyle name="20% - Accent4 7 2 17 2" xfId="35663"/>
    <cellStyle name="20% - Accent4 7 2 18" xfId="13544"/>
    <cellStyle name="20% - Accent4 7 2 18 2" xfId="36319"/>
    <cellStyle name="20% - Accent4 7 2 19" xfId="14200"/>
    <cellStyle name="20% - Accent4 7 2 19 2" xfId="36975"/>
    <cellStyle name="20% - Accent4 7 2 2" xfId="1408"/>
    <cellStyle name="20% - Accent4 7 2 2 2" xfId="3704"/>
    <cellStyle name="20% - Accent4 7 2 2 2 2" xfId="26479"/>
    <cellStyle name="20% - Accent4 7 2 2 3" xfId="24183"/>
    <cellStyle name="20% - Accent4 7 2 20" xfId="14856"/>
    <cellStyle name="20% - Accent4 7 2 20 2" xfId="37631"/>
    <cellStyle name="20% - Accent4 7 2 21" xfId="15512"/>
    <cellStyle name="20% - Accent4 7 2 21 2" xfId="38287"/>
    <cellStyle name="20% - Accent4 7 2 22" xfId="16168"/>
    <cellStyle name="20% - Accent4 7 2 22 2" xfId="38943"/>
    <cellStyle name="20% - Accent4 7 2 23" xfId="16824"/>
    <cellStyle name="20% - Accent4 7 2 23 2" xfId="39599"/>
    <cellStyle name="20% - Accent4 7 2 24" xfId="17480"/>
    <cellStyle name="20% - Accent4 7 2 24 2" xfId="40255"/>
    <cellStyle name="20% - Accent4 7 2 25" xfId="18136"/>
    <cellStyle name="20% - Accent4 7 2 25 2" xfId="40911"/>
    <cellStyle name="20% - Accent4 7 2 26" xfId="18792"/>
    <cellStyle name="20% - Accent4 7 2 26 2" xfId="41567"/>
    <cellStyle name="20% - Accent4 7 2 27" xfId="19448"/>
    <cellStyle name="20% - Accent4 7 2 27 2" xfId="42223"/>
    <cellStyle name="20% - Accent4 7 2 28" xfId="20104"/>
    <cellStyle name="20% - Accent4 7 2 28 2" xfId="42879"/>
    <cellStyle name="20% - Accent4 7 2 29" xfId="20760"/>
    <cellStyle name="20% - Accent4 7 2 29 2" xfId="43535"/>
    <cellStyle name="20% - Accent4 7 2 3" xfId="2064"/>
    <cellStyle name="20% - Accent4 7 2 3 2" xfId="4360"/>
    <cellStyle name="20% - Accent4 7 2 3 2 2" xfId="27135"/>
    <cellStyle name="20% - Accent4 7 2 3 3" xfId="24839"/>
    <cellStyle name="20% - Accent4 7 2 30" xfId="21416"/>
    <cellStyle name="20% - Accent4 7 2 30 2" xfId="44191"/>
    <cellStyle name="20% - Accent4 7 2 31" xfId="22072"/>
    <cellStyle name="20% - Accent4 7 2 31 2" xfId="44847"/>
    <cellStyle name="20% - Accent4 7 2 32" xfId="22728"/>
    <cellStyle name="20% - Accent4 7 2 32 2" xfId="45503"/>
    <cellStyle name="20% - Accent4 7 2 33" xfId="23527"/>
    <cellStyle name="20% - Accent4 7 2 4" xfId="5016"/>
    <cellStyle name="20% - Accent4 7 2 4 2" xfId="27791"/>
    <cellStyle name="20% - Accent4 7 2 5" xfId="5672"/>
    <cellStyle name="20% - Accent4 7 2 5 2" xfId="28447"/>
    <cellStyle name="20% - Accent4 7 2 6" xfId="6328"/>
    <cellStyle name="20% - Accent4 7 2 6 2" xfId="29103"/>
    <cellStyle name="20% - Accent4 7 2 7" xfId="3048"/>
    <cellStyle name="20% - Accent4 7 2 7 2" xfId="25823"/>
    <cellStyle name="20% - Accent4 7 2 8" xfId="6984"/>
    <cellStyle name="20% - Accent4 7 2 8 2" xfId="29759"/>
    <cellStyle name="20% - Accent4 7 2 9" xfId="7640"/>
    <cellStyle name="20% - Accent4 7 2 9 2" xfId="30415"/>
    <cellStyle name="20% - Accent4 7 20" xfId="13216"/>
    <cellStyle name="20% - Accent4 7 20 2" xfId="35991"/>
    <cellStyle name="20% - Accent4 7 21" xfId="13872"/>
    <cellStyle name="20% - Accent4 7 21 2" xfId="36647"/>
    <cellStyle name="20% - Accent4 7 22" xfId="14528"/>
    <cellStyle name="20% - Accent4 7 22 2" xfId="37303"/>
    <cellStyle name="20% - Accent4 7 23" xfId="15184"/>
    <cellStyle name="20% - Accent4 7 23 2" xfId="37959"/>
    <cellStyle name="20% - Accent4 7 24" xfId="15840"/>
    <cellStyle name="20% - Accent4 7 24 2" xfId="38615"/>
    <cellStyle name="20% - Accent4 7 25" xfId="16496"/>
    <cellStyle name="20% - Accent4 7 25 2" xfId="39271"/>
    <cellStyle name="20% - Accent4 7 26" xfId="17152"/>
    <cellStyle name="20% - Accent4 7 26 2" xfId="39927"/>
    <cellStyle name="20% - Accent4 7 27" xfId="17808"/>
    <cellStyle name="20% - Accent4 7 27 2" xfId="40583"/>
    <cellStyle name="20% - Accent4 7 28" xfId="18464"/>
    <cellStyle name="20% - Accent4 7 28 2" xfId="41239"/>
    <cellStyle name="20% - Accent4 7 29" xfId="19120"/>
    <cellStyle name="20% - Accent4 7 29 2" xfId="41895"/>
    <cellStyle name="20% - Accent4 7 3" xfId="1080"/>
    <cellStyle name="20% - Accent4 7 3 2" xfId="2720"/>
    <cellStyle name="20% - Accent4 7 3 2 2" xfId="25495"/>
    <cellStyle name="20% - Accent4 7 3 3" xfId="23855"/>
    <cellStyle name="20% - Accent4 7 30" xfId="19776"/>
    <cellStyle name="20% - Accent4 7 30 2" xfId="42551"/>
    <cellStyle name="20% - Accent4 7 31" xfId="20432"/>
    <cellStyle name="20% - Accent4 7 31 2" xfId="43207"/>
    <cellStyle name="20% - Accent4 7 32" xfId="21088"/>
    <cellStyle name="20% - Accent4 7 32 2" xfId="43863"/>
    <cellStyle name="20% - Accent4 7 33" xfId="21744"/>
    <cellStyle name="20% - Accent4 7 33 2" xfId="44519"/>
    <cellStyle name="20% - Accent4 7 34" xfId="22400"/>
    <cellStyle name="20% - Accent4 7 34 2" xfId="45175"/>
    <cellStyle name="20% - Accent4 7 35" xfId="23199"/>
    <cellStyle name="20% - Accent4 7 4" xfId="1736"/>
    <cellStyle name="20% - Accent4 7 4 2" xfId="3376"/>
    <cellStyle name="20% - Accent4 7 4 2 2" xfId="26151"/>
    <cellStyle name="20% - Accent4 7 4 3" xfId="24511"/>
    <cellStyle name="20% - Accent4 7 5" xfId="4032"/>
    <cellStyle name="20% - Accent4 7 5 2" xfId="26807"/>
    <cellStyle name="20% - Accent4 7 6" xfId="4688"/>
    <cellStyle name="20% - Accent4 7 6 2" xfId="27463"/>
    <cellStyle name="20% - Accent4 7 7" xfId="5344"/>
    <cellStyle name="20% - Accent4 7 7 2" xfId="28119"/>
    <cellStyle name="20% - Accent4 7 8" xfId="6000"/>
    <cellStyle name="20% - Accent4 7 8 2" xfId="28775"/>
    <cellStyle name="20% - Accent4 7 9" xfId="2392"/>
    <cellStyle name="20% - Accent4 7 9 2" xfId="25167"/>
    <cellStyle name="20% - Accent4 8" xfId="439"/>
    <cellStyle name="20% - Accent4 8 10" xfId="6670"/>
    <cellStyle name="20% - Accent4 8 10 2" xfId="29445"/>
    <cellStyle name="20% - Accent4 8 11" xfId="7326"/>
    <cellStyle name="20% - Accent4 8 11 2" xfId="30101"/>
    <cellStyle name="20% - Accent4 8 12" xfId="7982"/>
    <cellStyle name="20% - Accent4 8 12 2" xfId="30757"/>
    <cellStyle name="20% - Accent4 8 13" xfId="8638"/>
    <cellStyle name="20% - Accent4 8 13 2" xfId="31413"/>
    <cellStyle name="20% - Accent4 8 14" xfId="9294"/>
    <cellStyle name="20% - Accent4 8 14 2" xfId="32069"/>
    <cellStyle name="20% - Accent4 8 15" xfId="9950"/>
    <cellStyle name="20% - Accent4 8 15 2" xfId="32725"/>
    <cellStyle name="20% - Accent4 8 16" xfId="10606"/>
    <cellStyle name="20% - Accent4 8 16 2" xfId="33381"/>
    <cellStyle name="20% - Accent4 8 17" xfId="11262"/>
    <cellStyle name="20% - Accent4 8 17 2" xfId="34037"/>
    <cellStyle name="20% - Accent4 8 18" xfId="11918"/>
    <cellStyle name="20% - Accent4 8 18 2" xfId="34693"/>
    <cellStyle name="20% - Accent4 8 19" xfId="12574"/>
    <cellStyle name="20% - Accent4 8 19 2" xfId="35349"/>
    <cellStyle name="20% - Accent4 8 2" xfId="766"/>
    <cellStyle name="20% - Accent4 8 2 10" xfId="8310"/>
    <cellStyle name="20% - Accent4 8 2 10 2" xfId="31085"/>
    <cellStyle name="20% - Accent4 8 2 11" xfId="8966"/>
    <cellStyle name="20% - Accent4 8 2 11 2" xfId="31741"/>
    <cellStyle name="20% - Accent4 8 2 12" xfId="9622"/>
    <cellStyle name="20% - Accent4 8 2 12 2" xfId="32397"/>
    <cellStyle name="20% - Accent4 8 2 13" xfId="10278"/>
    <cellStyle name="20% - Accent4 8 2 13 2" xfId="33053"/>
    <cellStyle name="20% - Accent4 8 2 14" xfId="10934"/>
    <cellStyle name="20% - Accent4 8 2 14 2" xfId="33709"/>
    <cellStyle name="20% - Accent4 8 2 15" xfId="11590"/>
    <cellStyle name="20% - Accent4 8 2 15 2" xfId="34365"/>
    <cellStyle name="20% - Accent4 8 2 16" xfId="12246"/>
    <cellStyle name="20% - Accent4 8 2 16 2" xfId="35021"/>
    <cellStyle name="20% - Accent4 8 2 17" xfId="12902"/>
    <cellStyle name="20% - Accent4 8 2 17 2" xfId="35677"/>
    <cellStyle name="20% - Accent4 8 2 18" xfId="13558"/>
    <cellStyle name="20% - Accent4 8 2 18 2" xfId="36333"/>
    <cellStyle name="20% - Accent4 8 2 19" xfId="14214"/>
    <cellStyle name="20% - Accent4 8 2 19 2" xfId="36989"/>
    <cellStyle name="20% - Accent4 8 2 2" xfId="1422"/>
    <cellStyle name="20% - Accent4 8 2 2 2" xfId="3718"/>
    <cellStyle name="20% - Accent4 8 2 2 2 2" xfId="26493"/>
    <cellStyle name="20% - Accent4 8 2 2 3" xfId="24197"/>
    <cellStyle name="20% - Accent4 8 2 20" xfId="14870"/>
    <cellStyle name="20% - Accent4 8 2 20 2" xfId="37645"/>
    <cellStyle name="20% - Accent4 8 2 21" xfId="15526"/>
    <cellStyle name="20% - Accent4 8 2 21 2" xfId="38301"/>
    <cellStyle name="20% - Accent4 8 2 22" xfId="16182"/>
    <cellStyle name="20% - Accent4 8 2 22 2" xfId="38957"/>
    <cellStyle name="20% - Accent4 8 2 23" xfId="16838"/>
    <cellStyle name="20% - Accent4 8 2 23 2" xfId="39613"/>
    <cellStyle name="20% - Accent4 8 2 24" xfId="17494"/>
    <cellStyle name="20% - Accent4 8 2 24 2" xfId="40269"/>
    <cellStyle name="20% - Accent4 8 2 25" xfId="18150"/>
    <cellStyle name="20% - Accent4 8 2 25 2" xfId="40925"/>
    <cellStyle name="20% - Accent4 8 2 26" xfId="18806"/>
    <cellStyle name="20% - Accent4 8 2 26 2" xfId="41581"/>
    <cellStyle name="20% - Accent4 8 2 27" xfId="19462"/>
    <cellStyle name="20% - Accent4 8 2 27 2" xfId="42237"/>
    <cellStyle name="20% - Accent4 8 2 28" xfId="20118"/>
    <cellStyle name="20% - Accent4 8 2 28 2" xfId="42893"/>
    <cellStyle name="20% - Accent4 8 2 29" xfId="20774"/>
    <cellStyle name="20% - Accent4 8 2 29 2" xfId="43549"/>
    <cellStyle name="20% - Accent4 8 2 3" xfId="2078"/>
    <cellStyle name="20% - Accent4 8 2 3 2" xfId="4374"/>
    <cellStyle name="20% - Accent4 8 2 3 2 2" xfId="27149"/>
    <cellStyle name="20% - Accent4 8 2 3 3" xfId="24853"/>
    <cellStyle name="20% - Accent4 8 2 30" xfId="21430"/>
    <cellStyle name="20% - Accent4 8 2 30 2" xfId="44205"/>
    <cellStyle name="20% - Accent4 8 2 31" xfId="22086"/>
    <cellStyle name="20% - Accent4 8 2 31 2" xfId="44861"/>
    <cellStyle name="20% - Accent4 8 2 32" xfId="22742"/>
    <cellStyle name="20% - Accent4 8 2 32 2" xfId="45517"/>
    <cellStyle name="20% - Accent4 8 2 33" xfId="23541"/>
    <cellStyle name="20% - Accent4 8 2 4" xfId="5030"/>
    <cellStyle name="20% - Accent4 8 2 4 2" xfId="27805"/>
    <cellStyle name="20% - Accent4 8 2 5" xfId="5686"/>
    <cellStyle name="20% - Accent4 8 2 5 2" xfId="28461"/>
    <cellStyle name="20% - Accent4 8 2 6" xfId="6342"/>
    <cellStyle name="20% - Accent4 8 2 6 2" xfId="29117"/>
    <cellStyle name="20% - Accent4 8 2 7" xfId="3062"/>
    <cellStyle name="20% - Accent4 8 2 7 2" xfId="25837"/>
    <cellStyle name="20% - Accent4 8 2 8" xfId="6998"/>
    <cellStyle name="20% - Accent4 8 2 8 2" xfId="29773"/>
    <cellStyle name="20% - Accent4 8 2 9" xfId="7654"/>
    <cellStyle name="20% - Accent4 8 2 9 2" xfId="30429"/>
    <cellStyle name="20% - Accent4 8 20" xfId="13230"/>
    <cellStyle name="20% - Accent4 8 20 2" xfId="36005"/>
    <cellStyle name="20% - Accent4 8 21" xfId="13886"/>
    <cellStyle name="20% - Accent4 8 21 2" xfId="36661"/>
    <cellStyle name="20% - Accent4 8 22" xfId="14542"/>
    <cellStyle name="20% - Accent4 8 22 2" xfId="37317"/>
    <cellStyle name="20% - Accent4 8 23" xfId="15198"/>
    <cellStyle name="20% - Accent4 8 23 2" xfId="37973"/>
    <cellStyle name="20% - Accent4 8 24" xfId="15854"/>
    <cellStyle name="20% - Accent4 8 24 2" xfId="38629"/>
    <cellStyle name="20% - Accent4 8 25" xfId="16510"/>
    <cellStyle name="20% - Accent4 8 25 2" xfId="39285"/>
    <cellStyle name="20% - Accent4 8 26" xfId="17166"/>
    <cellStyle name="20% - Accent4 8 26 2" xfId="39941"/>
    <cellStyle name="20% - Accent4 8 27" xfId="17822"/>
    <cellStyle name="20% - Accent4 8 27 2" xfId="40597"/>
    <cellStyle name="20% - Accent4 8 28" xfId="18478"/>
    <cellStyle name="20% - Accent4 8 28 2" xfId="41253"/>
    <cellStyle name="20% - Accent4 8 29" xfId="19134"/>
    <cellStyle name="20% - Accent4 8 29 2" xfId="41909"/>
    <cellStyle name="20% - Accent4 8 3" xfId="1094"/>
    <cellStyle name="20% - Accent4 8 3 2" xfId="2734"/>
    <cellStyle name="20% - Accent4 8 3 2 2" xfId="25509"/>
    <cellStyle name="20% - Accent4 8 3 3" xfId="23869"/>
    <cellStyle name="20% - Accent4 8 30" xfId="19790"/>
    <cellStyle name="20% - Accent4 8 30 2" xfId="42565"/>
    <cellStyle name="20% - Accent4 8 31" xfId="20446"/>
    <cellStyle name="20% - Accent4 8 31 2" xfId="43221"/>
    <cellStyle name="20% - Accent4 8 32" xfId="21102"/>
    <cellStyle name="20% - Accent4 8 32 2" xfId="43877"/>
    <cellStyle name="20% - Accent4 8 33" xfId="21758"/>
    <cellStyle name="20% - Accent4 8 33 2" xfId="44533"/>
    <cellStyle name="20% - Accent4 8 34" xfId="22414"/>
    <cellStyle name="20% - Accent4 8 34 2" xfId="45189"/>
    <cellStyle name="20% - Accent4 8 35" xfId="23213"/>
    <cellStyle name="20% - Accent4 8 4" xfId="1750"/>
    <cellStyle name="20% - Accent4 8 4 2" xfId="3390"/>
    <cellStyle name="20% - Accent4 8 4 2 2" xfId="26165"/>
    <cellStyle name="20% - Accent4 8 4 3" xfId="24525"/>
    <cellStyle name="20% - Accent4 8 5" xfId="4046"/>
    <cellStyle name="20% - Accent4 8 5 2" xfId="26821"/>
    <cellStyle name="20% - Accent4 8 6" xfId="4702"/>
    <cellStyle name="20% - Accent4 8 6 2" xfId="27477"/>
    <cellStyle name="20% - Accent4 8 7" xfId="5358"/>
    <cellStyle name="20% - Accent4 8 7 2" xfId="28133"/>
    <cellStyle name="20% - Accent4 8 8" xfId="6014"/>
    <cellStyle name="20% - Accent4 8 8 2" xfId="28789"/>
    <cellStyle name="20% - Accent4 8 9" xfId="2406"/>
    <cellStyle name="20% - Accent4 8 9 2" xfId="25181"/>
    <cellStyle name="20% - Accent4 9" xfId="453"/>
    <cellStyle name="20% - Accent4 9 10" xfId="6684"/>
    <cellStyle name="20% - Accent4 9 10 2" xfId="29459"/>
    <cellStyle name="20% - Accent4 9 11" xfId="7340"/>
    <cellStyle name="20% - Accent4 9 11 2" xfId="30115"/>
    <cellStyle name="20% - Accent4 9 12" xfId="7996"/>
    <cellStyle name="20% - Accent4 9 12 2" xfId="30771"/>
    <cellStyle name="20% - Accent4 9 13" xfId="8652"/>
    <cellStyle name="20% - Accent4 9 13 2" xfId="31427"/>
    <cellStyle name="20% - Accent4 9 14" xfId="9308"/>
    <cellStyle name="20% - Accent4 9 14 2" xfId="32083"/>
    <cellStyle name="20% - Accent4 9 15" xfId="9964"/>
    <cellStyle name="20% - Accent4 9 15 2" xfId="32739"/>
    <cellStyle name="20% - Accent4 9 16" xfId="10620"/>
    <cellStyle name="20% - Accent4 9 16 2" xfId="33395"/>
    <cellStyle name="20% - Accent4 9 17" xfId="11276"/>
    <cellStyle name="20% - Accent4 9 17 2" xfId="34051"/>
    <cellStyle name="20% - Accent4 9 18" xfId="11932"/>
    <cellStyle name="20% - Accent4 9 18 2" xfId="34707"/>
    <cellStyle name="20% - Accent4 9 19" xfId="12588"/>
    <cellStyle name="20% - Accent4 9 19 2" xfId="35363"/>
    <cellStyle name="20% - Accent4 9 2" xfId="780"/>
    <cellStyle name="20% - Accent4 9 2 10" xfId="8324"/>
    <cellStyle name="20% - Accent4 9 2 10 2" xfId="31099"/>
    <cellStyle name="20% - Accent4 9 2 11" xfId="8980"/>
    <cellStyle name="20% - Accent4 9 2 11 2" xfId="31755"/>
    <cellStyle name="20% - Accent4 9 2 12" xfId="9636"/>
    <cellStyle name="20% - Accent4 9 2 12 2" xfId="32411"/>
    <cellStyle name="20% - Accent4 9 2 13" xfId="10292"/>
    <cellStyle name="20% - Accent4 9 2 13 2" xfId="33067"/>
    <cellStyle name="20% - Accent4 9 2 14" xfId="10948"/>
    <cellStyle name="20% - Accent4 9 2 14 2" xfId="33723"/>
    <cellStyle name="20% - Accent4 9 2 15" xfId="11604"/>
    <cellStyle name="20% - Accent4 9 2 15 2" xfId="34379"/>
    <cellStyle name="20% - Accent4 9 2 16" xfId="12260"/>
    <cellStyle name="20% - Accent4 9 2 16 2" xfId="35035"/>
    <cellStyle name="20% - Accent4 9 2 17" xfId="12916"/>
    <cellStyle name="20% - Accent4 9 2 17 2" xfId="35691"/>
    <cellStyle name="20% - Accent4 9 2 18" xfId="13572"/>
    <cellStyle name="20% - Accent4 9 2 18 2" xfId="36347"/>
    <cellStyle name="20% - Accent4 9 2 19" xfId="14228"/>
    <cellStyle name="20% - Accent4 9 2 19 2" xfId="37003"/>
    <cellStyle name="20% - Accent4 9 2 2" xfId="1436"/>
    <cellStyle name="20% - Accent4 9 2 2 2" xfId="3732"/>
    <cellStyle name="20% - Accent4 9 2 2 2 2" xfId="26507"/>
    <cellStyle name="20% - Accent4 9 2 2 3" xfId="24211"/>
    <cellStyle name="20% - Accent4 9 2 20" xfId="14884"/>
    <cellStyle name="20% - Accent4 9 2 20 2" xfId="37659"/>
    <cellStyle name="20% - Accent4 9 2 21" xfId="15540"/>
    <cellStyle name="20% - Accent4 9 2 21 2" xfId="38315"/>
    <cellStyle name="20% - Accent4 9 2 22" xfId="16196"/>
    <cellStyle name="20% - Accent4 9 2 22 2" xfId="38971"/>
    <cellStyle name="20% - Accent4 9 2 23" xfId="16852"/>
    <cellStyle name="20% - Accent4 9 2 23 2" xfId="39627"/>
    <cellStyle name="20% - Accent4 9 2 24" xfId="17508"/>
    <cellStyle name="20% - Accent4 9 2 24 2" xfId="40283"/>
    <cellStyle name="20% - Accent4 9 2 25" xfId="18164"/>
    <cellStyle name="20% - Accent4 9 2 25 2" xfId="40939"/>
    <cellStyle name="20% - Accent4 9 2 26" xfId="18820"/>
    <cellStyle name="20% - Accent4 9 2 26 2" xfId="41595"/>
    <cellStyle name="20% - Accent4 9 2 27" xfId="19476"/>
    <cellStyle name="20% - Accent4 9 2 27 2" xfId="42251"/>
    <cellStyle name="20% - Accent4 9 2 28" xfId="20132"/>
    <cellStyle name="20% - Accent4 9 2 28 2" xfId="42907"/>
    <cellStyle name="20% - Accent4 9 2 29" xfId="20788"/>
    <cellStyle name="20% - Accent4 9 2 29 2" xfId="43563"/>
    <cellStyle name="20% - Accent4 9 2 3" xfId="2092"/>
    <cellStyle name="20% - Accent4 9 2 3 2" xfId="4388"/>
    <cellStyle name="20% - Accent4 9 2 3 2 2" xfId="27163"/>
    <cellStyle name="20% - Accent4 9 2 3 3" xfId="24867"/>
    <cellStyle name="20% - Accent4 9 2 30" xfId="21444"/>
    <cellStyle name="20% - Accent4 9 2 30 2" xfId="44219"/>
    <cellStyle name="20% - Accent4 9 2 31" xfId="22100"/>
    <cellStyle name="20% - Accent4 9 2 31 2" xfId="44875"/>
    <cellStyle name="20% - Accent4 9 2 32" xfId="22756"/>
    <cellStyle name="20% - Accent4 9 2 32 2" xfId="45531"/>
    <cellStyle name="20% - Accent4 9 2 33" xfId="23555"/>
    <cellStyle name="20% - Accent4 9 2 4" xfId="5044"/>
    <cellStyle name="20% - Accent4 9 2 4 2" xfId="27819"/>
    <cellStyle name="20% - Accent4 9 2 5" xfId="5700"/>
    <cellStyle name="20% - Accent4 9 2 5 2" xfId="28475"/>
    <cellStyle name="20% - Accent4 9 2 6" xfId="6356"/>
    <cellStyle name="20% - Accent4 9 2 6 2" xfId="29131"/>
    <cellStyle name="20% - Accent4 9 2 7" xfId="3076"/>
    <cellStyle name="20% - Accent4 9 2 7 2" xfId="25851"/>
    <cellStyle name="20% - Accent4 9 2 8" xfId="7012"/>
    <cellStyle name="20% - Accent4 9 2 8 2" xfId="29787"/>
    <cellStyle name="20% - Accent4 9 2 9" xfId="7668"/>
    <cellStyle name="20% - Accent4 9 2 9 2" xfId="30443"/>
    <cellStyle name="20% - Accent4 9 20" xfId="13244"/>
    <cellStyle name="20% - Accent4 9 20 2" xfId="36019"/>
    <cellStyle name="20% - Accent4 9 21" xfId="13900"/>
    <cellStyle name="20% - Accent4 9 21 2" xfId="36675"/>
    <cellStyle name="20% - Accent4 9 22" xfId="14556"/>
    <cellStyle name="20% - Accent4 9 22 2" xfId="37331"/>
    <cellStyle name="20% - Accent4 9 23" xfId="15212"/>
    <cellStyle name="20% - Accent4 9 23 2" xfId="37987"/>
    <cellStyle name="20% - Accent4 9 24" xfId="15868"/>
    <cellStyle name="20% - Accent4 9 24 2" xfId="38643"/>
    <cellStyle name="20% - Accent4 9 25" xfId="16524"/>
    <cellStyle name="20% - Accent4 9 25 2" xfId="39299"/>
    <cellStyle name="20% - Accent4 9 26" xfId="17180"/>
    <cellStyle name="20% - Accent4 9 26 2" xfId="39955"/>
    <cellStyle name="20% - Accent4 9 27" xfId="17836"/>
    <cellStyle name="20% - Accent4 9 27 2" xfId="40611"/>
    <cellStyle name="20% - Accent4 9 28" xfId="18492"/>
    <cellStyle name="20% - Accent4 9 28 2" xfId="41267"/>
    <cellStyle name="20% - Accent4 9 29" xfId="19148"/>
    <cellStyle name="20% - Accent4 9 29 2" xfId="41923"/>
    <cellStyle name="20% - Accent4 9 3" xfId="1108"/>
    <cellStyle name="20% - Accent4 9 3 2" xfId="2748"/>
    <cellStyle name="20% - Accent4 9 3 2 2" xfId="25523"/>
    <cellStyle name="20% - Accent4 9 3 3" xfId="23883"/>
    <cellStyle name="20% - Accent4 9 30" xfId="19804"/>
    <cellStyle name="20% - Accent4 9 30 2" xfId="42579"/>
    <cellStyle name="20% - Accent4 9 31" xfId="20460"/>
    <cellStyle name="20% - Accent4 9 31 2" xfId="43235"/>
    <cellStyle name="20% - Accent4 9 32" xfId="21116"/>
    <cellStyle name="20% - Accent4 9 32 2" xfId="43891"/>
    <cellStyle name="20% - Accent4 9 33" xfId="21772"/>
    <cellStyle name="20% - Accent4 9 33 2" xfId="44547"/>
    <cellStyle name="20% - Accent4 9 34" xfId="22428"/>
    <cellStyle name="20% - Accent4 9 34 2" xfId="45203"/>
    <cellStyle name="20% - Accent4 9 35" xfId="23227"/>
    <cellStyle name="20% - Accent4 9 4" xfId="1764"/>
    <cellStyle name="20% - Accent4 9 4 2" xfId="3404"/>
    <cellStyle name="20% - Accent4 9 4 2 2" xfId="26179"/>
    <cellStyle name="20% - Accent4 9 4 3" xfId="24539"/>
    <cellStyle name="20% - Accent4 9 5" xfId="4060"/>
    <cellStyle name="20% - Accent4 9 5 2" xfId="26835"/>
    <cellStyle name="20% - Accent4 9 6" xfId="4716"/>
    <cellStyle name="20% - Accent4 9 6 2" xfId="27491"/>
    <cellStyle name="20% - Accent4 9 7" xfId="5372"/>
    <cellStyle name="20% - Accent4 9 7 2" xfId="28147"/>
    <cellStyle name="20% - Accent4 9 8" xfId="6028"/>
    <cellStyle name="20% - Accent4 9 8 2" xfId="28803"/>
    <cellStyle name="20% - Accent4 9 9" xfId="2420"/>
    <cellStyle name="20% - Accent4 9 9 2" xfId="25195"/>
    <cellStyle name="20% - Accent5" xfId="38" builtinId="46" customBuiltin="1"/>
    <cellStyle name="20% - Accent5 10" xfId="467"/>
    <cellStyle name="20% - Accent5 10 10" xfId="6698"/>
    <cellStyle name="20% - Accent5 10 10 2" xfId="29473"/>
    <cellStyle name="20% - Accent5 10 11" xfId="7354"/>
    <cellStyle name="20% - Accent5 10 11 2" xfId="30129"/>
    <cellStyle name="20% - Accent5 10 12" xfId="8010"/>
    <cellStyle name="20% - Accent5 10 12 2" xfId="30785"/>
    <cellStyle name="20% - Accent5 10 13" xfId="8666"/>
    <cellStyle name="20% - Accent5 10 13 2" xfId="31441"/>
    <cellStyle name="20% - Accent5 10 14" xfId="9322"/>
    <cellStyle name="20% - Accent5 10 14 2" xfId="32097"/>
    <cellStyle name="20% - Accent5 10 15" xfId="9978"/>
    <cellStyle name="20% - Accent5 10 15 2" xfId="32753"/>
    <cellStyle name="20% - Accent5 10 16" xfId="10634"/>
    <cellStyle name="20% - Accent5 10 16 2" xfId="33409"/>
    <cellStyle name="20% - Accent5 10 17" xfId="11290"/>
    <cellStyle name="20% - Accent5 10 17 2" xfId="34065"/>
    <cellStyle name="20% - Accent5 10 18" xfId="11946"/>
    <cellStyle name="20% - Accent5 10 18 2" xfId="34721"/>
    <cellStyle name="20% - Accent5 10 19" xfId="12602"/>
    <cellStyle name="20% - Accent5 10 19 2" xfId="35377"/>
    <cellStyle name="20% - Accent5 10 2" xfId="794"/>
    <cellStyle name="20% - Accent5 10 2 10" xfId="8338"/>
    <cellStyle name="20% - Accent5 10 2 10 2" xfId="31113"/>
    <cellStyle name="20% - Accent5 10 2 11" xfId="8994"/>
    <cellStyle name="20% - Accent5 10 2 11 2" xfId="31769"/>
    <cellStyle name="20% - Accent5 10 2 12" xfId="9650"/>
    <cellStyle name="20% - Accent5 10 2 12 2" xfId="32425"/>
    <cellStyle name="20% - Accent5 10 2 13" xfId="10306"/>
    <cellStyle name="20% - Accent5 10 2 13 2" xfId="33081"/>
    <cellStyle name="20% - Accent5 10 2 14" xfId="10962"/>
    <cellStyle name="20% - Accent5 10 2 14 2" xfId="33737"/>
    <cellStyle name="20% - Accent5 10 2 15" xfId="11618"/>
    <cellStyle name="20% - Accent5 10 2 15 2" xfId="34393"/>
    <cellStyle name="20% - Accent5 10 2 16" xfId="12274"/>
    <cellStyle name="20% - Accent5 10 2 16 2" xfId="35049"/>
    <cellStyle name="20% - Accent5 10 2 17" xfId="12930"/>
    <cellStyle name="20% - Accent5 10 2 17 2" xfId="35705"/>
    <cellStyle name="20% - Accent5 10 2 18" xfId="13586"/>
    <cellStyle name="20% - Accent5 10 2 18 2" xfId="36361"/>
    <cellStyle name="20% - Accent5 10 2 19" xfId="14242"/>
    <cellStyle name="20% - Accent5 10 2 19 2" xfId="37017"/>
    <cellStyle name="20% - Accent5 10 2 2" xfId="1450"/>
    <cellStyle name="20% - Accent5 10 2 2 2" xfId="3746"/>
    <cellStyle name="20% - Accent5 10 2 2 2 2" xfId="26521"/>
    <cellStyle name="20% - Accent5 10 2 2 3" xfId="24225"/>
    <cellStyle name="20% - Accent5 10 2 20" xfId="14898"/>
    <cellStyle name="20% - Accent5 10 2 20 2" xfId="37673"/>
    <cellStyle name="20% - Accent5 10 2 21" xfId="15554"/>
    <cellStyle name="20% - Accent5 10 2 21 2" xfId="38329"/>
    <cellStyle name="20% - Accent5 10 2 22" xfId="16210"/>
    <cellStyle name="20% - Accent5 10 2 22 2" xfId="38985"/>
    <cellStyle name="20% - Accent5 10 2 23" xfId="16866"/>
    <cellStyle name="20% - Accent5 10 2 23 2" xfId="39641"/>
    <cellStyle name="20% - Accent5 10 2 24" xfId="17522"/>
    <cellStyle name="20% - Accent5 10 2 24 2" xfId="40297"/>
    <cellStyle name="20% - Accent5 10 2 25" xfId="18178"/>
    <cellStyle name="20% - Accent5 10 2 25 2" xfId="40953"/>
    <cellStyle name="20% - Accent5 10 2 26" xfId="18834"/>
    <cellStyle name="20% - Accent5 10 2 26 2" xfId="41609"/>
    <cellStyle name="20% - Accent5 10 2 27" xfId="19490"/>
    <cellStyle name="20% - Accent5 10 2 27 2" xfId="42265"/>
    <cellStyle name="20% - Accent5 10 2 28" xfId="20146"/>
    <cellStyle name="20% - Accent5 10 2 28 2" xfId="42921"/>
    <cellStyle name="20% - Accent5 10 2 29" xfId="20802"/>
    <cellStyle name="20% - Accent5 10 2 29 2" xfId="43577"/>
    <cellStyle name="20% - Accent5 10 2 3" xfId="2106"/>
    <cellStyle name="20% - Accent5 10 2 3 2" xfId="4402"/>
    <cellStyle name="20% - Accent5 10 2 3 2 2" xfId="27177"/>
    <cellStyle name="20% - Accent5 10 2 3 3" xfId="24881"/>
    <cellStyle name="20% - Accent5 10 2 30" xfId="21458"/>
    <cellStyle name="20% - Accent5 10 2 30 2" xfId="44233"/>
    <cellStyle name="20% - Accent5 10 2 31" xfId="22114"/>
    <cellStyle name="20% - Accent5 10 2 31 2" xfId="44889"/>
    <cellStyle name="20% - Accent5 10 2 32" xfId="22770"/>
    <cellStyle name="20% - Accent5 10 2 32 2" xfId="45545"/>
    <cellStyle name="20% - Accent5 10 2 33" xfId="23569"/>
    <cellStyle name="20% - Accent5 10 2 4" xfId="5058"/>
    <cellStyle name="20% - Accent5 10 2 4 2" xfId="27833"/>
    <cellStyle name="20% - Accent5 10 2 5" xfId="5714"/>
    <cellStyle name="20% - Accent5 10 2 5 2" xfId="28489"/>
    <cellStyle name="20% - Accent5 10 2 6" xfId="6370"/>
    <cellStyle name="20% - Accent5 10 2 6 2" xfId="29145"/>
    <cellStyle name="20% - Accent5 10 2 7" xfId="3090"/>
    <cellStyle name="20% - Accent5 10 2 7 2" xfId="25865"/>
    <cellStyle name="20% - Accent5 10 2 8" xfId="7026"/>
    <cellStyle name="20% - Accent5 10 2 8 2" xfId="29801"/>
    <cellStyle name="20% - Accent5 10 2 9" xfId="7682"/>
    <cellStyle name="20% - Accent5 10 2 9 2" xfId="30457"/>
    <cellStyle name="20% - Accent5 10 20" xfId="13258"/>
    <cellStyle name="20% - Accent5 10 20 2" xfId="36033"/>
    <cellStyle name="20% - Accent5 10 21" xfId="13914"/>
    <cellStyle name="20% - Accent5 10 21 2" xfId="36689"/>
    <cellStyle name="20% - Accent5 10 22" xfId="14570"/>
    <cellStyle name="20% - Accent5 10 22 2" xfId="37345"/>
    <cellStyle name="20% - Accent5 10 23" xfId="15226"/>
    <cellStyle name="20% - Accent5 10 23 2" xfId="38001"/>
    <cellStyle name="20% - Accent5 10 24" xfId="15882"/>
    <cellStyle name="20% - Accent5 10 24 2" xfId="38657"/>
    <cellStyle name="20% - Accent5 10 25" xfId="16538"/>
    <cellStyle name="20% - Accent5 10 25 2" xfId="39313"/>
    <cellStyle name="20% - Accent5 10 26" xfId="17194"/>
    <cellStyle name="20% - Accent5 10 26 2" xfId="39969"/>
    <cellStyle name="20% - Accent5 10 27" xfId="17850"/>
    <cellStyle name="20% - Accent5 10 27 2" xfId="40625"/>
    <cellStyle name="20% - Accent5 10 28" xfId="18506"/>
    <cellStyle name="20% - Accent5 10 28 2" xfId="41281"/>
    <cellStyle name="20% - Accent5 10 29" xfId="19162"/>
    <cellStyle name="20% - Accent5 10 29 2" xfId="41937"/>
    <cellStyle name="20% - Accent5 10 3" xfId="1122"/>
    <cellStyle name="20% - Accent5 10 3 2" xfId="2762"/>
    <cellStyle name="20% - Accent5 10 3 2 2" xfId="25537"/>
    <cellStyle name="20% - Accent5 10 3 3" xfId="23897"/>
    <cellStyle name="20% - Accent5 10 30" xfId="19818"/>
    <cellStyle name="20% - Accent5 10 30 2" xfId="42593"/>
    <cellStyle name="20% - Accent5 10 31" xfId="20474"/>
    <cellStyle name="20% - Accent5 10 31 2" xfId="43249"/>
    <cellStyle name="20% - Accent5 10 32" xfId="21130"/>
    <cellStyle name="20% - Accent5 10 32 2" xfId="43905"/>
    <cellStyle name="20% - Accent5 10 33" xfId="21786"/>
    <cellStyle name="20% - Accent5 10 33 2" xfId="44561"/>
    <cellStyle name="20% - Accent5 10 34" xfId="22442"/>
    <cellStyle name="20% - Accent5 10 34 2" xfId="45217"/>
    <cellStyle name="20% - Accent5 10 35" xfId="23241"/>
    <cellStyle name="20% - Accent5 10 4" xfId="1778"/>
    <cellStyle name="20% - Accent5 10 4 2" xfId="3418"/>
    <cellStyle name="20% - Accent5 10 4 2 2" xfId="26193"/>
    <cellStyle name="20% - Accent5 10 4 3" xfId="24553"/>
    <cellStyle name="20% - Accent5 10 5" xfId="4074"/>
    <cellStyle name="20% - Accent5 10 5 2" xfId="26849"/>
    <cellStyle name="20% - Accent5 10 6" xfId="4730"/>
    <cellStyle name="20% - Accent5 10 6 2" xfId="27505"/>
    <cellStyle name="20% - Accent5 10 7" xfId="5386"/>
    <cellStyle name="20% - Accent5 10 7 2" xfId="28161"/>
    <cellStyle name="20% - Accent5 10 8" xfId="6042"/>
    <cellStyle name="20% - Accent5 10 8 2" xfId="28817"/>
    <cellStyle name="20% - Accent5 10 9" xfId="2434"/>
    <cellStyle name="20% - Accent5 10 9 2" xfId="25209"/>
    <cellStyle name="20% - Accent5 11" xfId="609"/>
    <cellStyle name="20% - Accent5 11 10" xfId="8153"/>
    <cellStyle name="20% - Accent5 11 10 2" xfId="30928"/>
    <cellStyle name="20% - Accent5 11 11" xfId="8809"/>
    <cellStyle name="20% - Accent5 11 11 2" xfId="31584"/>
    <cellStyle name="20% - Accent5 11 12" xfId="9465"/>
    <cellStyle name="20% - Accent5 11 12 2" xfId="32240"/>
    <cellStyle name="20% - Accent5 11 13" xfId="10121"/>
    <cellStyle name="20% - Accent5 11 13 2" xfId="32896"/>
    <cellStyle name="20% - Accent5 11 14" xfId="10777"/>
    <cellStyle name="20% - Accent5 11 14 2" xfId="33552"/>
    <cellStyle name="20% - Accent5 11 15" xfId="11433"/>
    <cellStyle name="20% - Accent5 11 15 2" xfId="34208"/>
    <cellStyle name="20% - Accent5 11 16" xfId="12089"/>
    <cellStyle name="20% - Accent5 11 16 2" xfId="34864"/>
    <cellStyle name="20% - Accent5 11 17" xfId="12745"/>
    <cellStyle name="20% - Accent5 11 17 2" xfId="35520"/>
    <cellStyle name="20% - Accent5 11 18" xfId="13401"/>
    <cellStyle name="20% - Accent5 11 18 2" xfId="36176"/>
    <cellStyle name="20% - Accent5 11 19" xfId="14057"/>
    <cellStyle name="20% - Accent5 11 19 2" xfId="36832"/>
    <cellStyle name="20% - Accent5 11 2" xfId="1265"/>
    <cellStyle name="20% - Accent5 11 2 2" xfId="3561"/>
    <cellStyle name="20% - Accent5 11 2 2 2" xfId="26336"/>
    <cellStyle name="20% - Accent5 11 2 3" xfId="24040"/>
    <cellStyle name="20% - Accent5 11 20" xfId="14713"/>
    <cellStyle name="20% - Accent5 11 20 2" xfId="37488"/>
    <cellStyle name="20% - Accent5 11 21" xfId="15369"/>
    <cellStyle name="20% - Accent5 11 21 2" xfId="38144"/>
    <cellStyle name="20% - Accent5 11 22" xfId="16025"/>
    <cellStyle name="20% - Accent5 11 22 2" xfId="38800"/>
    <cellStyle name="20% - Accent5 11 23" xfId="16681"/>
    <cellStyle name="20% - Accent5 11 23 2" xfId="39456"/>
    <cellStyle name="20% - Accent5 11 24" xfId="17337"/>
    <cellStyle name="20% - Accent5 11 24 2" xfId="40112"/>
    <cellStyle name="20% - Accent5 11 25" xfId="17993"/>
    <cellStyle name="20% - Accent5 11 25 2" xfId="40768"/>
    <cellStyle name="20% - Accent5 11 26" xfId="18649"/>
    <cellStyle name="20% - Accent5 11 26 2" xfId="41424"/>
    <cellStyle name="20% - Accent5 11 27" xfId="19305"/>
    <cellStyle name="20% - Accent5 11 27 2" xfId="42080"/>
    <cellStyle name="20% - Accent5 11 28" xfId="19961"/>
    <cellStyle name="20% - Accent5 11 28 2" xfId="42736"/>
    <cellStyle name="20% - Accent5 11 29" xfId="20617"/>
    <cellStyle name="20% - Accent5 11 29 2" xfId="43392"/>
    <cellStyle name="20% - Accent5 11 3" xfId="1921"/>
    <cellStyle name="20% - Accent5 11 3 2" xfId="4217"/>
    <cellStyle name="20% - Accent5 11 3 2 2" xfId="26992"/>
    <cellStyle name="20% - Accent5 11 3 3" xfId="24696"/>
    <cellStyle name="20% - Accent5 11 30" xfId="21273"/>
    <cellStyle name="20% - Accent5 11 30 2" xfId="44048"/>
    <cellStyle name="20% - Accent5 11 31" xfId="21929"/>
    <cellStyle name="20% - Accent5 11 31 2" xfId="44704"/>
    <cellStyle name="20% - Accent5 11 32" xfId="22585"/>
    <cellStyle name="20% - Accent5 11 32 2" xfId="45360"/>
    <cellStyle name="20% - Accent5 11 33" xfId="23384"/>
    <cellStyle name="20% - Accent5 11 4" xfId="4873"/>
    <cellStyle name="20% - Accent5 11 4 2" xfId="27648"/>
    <cellStyle name="20% - Accent5 11 5" xfId="5529"/>
    <cellStyle name="20% - Accent5 11 5 2" xfId="28304"/>
    <cellStyle name="20% - Accent5 11 6" xfId="6185"/>
    <cellStyle name="20% - Accent5 11 6 2" xfId="28960"/>
    <cellStyle name="20% - Accent5 11 7" xfId="2905"/>
    <cellStyle name="20% - Accent5 11 7 2" xfId="25680"/>
    <cellStyle name="20% - Accent5 11 8" xfId="6841"/>
    <cellStyle name="20% - Accent5 11 8 2" xfId="29616"/>
    <cellStyle name="20% - Accent5 11 9" xfId="7497"/>
    <cellStyle name="20% - Accent5 11 9 2" xfId="30272"/>
    <cellStyle name="20% - Accent5 12" xfId="282"/>
    <cellStyle name="20% - Accent5 12 2" xfId="2577"/>
    <cellStyle name="20% - Accent5 12 2 2" xfId="25352"/>
    <cellStyle name="20% - Accent5 12 3" xfId="23056"/>
    <cellStyle name="20% - Accent5 13" xfId="937"/>
    <cellStyle name="20% - Accent5 13 2" xfId="3233"/>
    <cellStyle name="20% - Accent5 13 2 2" xfId="26008"/>
    <cellStyle name="20% - Accent5 13 3" xfId="23712"/>
    <cellStyle name="20% - Accent5 14" xfId="1593"/>
    <cellStyle name="20% - Accent5 14 2" xfId="3889"/>
    <cellStyle name="20% - Accent5 14 2 2" xfId="26664"/>
    <cellStyle name="20% - Accent5 14 3" xfId="24368"/>
    <cellStyle name="20% - Accent5 15" xfId="4545"/>
    <cellStyle name="20% - Accent5 15 2" xfId="27320"/>
    <cellStyle name="20% - Accent5 16" xfId="5201"/>
    <cellStyle name="20% - Accent5 16 2" xfId="27976"/>
    <cellStyle name="20% - Accent5 17" xfId="5857"/>
    <cellStyle name="20% - Accent5 17 2" xfId="28632"/>
    <cellStyle name="20% - Accent5 18" xfId="2249"/>
    <cellStyle name="20% - Accent5 18 2" xfId="25024"/>
    <cellStyle name="20% - Accent5 19" xfId="6513"/>
    <cellStyle name="20% - Accent5 19 2" xfId="29288"/>
    <cellStyle name="20% - Accent5 2" xfId="77"/>
    <cellStyle name="20% - Accent5 2 10" xfId="5873"/>
    <cellStyle name="20% - Accent5 2 10 2" xfId="28648"/>
    <cellStyle name="20% - Accent5 2 11" xfId="2265"/>
    <cellStyle name="20% - Accent5 2 11 2" xfId="25040"/>
    <cellStyle name="20% - Accent5 2 12" xfId="6529"/>
    <cellStyle name="20% - Accent5 2 12 2" xfId="29304"/>
    <cellStyle name="20% - Accent5 2 13" xfId="7185"/>
    <cellStyle name="20% - Accent5 2 13 2" xfId="29960"/>
    <cellStyle name="20% - Accent5 2 14" xfId="7841"/>
    <cellStyle name="20% - Accent5 2 14 2" xfId="30616"/>
    <cellStyle name="20% - Accent5 2 15" xfId="8497"/>
    <cellStyle name="20% - Accent5 2 15 2" xfId="31272"/>
    <cellStyle name="20% - Accent5 2 16" xfId="9153"/>
    <cellStyle name="20% - Accent5 2 16 2" xfId="31928"/>
    <cellStyle name="20% - Accent5 2 17" xfId="9809"/>
    <cellStyle name="20% - Accent5 2 17 2" xfId="32584"/>
    <cellStyle name="20% - Accent5 2 18" xfId="10465"/>
    <cellStyle name="20% - Accent5 2 18 2" xfId="33240"/>
    <cellStyle name="20% - Accent5 2 19" xfId="11121"/>
    <cellStyle name="20% - Accent5 2 19 2" xfId="33896"/>
    <cellStyle name="20% - Accent5 2 2" xfId="153"/>
    <cellStyle name="20% - Accent5 2 2 10" xfId="2351"/>
    <cellStyle name="20% - Accent5 2 2 10 2" xfId="25126"/>
    <cellStyle name="20% - Accent5 2 2 11" xfId="6615"/>
    <cellStyle name="20% - Accent5 2 2 11 2" xfId="29390"/>
    <cellStyle name="20% - Accent5 2 2 12" xfId="7271"/>
    <cellStyle name="20% - Accent5 2 2 12 2" xfId="30046"/>
    <cellStyle name="20% - Accent5 2 2 13" xfId="7927"/>
    <cellStyle name="20% - Accent5 2 2 13 2" xfId="30702"/>
    <cellStyle name="20% - Accent5 2 2 14" xfId="8583"/>
    <cellStyle name="20% - Accent5 2 2 14 2" xfId="31358"/>
    <cellStyle name="20% - Accent5 2 2 15" xfId="9239"/>
    <cellStyle name="20% - Accent5 2 2 15 2" xfId="32014"/>
    <cellStyle name="20% - Accent5 2 2 16" xfId="9895"/>
    <cellStyle name="20% - Accent5 2 2 16 2" xfId="32670"/>
    <cellStyle name="20% - Accent5 2 2 17" xfId="10551"/>
    <cellStyle name="20% - Accent5 2 2 17 2" xfId="33326"/>
    <cellStyle name="20% - Accent5 2 2 18" xfId="11207"/>
    <cellStyle name="20% - Accent5 2 2 18 2" xfId="33982"/>
    <cellStyle name="20% - Accent5 2 2 19" xfId="11863"/>
    <cellStyle name="20% - Accent5 2 2 19 2" xfId="34638"/>
    <cellStyle name="20% - Accent5 2 2 2" xfId="567"/>
    <cellStyle name="20% - Accent5 2 2 2 10" xfId="6800"/>
    <cellStyle name="20% - Accent5 2 2 2 10 2" xfId="29575"/>
    <cellStyle name="20% - Accent5 2 2 2 11" xfId="7456"/>
    <cellStyle name="20% - Accent5 2 2 2 11 2" xfId="30231"/>
    <cellStyle name="20% - Accent5 2 2 2 12" xfId="8112"/>
    <cellStyle name="20% - Accent5 2 2 2 12 2" xfId="30887"/>
    <cellStyle name="20% - Accent5 2 2 2 13" xfId="8768"/>
    <cellStyle name="20% - Accent5 2 2 2 13 2" xfId="31543"/>
    <cellStyle name="20% - Accent5 2 2 2 14" xfId="9424"/>
    <cellStyle name="20% - Accent5 2 2 2 14 2" xfId="32199"/>
    <cellStyle name="20% - Accent5 2 2 2 15" xfId="10080"/>
    <cellStyle name="20% - Accent5 2 2 2 15 2" xfId="32855"/>
    <cellStyle name="20% - Accent5 2 2 2 16" xfId="10736"/>
    <cellStyle name="20% - Accent5 2 2 2 16 2" xfId="33511"/>
    <cellStyle name="20% - Accent5 2 2 2 17" xfId="11392"/>
    <cellStyle name="20% - Accent5 2 2 2 17 2" xfId="34167"/>
    <cellStyle name="20% - Accent5 2 2 2 18" xfId="12048"/>
    <cellStyle name="20% - Accent5 2 2 2 18 2" xfId="34823"/>
    <cellStyle name="20% - Accent5 2 2 2 19" xfId="12704"/>
    <cellStyle name="20% - Accent5 2 2 2 19 2" xfId="35479"/>
    <cellStyle name="20% - Accent5 2 2 2 2" xfId="896"/>
    <cellStyle name="20% - Accent5 2 2 2 2 10" xfId="8440"/>
    <cellStyle name="20% - Accent5 2 2 2 2 10 2" xfId="31215"/>
    <cellStyle name="20% - Accent5 2 2 2 2 11" xfId="9096"/>
    <cellStyle name="20% - Accent5 2 2 2 2 11 2" xfId="31871"/>
    <cellStyle name="20% - Accent5 2 2 2 2 12" xfId="9752"/>
    <cellStyle name="20% - Accent5 2 2 2 2 12 2" xfId="32527"/>
    <cellStyle name="20% - Accent5 2 2 2 2 13" xfId="10408"/>
    <cellStyle name="20% - Accent5 2 2 2 2 13 2" xfId="33183"/>
    <cellStyle name="20% - Accent5 2 2 2 2 14" xfId="11064"/>
    <cellStyle name="20% - Accent5 2 2 2 2 14 2" xfId="33839"/>
    <cellStyle name="20% - Accent5 2 2 2 2 15" xfId="11720"/>
    <cellStyle name="20% - Accent5 2 2 2 2 15 2" xfId="34495"/>
    <cellStyle name="20% - Accent5 2 2 2 2 16" xfId="12376"/>
    <cellStyle name="20% - Accent5 2 2 2 2 16 2" xfId="35151"/>
    <cellStyle name="20% - Accent5 2 2 2 2 17" xfId="13032"/>
    <cellStyle name="20% - Accent5 2 2 2 2 17 2" xfId="35807"/>
    <cellStyle name="20% - Accent5 2 2 2 2 18" xfId="13688"/>
    <cellStyle name="20% - Accent5 2 2 2 2 18 2" xfId="36463"/>
    <cellStyle name="20% - Accent5 2 2 2 2 19" xfId="14344"/>
    <cellStyle name="20% - Accent5 2 2 2 2 19 2" xfId="37119"/>
    <cellStyle name="20% - Accent5 2 2 2 2 2" xfId="1552"/>
    <cellStyle name="20% - Accent5 2 2 2 2 2 2" xfId="3848"/>
    <cellStyle name="20% - Accent5 2 2 2 2 2 2 2" xfId="26623"/>
    <cellStyle name="20% - Accent5 2 2 2 2 2 3" xfId="24327"/>
    <cellStyle name="20% - Accent5 2 2 2 2 20" xfId="15000"/>
    <cellStyle name="20% - Accent5 2 2 2 2 20 2" xfId="37775"/>
    <cellStyle name="20% - Accent5 2 2 2 2 21" xfId="15656"/>
    <cellStyle name="20% - Accent5 2 2 2 2 21 2" xfId="38431"/>
    <cellStyle name="20% - Accent5 2 2 2 2 22" xfId="16312"/>
    <cellStyle name="20% - Accent5 2 2 2 2 22 2" xfId="39087"/>
    <cellStyle name="20% - Accent5 2 2 2 2 23" xfId="16968"/>
    <cellStyle name="20% - Accent5 2 2 2 2 23 2" xfId="39743"/>
    <cellStyle name="20% - Accent5 2 2 2 2 24" xfId="17624"/>
    <cellStyle name="20% - Accent5 2 2 2 2 24 2" xfId="40399"/>
    <cellStyle name="20% - Accent5 2 2 2 2 25" xfId="18280"/>
    <cellStyle name="20% - Accent5 2 2 2 2 25 2" xfId="41055"/>
    <cellStyle name="20% - Accent5 2 2 2 2 26" xfId="18936"/>
    <cellStyle name="20% - Accent5 2 2 2 2 26 2" xfId="41711"/>
    <cellStyle name="20% - Accent5 2 2 2 2 27" xfId="19592"/>
    <cellStyle name="20% - Accent5 2 2 2 2 27 2" xfId="42367"/>
    <cellStyle name="20% - Accent5 2 2 2 2 28" xfId="20248"/>
    <cellStyle name="20% - Accent5 2 2 2 2 28 2" xfId="43023"/>
    <cellStyle name="20% - Accent5 2 2 2 2 29" xfId="20904"/>
    <cellStyle name="20% - Accent5 2 2 2 2 29 2" xfId="43679"/>
    <cellStyle name="20% - Accent5 2 2 2 2 3" xfId="2208"/>
    <cellStyle name="20% - Accent5 2 2 2 2 3 2" xfId="4504"/>
    <cellStyle name="20% - Accent5 2 2 2 2 3 2 2" xfId="27279"/>
    <cellStyle name="20% - Accent5 2 2 2 2 3 3" xfId="24983"/>
    <cellStyle name="20% - Accent5 2 2 2 2 30" xfId="21560"/>
    <cellStyle name="20% - Accent5 2 2 2 2 30 2" xfId="44335"/>
    <cellStyle name="20% - Accent5 2 2 2 2 31" xfId="22216"/>
    <cellStyle name="20% - Accent5 2 2 2 2 31 2" xfId="44991"/>
    <cellStyle name="20% - Accent5 2 2 2 2 32" xfId="22872"/>
    <cellStyle name="20% - Accent5 2 2 2 2 32 2" xfId="45647"/>
    <cellStyle name="20% - Accent5 2 2 2 2 33" xfId="23671"/>
    <cellStyle name="20% - Accent5 2 2 2 2 4" xfId="5160"/>
    <cellStyle name="20% - Accent5 2 2 2 2 4 2" xfId="27935"/>
    <cellStyle name="20% - Accent5 2 2 2 2 5" xfId="5816"/>
    <cellStyle name="20% - Accent5 2 2 2 2 5 2" xfId="28591"/>
    <cellStyle name="20% - Accent5 2 2 2 2 6" xfId="6472"/>
    <cellStyle name="20% - Accent5 2 2 2 2 6 2" xfId="29247"/>
    <cellStyle name="20% - Accent5 2 2 2 2 7" xfId="3192"/>
    <cellStyle name="20% - Accent5 2 2 2 2 7 2" xfId="25967"/>
    <cellStyle name="20% - Accent5 2 2 2 2 8" xfId="7128"/>
    <cellStyle name="20% - Accent5 2 2 2 2 8 2" xfId="29903"/>
    <cellStyle name="20% - Accent5 2 2 2 2 9" xfId="7784"/>
    <cellStyle name="20% - Accent5 2 2 2 2 9 2" xfId="30559"/>
    <cellStyle name="20% - Accent5 2 2 2 20" xfId="13360"/>
    <cellStyle name="20% - Accent5 2 2 2 20 2" xfId="36135"/>
    <cellStyle name="20% - Accent5 2 2 2 21" xfId="14016"/>
    <cellStyle name="20% - Accent5 2 2 2 21 2" xfId="36791"/>
    <cellStyle name="20% - Accent5 2 2 2 22" xfId="14672"/>
    <cellStyle name="20% - Accent5 2 2 2 22 2" xfId="37447"/>
    <cellStyle name="20% - Accent5 2 2 2 23" xfId="15328"/>
    <cellStyle name="20% - Accent5 2 2 2 23 2" xfId="38103"/>
    <cellStyle name="20% - Accent5 2 2 2 24" xfId="15984"/>
    <cellStyle name="20% - Accent5 2 2 2 24 2" xfId="38759"/>
    <cellStyle name="20% - Accent5 2 2 2 25" xfId="16640"/>
    <cellStyle name="20% - Accent5 2 2 2 25 2" xfId="39415"/>
    <cellStyle name="20% - Accent5 2 2 2 26" xfId="17296"/>
    <cellStyle name="20% - Accent5 2 2 2 26 2" xfId="40071"/>
    <cellStyle name="20% - Accent5 2 2 2 27" xfId="17952"/>
    <cellStyle name="20% - Accent5 2 2 2 27 2" xfId="40727"/>
    <cellStyle name="20% - Accent5 2 2 2 28" xfId="18608"/>
    <cellStyle name="20% - Accent5 2 2 2 28 2" xfId="41383"/>
    <cellStyle name="20% - Accent5 2 2 2 29" xfId="19264"/>
    <cellStyle name="20% - Accent5 2 2 2 29 2" xfId="42039"/>
    <cellStyle name="20% - Accent5 2 2 2 3" xfId="1224"/>
    <cellStyle name="20% - Accent5 2 2 2 3 2" xfId="2864"/>
    <cellStyle name="20% - Accent5 2 2 2 3 2 2" xfId="25639"/>
    <cellStyle name="20% - Accent5 2 2 2 3 3" xfId="23999"/>
    <cellStyle name="20% - Accent5 2 2 2 30" xfId="19920"/>
    <cellStyle name="20% - Accent5 2 2 2 30 2" xfId="42695"/>
    <cellStyle name="20% - Accent5 2 2 2 31" xfId="20576"/>
    <cellStyle name="20% - Accent5 2 2 2 31 2" xfId="43351"/>
    <cellStyle name="20% - Accent5 2 2 2 32" xfId="21232"/>
    <cellStyle name="20% - Accent5 2 2 2 32 2" xfId="44007"/>
    <cellStyle name="20% - Accent5 2 2 2 33" xfId="21888"/>
    <cellStyle name="20% - Accent5 2 2 2 33 2" xfId="44663"/>
    <cellStyle name="20% - Accent5 2 2 2 34" xfId="22544"/>
    <cellStyle name="20% - Accent5 2 2 2 34 2" xfId="45319"/>
    <cellStyle name="20% - Accent5 2 2 2 35" xfId="23343"/>
    <cellStyle name="20% - Accent5 2 2 2 4" xfId="1880"/>
    <cellStyle name="20% - Accent5 2 2 2 4 2" xfId="3520"/>
    <cellStyle name="20% - Accent5 2 2 2 4 2 2" xfId="26295"/>
    <cellStyle name="20% - Accent5 2 2 2 4 3" xfId="24655"/>
    <cellStyle name="20% - Accent5 2 2 2 5" xfId="4176"/>
    <cellStyle name="20% - Accent5 2 2 2 5 2" xfId="26951"/>
    <cellStyle name="20% - Accent5 2 2 2 6" xfId="4832"/>
    <cellStyle name="20% - Accent5 2 2 2 6 2" xfId="27607"/>
    <cellStyle name="20% - Accent5 2 2 2 7" xfId="5488"/>
    <cellStyle name="20% - Accent5 2 2 2 7 2" xfId="28263"/>
    <cellStyle name="20% - Accent5 2 2 2 8" xfId="6144"/>
    <cellStyle name="20% - Accent5 2 2 2 8 2" xfId="28919"/>
    <cellStyle name="20% - Accent5 2 2 2 9" xfId="2536"/>
    <cellStyle name="20% - Accent5 2 2 2 9 2" xfId="25311"/>
    <cellStyle name="20% - Accent5 2 2 20" xfId="12519"/>
    <cellStyle name="20% - Accent5 2 2 20 2" xfId="35294"/>
    <cellStyle name="20% - Accent5 2 2 21" xfId="13175"/>
    <cellStyle name="20% - Accent5 2 2 21 2" xfId="35950"/>
    <cellStyle name="20% - Accent5 2 2 22" xfId="13831"/>
    <cellStyle name="20% - Accent5 2 2 22 2" xfId="36606"/>
    <cellStyle name="20% - Accent5 2 2 23" xfId="14487"/>
    <cellStyle name="20% - Accent5 2 2 23 2" xfId="37262"/>
    <cellStyle name="20% - Accent5 2 2 24" xfId="15143"/>
    <cellStyle name="20% - Accent5 2 2 24 2" xfId="37918"/>
    <cellStyle name="20% - Accent5 2 2 25" xfId="15799"/>
    <cellStyle name="20% - Accent5 2 2 25 2" xfId="38574"/>
    <cellStyle name="20% - Accent5 2 2 26" xfId="16455"/>
    <cellStyle name="20% - Accent5 2 2 26 2" xfId="39230"/>
    <cellStyle name="20% - Accent5 2 2 27" xfId="17111"/>
    <cellStyle name="20% - Accent5 2 2 27 2" xfId="39886"/>
    <cellStyle name="20% - Accent5 2 2 28" xfId="17767"/>
    <cellStyle name="20% - Accent5 2 2 28 2" xfId="40542"/>
    <cellStyle name="20% - Accent5 2 2 29" xfId="18423"/>
    <cellStyle name="20% - Accent5 2 2 29 2" xfId="41198"/>
    <cellStyle name="20% - Accent5 2 2 3" xfId="711"/>
    <cellStyle name="20% - Accent5 2 2 3 10" xfId="8255"/>
    <cellStyle name="20% - Accent5 2 2 3 10 2" xfId="31030"/>
    <cellStyle name="20% - Accent5 2 2 3 11" xfId="8911"/>
    <cellStyle name="20% - Accent5 2 2 3 11 2" xfId="31686"/>
    <cellStyle name="20% - Accent5 2 2 3 12" xfId="9567"/>
    <cellStyle name="20% - Accent5 2 2 3 12 2" xfId="32342"/>
    <cellStyle name="20% - Accent5 2 2 3 13" xfId="10223"/>
    <cellStyle name="20% - Accent5 2 2 3 13 2" xfId="32998"/>
    <cellStyle name="20% - Accent5 2 2 3 14" xfId="10879"/>
    <cellStyle name="20% - Accent5 2 2 3 14 2" xfId="33654"/>
    <cellStyle name="20% - Accent5 2 2 3 15" xfId="11535"/>
    <cellStyle name="20% - Accent5 2 2 3 15 2" xfId="34310"/>
    <cellStyle name="20% - Accent5 2 2 3 16" xfId="12191"/>
    <cellStyle name="20% - Accent5 2 2 3 16 2" xfId="34966"/>
    <cellStyle name="20% - Accent5 2 2 3 17" xfId="12847"/>
    <cellStyle name="20% - Accent5 2 2 3 17 2" xfId="35622"/>
    <cellStyle name="20% - Accent5 2 2 3 18" xfId="13503"/>
    <cellStyle name="20% - Accent5 2 2 3 18 2" xfId="36278"/>
    <cellStyle name="20% - Accent5 2 2 3 19" xfId="14159"/>
    <cellStyle name="20% - Accent5 2 2 3 19 2" xfId="36934"/>
    <cellStyle name="20% - Accent5 2 2 3 2" xfId="1367"/>
    <cellStyle name="20% - Accent5 2 2 3 2 2" xfId="3663"/>
    <cellStyle name="20% - Accent5 2 2 3 2 2 2" xfId="26438"/>
    <cellStyle name="20% - Accent5 2 2 3 2 3" xfId="24142"/>
    <cellStyle name="20% - Accent5 2 2 3 20" xfId="14815"/>
    <cellStyle name="20% - Accent5 2 2 3 20 2" xfId="37590"/>
    <cellStyle name="20% - Accent5 2 2 3 21" xfId="15471"/>
    <cellStyle name="20% - Accent5 2 2 3 21 2" xfId="38246"/>
    <cellStyle name="20% - Accent5 2 2 3 22" xfId="16127"/>
    <cellStyle name="20% - Accent5 2 2 3 22 2" xfId="38902"/>
    <cellStyle name="20% - Accent5 2 2 3 23" xfId="16783"/>
    <cellStyle name="20% - Accent5 2 2 3 23 2" xfId="39558"/>
    <cellStyle name="20% - Accent5 2 2 3 24" xfId="17439"/>
    <cellStyle name="20% - Accent5 2 2 3 24 2" xfId="40214"/>
    <cellStyle name="20% - Accent5 2 2 3 25" xfId="18095"/>
    <cellStyle name="20% - Accent5 2 2 3 25 2" xfId="40870"/>
    <cellStyle name="20% - Accent5 2 2 3 26" xfId="18751"/>
    <cellStyle name="20% - Accent5 2 2 3 26 2" xfId="41526"/>
    <cellStyle name="20% - Accent5 2 2 3 27" xfId="19407"/>
    <cellStyle name="20% - Accent5 2 2 3 27 2" xfId="42182"/>
    <cellStyle name="20% - Accent5 2 2 3 28" xfId="20063"/>
    <cellStyle name="20% - Accent5 2 2 3 28 2" xfId="42838"/>
    <cellStyle name="20% - Accent5 2 2 3 29" xfId="20719"/>
    <cellStyle name="20% - Accent5 2 2 3 29 2" xfId="43494"/>
    <cellStyle name="20% - Accent5 2 2 3 3" xfId="2023"/>
    <cellStyle name="20% - Accent5 2 2 3 3 2" xfId="4319"/>
    <cellStyle name="20% - Accent5 2 2 3 3 2 2" xfId="27094"/>
    <cellStyle name="20% - Accent5 2 2 3 3 3" xfId="24798"/>
    <cellStyle name="20% - Accent5 2 2 3 30" xfId="21375"/>
    <cellStyle name="20% - Accent5 2 2 3 30 2" xfId="44150"/>
    <cellStyle name="20% - Accent5 2 2 3 31" xfId="22031"/>
    <cellStyle name="20% - Accent5 2 2 3 31 2" xfId="44806"/>
    <cellStyle name="20% - Accent5 2 2 3 32" xfId="22687"/>
    <cellStyle name="20% - Accent5 2 2 3 32 2" xfId="45462"/>
    <cellStyle name="20% - Accent5 2 2 3 33" xfId="23486"/>
    <cellStyle name="20% - Accent5 2 2 3 4" xfId="4975"/>
    <cellStyle name="20% - Accent5 2 2 3 4 2" xfId="27750"/>
    <cellStyle name="20% - Accent5 2 2 3 5" xfId="5631"/>
    <cellStyle name="20% - Accent5 2 2 3 5 2" xfId="28406"/>
    <cellStyle name="20% - Accent5 2 2 3 6" xfId="6287"/>
    <cellStyle name="20% - Accent5 2 2 3 6 2" xfId="29062"/>
    <cellStyle name="20% - Accent5 2 2 3 7" xfId="3007"/>
    <cellStyle name="20% - Accent5 2 2 3 7 2" xfId="25782"/>
    <cellStyle name="20% - Accent5 2 2 3 8" xfId="6943"/>
    <cellStyle name="20% - Accent5 2 2 3 8 2" xfId="29718"/>
    <cellStyle name="20% - Accent5 2 2 3 9" xfId="7599"/>
    <cellStyle name="20% - Accent5 2 2 3 9 2" xfId="30374"/>
    <cellStyle name="20% - Accent5 2 2 30" xfId="19079"/>
    <cellStyle name="20% - Accent5 2 2 30 2" xfId="41854"/>
    <cellStyle name="20% - Accent5 2 2 31" xfId="19735"/>
    <cellStyle name="20% - Accent5 2 2 31 2" xfId="42510"/>
    <cellStyle name="20% - Accent5 2 2 32" xfId="20391"/>
    <cellStyle name="20% - Accent5 2 2 32 2" xfId="43166"/>
    <cellStyle name="20% - Accent5 2 2 33" xfId="21047"/>
    <cellStyle name="20% - Accent5 2 2 33 2" xfId="43822"/>
    <cellStyle name="20% - Accent5 2 2 34" xfId="21703"/>
    <cellStyle name="20% - Accent5 2 2 34 2" xfId="44478"/>
    <cellStyle name="20% - Accent5 2 2 35" xfId="22359"/>
    <cellStyle name="20% - Accent5 2 2 35 2" xfId="45134"/>
    <cellStyle name="20% - Accent5 2 2 36" xfId="23015"/>
    <cellStyle name="20% - Accent5 2 2 4" xfId="384"/>
    <cellStyle name="20% - Accent5 2 2 4 2" xfId="2679"/>
    <cellStyle name="20% - Accent5 2 2 4 2 2" xfId="25454"/>
    <cellStyle name="20% - Accent5 2 2 4 3" xfId="23158"/>
    <cellStyle name="20% - Accent5 2 2 5" xfId="1039"/>
    <cellStyle name="20% - Accent5 2 2 5 2" xfId="3335"/>
    <cellStyle name="20% - Accent5 2 2 5 2 2" xfId="26110"/>
    <cellStyle name="20% - Accent5 2 2 5 3" xfId="23814"/>
    <cellStyle name="20% - Accent5 2 2 6" xfId="1695"/>
    <cellStyle name="20% - Accent5 2 2 6 2" xfId="3991"/>
    <cellStyle name="20% - Accent5 2 2 6 2 2" xfId="26766"/>
    <cellStyle name="20% - Accent5 2 2 6 3" xfId="24470"/>
    <cellStyle name="20% - Accent5 2 2 7" xfId="4647"/>
    <cellStyle name="20% - Accent5 2 2 7 2" xfId="27422"/>
    <cellStyle name="20% - Accent5 2 2 8" xfId="5303"/>
    <cellStyle name="20% - Accent5 2 2 8 2" xfId="28078"/>
    <cellStyle name="20% - Accent5 2 2 9" xfId="5959"/>
    <cellStyle name="20% - Accent5 2 2 9 2" xfId="28734"/>
    <cellStyle name="20% - Accent5 2 20" xfId="11777"/>
    <cellStyle name="20% - Accent5 2 20 2" xfId="34552"/>
    <cellStyle name="20% - Accent5 2 21" xfId="12433"/>
    <cellStyle name="20% - Accent5 2 21 2" xfId="35208"/>
    <cellStyle name="20% - Accent5 2 22" xfId="13089"/>
    <cellStyle name="20% - Accent5 2 22 2" xfId="35864"/>
    <cellStyle name="20% - Accent5 2 23" xfId="13745"/>
    <cellStyle name="20% - Accent5 2 23 2" xfId="36520"/>
    <cellStyle name="20% - Accent5 2 24" xfId="14401"/>
    <cellStyle name="20% - Accent5 2 24 2" xfId="37176"/>
    <cellStyle name="20% - Accent5 2 25" xfId="15057"/>
    <cellStyle name="20% - Accent5 2 25 2" xfId="37832"/>
    <cellStyle name="20% - Accent5 2 26" xfId="15713"/>
    <cellStyle name="20% - Accent5 2 26 2" xfId="38488"/>
    <cellStyle name="20% - Accent5 2 27" xfId="16369"/>
    <cellStyle name="20% - Accent5 2 27 2" xfId="39144"/>
    <cellStyle name="20% - Accent5 2 28" xfId="17025"/>
    <cellStyle name="20% - Accent5 2 28 2" xfId="39800"/>
    <cellStyle name="20% - Accent5 2 29" xfId="17681"/>
    <cellStyle name="20% - Accent5 2 29 2" xfId="40456"/>
    <cellStyle name="20% - Accent5 2 3" xfId="483"/>
    <cellStyle name="20% - Accent5 2 3 10" xfId="6714"/>
    <cellStyle name="20% - Accent5 2 3 10 2" xfId="29489"/>
    <cellStyle name="20% - Accent5 2 3 11" xfId="7370"/>
    <cellStyle name="20% - Accent5 2 3 11 2" xfId="30145"/>
    <cellStyle name="20% - Accent5 2 3 12" xfId="8026"/>
    <cellStyle name="20% - Accent5 2 3 12 2" xfId="30801"/>
    <cellStyle name="20% - Accent5 2 3 13" xfId="8682"/>
    <cellStyle name="20% - Accent5 2 3 13 2" xfId="31457"/>
    <cellStyle name="20% - Accent5 2 3 14" xfId="9338"/>
    <cellStyle name="20% - Accent5 2 3 14 2" xfId="32113"/>
    <cellStyle name="20% - Accent5 2 3 15" xfId="9994"/>
    <cellStyle name="20% - Accent5 2 3 15 2" xfId="32769"/>
    <cellStyle name="20% - Accent5 2 3 16" xfId="10650"/>
    <cellStyle name="20% - Accent5 2 3 16 2" xfId="33425"/>
    <cellStyle name="20% - Accent5 2 3 17" xfId="11306"/>
    <cellStyle name="20% - Accent5 2 3 17 2" xfId="34081"/>
    <cellStyle name="20% - Accent5 2 3 18" xfId="11962"/>
    <cellStyle name="20% - Accent5 2 3 18 2" xfId="34737"/>
    <cellStyle name="20% - Accent5 2 3 19" xfId="12618"/>
    <cellStyle name="20% - Accent5 2 3 19 2" xfId="35393"/>
    <cellStyle name="20% - Accent5 2 3 2" xfId="810"/>
    <cellStyle name="20% - Accent5 2 3 2 10" xfId="8354"/>
    <cellStyle name="20% - Accent5 2 3 2 10 2" xfId="31129"/>
    <cellStyle name="20% - Accent5 2 3 2 11" xfId="9010"/>
    <cellStyle name="20% - Accent5 2 3 2 11 2" xfId="31785"/>
    <cellStyle name="20% - Accent5 2 3 2 12" xfId="9666"/>
    <cellStyle name="20% - Accent5 2 3 2 12 2" xfId="32441"/>
    <cellStyle name="20% - Accent5 2 3 2 13" xfId="10322"/>
    <cellStyle name="20% - Accent5 2 3 2 13 2" xfId="33097"/>
    <cellStyle name="20% - Accent5 2 3 2 14" xfId="10978"/>
    <cellStyle name="20% - Accent5 2 3 2 14 2" xfId="33753"/>
    <cellStyle name="20% - Accent5 2 3 2 15" xfId="11634"/>
    <cellStyle name="20% - Accent5 2 3 2 15 2" xfId="34409"/>
    <cellStyle name="20% - Accent5 2 3 2 16" xfId="12290"/>
    <cellStyle name="20% - Accent5 2 3 2 16 2" xfId="35065"/>
    <cellStyle name="20% - Accent5 2 3 2 17" xfId="12946"/>
    <cellStyle name="20% - Accent5 2 3 2 17 2" xfId="35721"/>
    <cellStyle name="20% - Accent5 2 3 2 18" xfId="13602"/>
    <cellStyle name="20% - Accent5 2 3 2 18 2" xfId="36377"/>
    <cellStyle name="20% - Accent5 2 3 2 19" xfId="14258"/>
    <cellStyle name="20% - Accent5 2 3 2 19 2" xfId="37033"/>
    <cellStyle name="20% - Accent5 2 3 2 2" xfId="1466"/>
    <cellStyle name="20% - Accent5 2 3 2 2 2" xfId="3762"/>
    <cellStyle name="20% - Accent5 2 3 2 2 2 2" xfId="26537"/>
    <cellStyle name="20% - Accent5 2 3 2 2 3" xfId="24241"/>
    <cellStyle name="20% - Accent5 2 3 2 20" xfId="14914"/>
    <cellStyle name="20% - Accent5 2 3 2 20 2" xfId="37689"/>
    <cellStyle name="20% - Accent5 2 3 2 21" xfId="15570"/>
    <cellStyle name="20% - Accent5 2 3 2 21 2" xfId="38345"/>
    <cellStyle name="20% - Accent5 2 3 2 22" xfId="16226"/>
    <cellStyle name="20% - Accent5 2 3 2 22 2" xfId="39001"/>
    <cellStyle name="20% - Accent5 2 3 2 23" xfId="16882"/>
    <cellStyle name="20% - Accent5 2 3 2 23 2" xfId="39657"/>
    <cellStyle name="20% - Accent5 2 3 2 24" xfId="17538"/>
    <cellStyle name="20% - Accent5 2 3 2 24 2" xfId="40313"/>
    <cellStyle name="20% - Accent5 2 3 2 25" xfId="18194"/>
    <cellStyle name="20% - Accent5 2 3 2 25 2" xfId="40969"/>
    <cellStyle name="20% - Accent5 2 3 2 26" xfId="18850"/>
    <cellStyle name="20% - Accent5 2 3 2 26 2" xfId="41625"/>
    <cellStyle name="20% - Accent5 2 3 2 27" xfId="19506"/>
    <cellStyle name="20% - Accent5 2 3 2 27 2" xfId="42281"/>
    <cellStyle name="20% - Accent5 2 3 2 28" xfId="20162"/>
    <cellStyle name="20% - Accent5 2 3 2 28 2" xfId="42937"/>
    <cellStyle name="20% - Accent5 2 3 2 29" xfId="20818"/>
    <cellStyle name="20% - Accent5 2 3 2 29 2" xfId="43593"/>
    <cellStyle name="20% - Accent5 2 3 2 3" xfId="2122"/>
    <cellStyle name="20% - Accent5 2 3 2 3 2" xfId="4418"/>
    <cellStyle name="20% - Accent5 2 3 2 3 2 2" xfId="27193"/>
    <cellStyle name="20% - Accent5 2 3 2 3 3" xfId="24897"/>
    <cellStyle name="20% - Accent5 2 3 2 30" xfId="21474"/>
    <cellStyle name="20% - Accent5 2 3 2 30 2" xfId="44249"/>
    <cellStyle name="20% - Accent5 2 3 2 31" xfId="22130"/>
    <cellStyle name="20% - Accent5 2 3 2 31 2" xfId="44905"/>
    <cellStyle name="20% - Accent5 2 3 2 32" xfId="22786"/>
    <cellStyle name="20% - Accent5 2 3 2 32 2" xfId="45561"/>
    <cellStyle name="20% - Accent5 2 3 2 33" xfId="23585"/>
    <cellStyle name="20% - Accent5 2 3 2 4" xfId="5074"/>
    <cellStyle name="20% - Accent5 2 3 2 4 2" xfId="27849"/>
    <cellStyle name="20% - Accent5 2 3 2 5" xfId="5730"/>
    <cellStyle name="20% - Accent5 2 3 2 5 2" xfId="28505"/>
    <cellStyle name="20% - Accent5 2 3 2 6" xfId="6386"/>
    <cellStyle name="20% - Accent5 2 3 2 6 2" xfId="29161"/>
    <cellStyle name="20% - Accent5 2 3 2 7" xfId="3106"/>
    <cellStyle name="20% - Accent5 2 3 2 7 2" xfId="25881"/>
    <cellStyle name="20% - Accent5 2 3 2 8" xfId="7042"/>
    <cellStyle name="20% - Accent5 2 3 2 8 2" xfId="29817"/>
    <cellStyle name="20% - Accent5 2 3 2 9" xfId="7698"/>
    <cellStyle name="20% - Accent5 2 3 2 9 2" xfId="30473"/>
    <cellStyle name="20% - Accent5 2 3 20" xfId="13274"/>
    <cellStyle name="20% - Accent5 2 3 20 2" xfId="36049"/>
    <cellStyle name="20% - Accent5 2 3 21" xfId="13930"/>
    <cellStyle name="20% - Accent5 2 3 21 2" xfId="36705"/>
    <cellStyle name="20% - Accent5 2 3 22" xfId="14586"/>
    <cellStyle name="20% - Accent5 2 3 22 2" xfId="37361"/>
    <cellStyle name="20% - Accent5 2 3 23" xfId="15242"/>
    <cellStyle name="20% - Accent5 2 3 23 2" xfId="38017"/>
    <cellStyle name="20% - Accent5 2 3 24" xfId="15898"/>
    <cellStyle name="20% - Accent5 2 3 24 2" xfId="38673"/>
    <cellStyle name="20% - Accent5 2 3 25" xfId="16554"/>
    <cellStyle name="20% - Accent5 2 3 25 2" xfId="39329"/>
    <cellStyle name="20% - Accent5 2 3 26" xfId="17210"/>
    <cellStyle name="20% - Accent5 2 3 26 2" xfId="39985"/>
    <cellStyle name="20% - Accent5 2 3 27" xfId="17866"/>
    <cellStyle name="20% - Accent5 2 3 27 2" xfId="40641"/>
    <cellStyle name="20% - Accent5 2 3 28" xfId="18522"/>
    <cellStyle name="20% - Accent5 2 3 28 2" xfId="41297"/>
    <cellStyle name="20% - Accent5 2 3 29" xfId="19178"/>
    <cellStyle name="20% - Accent5 2 3 29 2" xfId="41953"/>
    <cellStyle name="20% - Accent5 2 3 3" xfId="1138"/>
    <cellStyle name="20% - Accent5 2 3 3 2" xfId="2778"/>
    <cellStyle name="20% - Accent5 2 3 3 2 2" xfId="25553"/>
    <cellStyle name="20% - Accent5 2 3 3 3" xfId="23913"/>
    <cellStyle name="20% - Accent5 2 3 30" xfId="19834"/>
    <cellStyle name="20% - Accent5 2 3 30 2" xfId="42609"/>
    <cellStyle name="20% - Accent5 2 3 31" xfId="20490"/>
    <cellStyle name="20% - Accent5 2 3 31 2" xfId="43265"/>
    <cellStyle name="20% - Accent5 2 3 32" xfId="21146"/>
    <cellStyle name="20% - Accent5 2 3 32 2" xfId="43921"/>
    <cellStyle name="20% - Accent5 2 3 33" xfId="21802"/>
    <cellStyle name="20% - Accent5 2 3 33 2" xfId="44577"/>
    <cellStyle name="20% - Accent5 2 3 34" xfId="22458"/>
    <cellStyle name="20% - Accent5 2 3 34 2" xfId="45233"/>
    <cellStyle name="20% - Accent5 2 3 35" xfId="23257"/>
    <cellStyle name="20% - Accent5 2 3 4" xfId="1794"/>
    <cellStyle name="20% - Accent5 2 3 4 2" xfId="3434"/>
    <cellStyle name="20% - Accent5 2 3 4 2 2" xfId="26209"/>
    <cellStyle name="20% - Accent5 2 3 4 3" xfId="24569"/>
    <cellStyle name="20% - Accent5 2 3 5" xfId="4090"/>
    <cellStyle name="20% - Accent5 2 3 5 2" xfId="26865"/>
    <cellStyle name="20% - Accent5 2 3 6" xfId="4746"/>
    <cellStyle name="20% - Accent5 2 3 6 2" xfId="27521"/>
    <cellStyle name="20% - Accent5 2 3 7" xfId="5402"/>
    <cellStyle name="20% - Accent5 2 3 7 2" xfId="28177"/>
    <cellStyle name="20% - Accent5 2 3 8" xfId="6058"/>
    <cellStyle name="20% - Accent5 2 3 8 2" xfId="28833"/>
    <cellStyle name="20% - Accent5 2 3 9" xfId="2450"/>
    <cellStyle name="20% - Accent5 2 3 9 2" xfId="25225"/>
    <cellStyle name="20% - Accent5 2 30" xfId="18337"/>
    <cellStyle name="20% - Accent5 2 30 2" xfId="41112"/>
    <cellStyle name="20% - Accent5 2 31" xfId="18993"/>
    <cellStyle name="20% - Accent5 2 31 2" xfId="41768"/>
    <cellStyle name="20% - Accent5 2 32" xfId="19649"/>
    <cellStyle name="20% - Accent5 2 32 2" xfId="42424"/>
    <cellStyle name="20% - Accent5 2 33" xfId="20305"/>
    <cellStyle name="20% - Accent5 2 33 2" xfId="43080"/>
    <cellStyle name="20% - Accent5 2 34" xfId="20961"/>
    <cellStyle name="20% - Accent5 2 34 2" xfId="43736"/>
    <cellStyle name="20% - Accent5 2 35" xfId="21617"/>
    <cellStyle name="20% - Accent5 2 35 2" xfId="44392"/>
    <cellStyle name="20% - Accent5 2 36" xfId="22273"/>
    <cellStyle name="20% - Accent5 2 36 2" xfId="45048"/>
    <cellStyle name="20% - Accent5 2 37" xfId="212"/>
    <cellStyle name="20% - Accent5 2 38" xfId="22929"/>
    <cellStyle name="20% - Accent5 2 4" xfId="625"/>
    <cellStyle name="20% - Accent5 2 4 10" xfId="8169"/>
    <cellStyle name="20% - Accent5 2 4 10 2" xfId="30944"/>
    <cellStyle name="20% - Accent5 2 4 11" xfId="8825"/>
    <cellStyle name="20% - Accent5 2 4 11 2" xfId="31600"/>
    <cellStyle name="20% - Accent5 2 4 12" xfId="9481"/>
    <cellStyle name="20% - Accent5 2 4 12 2" xfId="32256"/>
    <cellStyle name="20% - Accent5 2 4 13" xfId="10137"/>
    <cellStyle name="20% - Accent5 2 4 13 2" xfId="32912"/>
    <cellStyle name="20% - Accent5 2 4 14" xfId="10793"/>
    <cellStyle name="20% - Accent5 2 4 14 2" xfId="33568"/>
    <cellStyle name="20% - Accent5 2 4 15" xfId="11449"/>
    <cellStyle name="20% - Accent5 2 4 15 2" xfId="34224"/>
    <cellStyle name="20% - Accent5 2 4 16" xfId="12105"/>
    <cellStyle name="20% - Accent5 2 4 16 2" xfId="34880"/>
    <cellStyle name="20% - Accent5 2 4 17" xfId="12761"/>
    <cellStyle name="20% - Accent5 2 4 17 2" xfId="35536"/>
    <cellStyle name="20% - Accent5 2 4 18" xfId="13417"/>
    <cellStyle name="20% - Accent5 2 4 18 2" xfId="36192"/>
    <cellStyle name="20% - Accent5 2 4 19" xfId="14073"/>
    <cellStyle name="20% - Accent5 2 4 19 2" xfId="36848"/>
    <cellStyle name="20% - Accent5 2 4 2" xfId="1281"/>
    <cellStyle name="20% - Accent5 2 4 2 2" xfId="3577"/>
    <cellStyle name="20% - Accent5 2 4 2 2 2" xfId="26352"/>
    <cellStyle name="20% - Accent5 2 4 2 3" xfId="24056"/>
    <cellStyle name="20% - Accent5 2 4 20" xfId="14729"/>
    <cellStyle name="20% - Accent5 2 4 20 2" xfId="37504"/>
    <cellStyle name="20% - Accent5 2 4 21" xfId="15385"/>
    <cellStyle name="20% - Accent5 2 4 21 2" xfId="38160"/>
    <cellStyle name="20% - Accent5 2 4 22" xfId="16041"/>
    <cellStyle name="20% - Accent5 2 4 22 2" xfId="38816"/>
    <cellStyle name="20% - Accent5 2 4 23" xfId="16697"/>
    <cellStyle name="20% - Accent5 2 4 23 2" xfId="39472"/>
    <cellStyle name="20% - Accent5 2 4 24" xfId="17353"/>
    <cellStyle name="20% - Accent5 2 4 24 2" xfId="40128"/>
    <cellStyle name="20% - Accent5 2 4 25" xfId="18009"/>
    <cellStyle name="20% - Accent5 2 4 25 2" xfId="40784"/>
    <cellStyle name="20% - Accent5 2 4 26" xfId="18665"/>
    <cellStyle name="20% - Accent5 2 4 26 2" xfId="41440"/>
    <cellStyle name="20% - Accent5 2 4 27" xfId="19321"/>
    <cellStyle name="20% - Accent5 2 4 27 2" xfId="42096"/>
    <cellStyle name="20% - Accent5 2 4 28" xfId="19977"/>
    <cellStyle name="20% - Accent5 2 4 28 2" xfId="42752"/>
    <cellStyle name="20% - Accent5 2 4 29" xfId="20633"/>
    <cellStyle name="20% - Accent5 2 4 29 2" xfId="43408"/>
    <cellStyle name="20% - Accent5 2 4 3" xfId="1937"/>
    <cellStyle name="20% - Accent5 2 4 3 2" xfId="4233"/>
    <cellStyle name="20% - Accent5 2 4 3 2 2" xfId="27008"/>
    <cellStyle name="20% - Accent5 2 4 3 3" xfId="24712"/>
    <cellStyle name="20% - Accent5 2 4 30" xfId="21289"/>
    <cellStyle name="20% - Accent5 2 4 30 2" xfId="44064"/>
    <cellStyle name="20% - Accent5 2 4 31" xfId="21945"/>
    <cellStyle name="20% - Accent5 2 4 31 2" xfId="44720"/>
    <cellStyle name="20% - Accent5 2 4 32" xfId="22601"/>
    <cellStyle name="20% - Accent5 2 4 32 2" xfId="45376"/>
    <cellStyle name="20% - Accent5 2 4 33" xfId="23400"/>
    <cellStyle name="20% - Accent5 2 4 4" xfId="4889"/>
    <cellStyle name="20% - Accent5 2 4 4 2" xfId="27664"/>
    <cellStyle name="20% - Accent5 2 4 5" xfId="5545"/>
    <cellStyle name="20% - Accent5 2 4 5 2" xfId="28320"/>
    <cellStyle name="20% - Accent5 2 4 6" xfId="6201"/>
    <cellStyle name="20% - Accent5 2 4 6 2" xfId="28976"/>
    <cellStyle name="20% - Accent5 2 4 7" xfId="2921"/>
    <cellStyle name="20% - Accent5 2 4 7 2" xfId="25696"/>
    <cellStyle name="20% - Accent5 2 4 8" xfId="6857"/>
    <cellStyle name="20% - Accent5 2 4 8 2" xfId="29632"/>
    <cellStyle name="20% - Accent5 2 4 9" xfId="7513"/>
    <cellStyle name="20% - Accent5 2 4 9 2" xfId="30288"/>
    <cellStyle name="20% - Accent5 2 5" xfId="298"/>
    <cellStyle name="20% - Accent5 2 5 2" xfId="2593"/>
    <cellStyle name="20% - Accent5 2 5 2 2" xfId="25368"/>
    <cellStyle name="20% - Accent5 2 5 3" xfId="23072"/>
    <cellStyle name="20% - Accent5 2 6" xfId="953"/>
    <cellStyle name="20% - Accent5 2 6 2" xfId="3249"/>
    <cellStyle name="20% - Accent5 2 6 2 2" xfId="26024"/>
    <cellStyle name="20% - Accent5 2 6 3" xfId="23728"/>
    <cellStyle name="20% - Accent5 2 7" xfId="1609"/>
    <cellStyle name="20% - Accent5 2 7 2" xfId="3905"/>
    <cellStyle name="20% - Accent5 2 7 2 2" xfId="26680"/>
    <cellStyle name="20% - Accent5 2 7 3" xfId="24384"/>
    <cellStyle name="20% - Accent5 2 8" xfId="4561"/>
    <cellStyle name="20% - Accent5 2 8 2" xfId="27336"/>
    <cellStyle name="20% - Accent5 2 9" xfId="5217"/>
    <cellStyle name="20% - Accent5 2 9 2" xfId="27992"/>
    <cellStyle name="20% - Accent5 20" xfId="7169"/>
    <cellStyle name="20% - Accent5 20 2" xfId="29944"/>
    <cellStyle name="20% - Accent5 21" xfId="7825"/>
    <cellStyle name="20% - Accent5 21 2" xfId="30600"/>
    <cellStyle name="20% - Accent5 22" xfId="8481"/>
    <cellStyle name="20% - Accent5 22 2" xfId="31256"/>
    <cellStyle name="20% - Accent5 23" xfId="9137"/>
    <cellStyle name="20% - Accent5 23 2" xfId="31912"/>
    <cellStyle name="20% - Accent5 24" xfId="9793"/>
    <cellStyle name="20% - Accent5 24 2" xfId="32568"/>
    <cellStyle name="20% - Accent5 25" xfId="10449"/>
    <cellStyle name="20% - Accent5 25 2" xfId="33224"/>
    <cellStyle name="20% - Accent5 26" xfId="11105"/>
    <cellStyle name="20% - Accent5 26 2" xfId="33880"/>
    <cellStyle name="20% - Accent5 27" xfId="11761"/>
    <cellStyle name="20% - Accent5 27 2" xfId="34536"/>
    <cellStyle name="20% - Accent5 28" xfId="12417"/>
    <cellStyle name="20% - Accent5 28 2" xfId="35192"/>
    <cellStyle name="20% - Accent5 29" xfId="13073"/>
    <cellStyle name="20% - Accent5 29 2" xfId="35848"/>
    <cellStyle name="20% - Accent5 3" xfId="61"/>
    <cellStyle name="20% - Accent5 3 10" xfId="5888"/>
    <cellStyle name="20% - Accent5 3 10 2" xfId="28663"/>
    <cellStyle name="20% - Accent5 3 11" xfId="2280"/>
    <cellStyle name="20% - Accent5 3 11 2" xfId="25055"/>
    <cellStyle name="20% - Accent5 3 12" xfId="6544"/>
    <cellStyle name="20% - Accent5 3 12 2" xfId="29319"/>
    <cellStyle name="20% - Accent5 3 13" xfId="7200"/>
    <cellStyle name="20% - Accent5 3 13 2" xfId="29975"/>
    <cellStyle name="20% - Accent5 3 14" xfId="7856"/>
    <cellStyle name="20% - Accent5 3 14 2" xfId="30631"/>
    <cellStyle name="20% - Accent5 3 15" xfId="8512"/>
    <cellStyle name="20% - Accent5 3 15 2" xfId="31287"/>
    <cellStyle name="20% - Accent5 3 16" xfId="9168"/>
    <cellStyle name="20% - Accent5 3 16 2" xfId="31943"/>
    <cellStyle name="20% - Accent5 3 17" xfId="9824"/>
    <cellStyle name="20% - Accent5 3 17 2" xfId="32599"/>
    <cellStyle name="20% - Accent5 3 18" xfId="10480"/>
    <cellStyle name="20% - Accent5 3 18 2" xfId="33255"/>
    <cellStyle name="20% - Accent5 3 19" xfId="11136"/>
    <cellStyle name="20% - Accent5 3 19 2" xfId="33911"/>
    <cellStyle name="20% - Accent5 3 2" xfId="139"/>
    <cellStyle name="20% - Accent5 3 2 10" xfId="2335"/>
    <cellStyle name="20% - Accent5 3 2 10 2" xfId="25110"/>
    <cellStyle name="20% - Accent5 3 2 11" xfId="6599"/>
    <cellStyle name="20% - Accent5 3 2 11 2" xfId="29374"/>
    <cellStyle name="20% - Accent5 3 2 12" xfId="7255"/>
    <cellStyle name="20% - Accent5 3 2 12 2" xfId="30030"/>
    <cellStyle name="20% - Accent5 3 2 13" xfId="7911"/>
    <cellStyle name="20% - Accent5 3 2 13 2" xfId="30686"/>
    <cellStyle name="20% - Accent5 3 2 14" xfId="8567"/>
    <cellStyle name="20% - Accent5 3 2 14 2" xfId="31342"/>
    <cellStyle name="20% - Accent5 3 2 15" xfId="9223"/>
    <cellStyle name="20% - Accent5 3 2 15 2" xfId="31998"/>
    <cellStyle name="20% - Accent5 3 2 16" xfId="9879"/>
    <cellStyle name="20% - Accent5 3 2 16 2" xfId="32654"/>
    <cellStyle name="20% - Accent5 3 2 17" xfId="10535"/>
    <cellStyle name="20% - Accent5 3 2 17 2" xfId="33310"/>
    <cellStyle name="20% - Accent5 3 2 18" xfId="11191"/>
    <cellStyle name="20% - Accent5 3 2 18 2" xfId="33966"/>
    <cellStyle name="20% - Accent5 3 2 19" xfId="11847"/>
    <cellStyle name="20% - Accent5 3 2 19 2" xfId="34622"/>
    <cellStyle name="20% - Accent5 3 2 2" xfId="551"/>
    <cellStyle name="20% - Accent5 3 2 2 10" xfId="6784"/>
    <cellStyle name="20% - Accent5 3 2 2 10 2" xfId="29559"/>
    <cellStyle name="20% - Accent5 3 2 2 11" xfId="7440"/>
    <cellStyle name="20% - Accent5 3 2 2 11 2" xfId="30215"/>
    <cellStyle name="20% - Accent5 3 2 2 12" xfId="8096"/>
    <cellStyle name="20% - Accent5 3 2 2 12 2" xfId="30871"/>
    <cellStyle name="20% - Accent5 3 2 2 13" xfId="8752"/>
    <cellStyle name="20% - Accent5 3 2 2 13 2" xfId="31527"/>
    <cellStyle name="20% - Accent5 3 2 2 14" xfId="9408"/>
    <cellStyle name="20% - Accent5 3 2 2 14 2" xfId="32183"/>
    <cellStyle name="20% - Accent5 3 2 2 15" xfId="10064"/>
    <cellStyle name="20% - Accent5 3 2 2 15 2" xfId="32839"/>
    <cellStyle name="20% - Accent5 3 2 2 16" xfId="10720"/>
    <cellStyle name="20% - Accent5 3 2 2 16 2" xfId="33495"/>
    <cellStyle name="20% - Accent5 3 2 2 17" xfId="11376"/>
    <cellStyle name="20% - Accent5 3 2 2 17 2" xfId="34151"/>
    <cellStyle name="20% - Accent5 3 2 2 18" xfId="12032"/>
    <cellStyle name="20% - Accent5 3 2 2 18 2" xfId="34807"/>
    <cellStyle name="20% - Accent5 3 2 2 19" xfId="12688"/>
    <cellStyle name="20% - Accent5 3 2 2 19 2" xfId="35463"/>
    <cellStyle name="20% - Accent5 3 2 2 2" xfId="880"/>
    <cellStyle name="20% - Accent5 3 2 2 2 10" xfId="8424"/>
    <cellStyle name="20% - Accent5 3 2 2 2 10 2" xfId="31199"/>
    <cellStyle name="20% - Accent5 3 2 2 2 11" xfId="9080"/>
    <cellStyle name="20% - Accent5 3 2 2 2 11 2" xfId="31855"/>
    <cellStyle name="20% - Accent5 3 2 2 2 12" xfId="9736"/>
    <cellStyle name="20% - Accent5 3 2 2 2 12 2" xfId="32511"/>
    <cellStyle name="20% - Accent5 3 2 2 2 13" xfId="10392"/>
    <cellStyle name="20% - Accent5 3 2 2 2 13 2" xfId="33167"/>
    <cellStyle name="20% - Accent5 3 2 2 2 14" xfId="11048"/>
    <cellStyle name="20% - Accent5 3 2 2 2 14 2" xfId="33823"/>
    <cellStyle name="20% - Accent5 3 2 2 2 15" xfId="11704"/>
    <cellStyle name="20% - Accent5 3 2 2 2 15 2" xfId="34479"/>
    <cellStyle name="20% - Accent5 3 2 2 2 16" xfId="12360"/>
    <cellStyle name="20% - Accent5 3 2 2 2 16 2" xfId="35135"/>
    <cellStyle name="20% - Accent5 3 2 2 2 17" xfId="13016"/>
    <cellStyle name="20% - Accent5 3 2 2 2 17 2" xfId="35791"/>
    <cellStyle name="20% - Accent5 3 2 2 2 18" xfId="13672"/>
    <cellStyle name="20% - Accent5 3 2 2 2 18 2" xfId="36447"/>
    <cellStyle name="20% - Accent5 3 2 2 2 19" xfId="14328"/>
    <cellStyle name="20% - Accent5 3 2 2 2 19 2" xfId="37103"/>
    <cellStyle name="20% - Accent5 3 2 2 2 2" xfId="1536"/>
    <cellStyle name="20% - Accent5 3 2 2 2 2 2" xfId="3832"/>
    <cellStyle name="20% - Accent5 3 2 2 2 2 2 2" xfId="26607"/>
    <cellStyle name="20% - Accent5 3 2 2 2 2 3" xfId="24311"/>
    <cellStyle name="20% - Accent5 3 2 2 2 20" xfId="14984"/>
    <cellStyle name="20% - Accent5 3 2 2 2 20 2" xfId="37759"/>
    <cellStyle name="20% - Accent5 3 2 2 2 21" xfId="15640"/>
    <cellStyle name="20% - Accent5 3 2 2 2 21 2" xfId="38415"/>
    <cellStyle name="20% - Accent5 3 2 2 2 22" xfId="16296"/>
    <cellStyle name="20% - Accent5 3 2 2 2 22 2" xfId="39071"/>
    <cellStyle name="20% - Accent5 3 2 2 2 23" xfId="16952"/>
    <cellStyle name="20% - Accent5 3 2 2 2 23 2" xfId="39727"/>
    <cellStyle name="20% - Accent5 3 2 2 2 24" xfId="17608"/>
    <cellStyle name="20% - Accent5 3 2 2 2 24 2" xfId="40383"/>
    <cellStyle name="20% - Accent5 3 2 2 2 25" xfId="18264"/>
    <cellStyle name="20% - Accent5 3 2 2 2 25 2" xfId="41039"/>
    <cellStyle name="20% - Accent5 3 2 2 2 26" xfId="18920"/>
    <cellStyle name="20% - Accent5 3 2 2 2 26 2" xfId="41695"/>
    <cellStyle name="20% - Accent5 3 2 2 2 27" xfId="19576"/>
    <cellStyle name="20% - Accent5 3 2 2 2 27 2" xfId="42351"/>
    <cellStyle name="20% - Accent5 3 2 2 2 28" xfId="20232"/>
    <cellStyle name="20% - Accent5 3 2 2 2 28 2" xfId="43007"/>
    <cellStyle name="20% - Accent5 3 2 2 2 29" xfId="20888"/>
    <cellStyle name="20% - Accent5 3 2 2 2 29 2" xfId="43663"/>
    <cellStyle name="20% - Accent5 3 2 2 2 3" xfId="2192"/>
    <cellStyle name="20% - Accent5 3 2 2 2 3 2" xfId="4488"/>
    <cellStyle name="20% - Accent5 3 2 2 2 3 2 2" xfId="27263"/>
    <cellStyle name="20% - Accent5 3 2 2 2 3 3" xfId="24967"/>
    <cellStyle name="20% - Accent5 3 2 2 2 30" xfId="21544"/>
    <cellStyle name="20% - Accent5 3 2 2 2 30 2" xfId="44319"/>
    <cellStyle name="20% - Accent5 3 2 2 2 31" xfId="22200"/>
    <cellStyle name="20% - Accent5 3 2 2 2 31 2" xfId="44975"/>
    <cellStyle name="20% - Accent5 3 2 2 2 32" xfId="22856"/>
    <cellStyle name="20% - Accent5 3 2 2 2 32 2" xfId="45631"/>
    <cellStyle name="20% - Accent5 3 2 2 2 33" xfId="23655"/>
    <cellStyle name="20% - Accent5 3 2 2 2 4" xfId="5144"/>
    <cellStyle name="20% - Accent5 3 2 2 2 4 2" xfId="27919"/>
    <cellStyle name="20% - Accent5 3 2 2 2 5" xfId="5800"/>
    <cellStyle name="20% - Accent5 3 2 2 2 5 2" xfId="28575"/>
    <cellStyle name="20% - Accent5 3 2 2 2 6" xfId="6456"/>
    <cellStyle name="20% - Accent5 3 2 2 2 6 2" xfId="29231"/>
    <cellStyle name="20% - Accent5 3 2 2 2 7" xfId="3176"/>
    <cellStyle name="20% - Accent5 3 2 2 2 7 2" xfId="25951"/>
    <cellStyle name="20% - Accent5 3 2 2 2 8" xfId="7112"/>
    <cellStyle name="20% - Accent5 3 2 2 2 8 2" xfId="29887"/>
    <cellStyle name="20% - Accent5 3 2 2 2 9" xfId="7768"/>
    <cellStyle name="20% - Accent5 3 2 2 2 9 2" xfId="30543"/>
    <cellStyle name="20% - Accent5 3 2 2 20" xfId="13344"/>
    <cellStyle name="20% - Accent5 3 2 2 20 2" xfId="36119"/>
    <cellStyle name="20% - Accent5 3 2 2 21" xfId="14000"/>
    <cellStyle name="20% - Accent5 3 2 2 21 2" xfId="36775"/>
    <cellStyle name="20% - Accent5 3 2 2 22" xfId="14656"/>
    <cellStyle name="20% - Accent5 3 2 2 22 2" xfId="37431"/>
    <cellStyle name="20% - Accent5 3 2 2 23" xfId="15312"/>
    <cellStyle name="20% - Accent5 3 2 2 23 2" xfId="38087"/>
    <cellStyle name="20% - Accent5 3 2 2 24" xfId="15968"/>
    <cellStyle name="20% - Accent5 3 2 2 24 2" xfId="38743"/>
    <cellStyle name="20% - Accent5 3 2 2 25" xfId="16624"/>
    <cellStyle name="20% - Accent5 3 2 2 25 2" xfId="39399"/>
    <cellStyle name="20% - Accent5 3 2 2 26" xfId="17280"/>
    <cellStyle name="20% - Accent5 3 2 2 26 2" xfId="40055"/>
    <cellStyle name="20% - Accent5 3 2 2 27" xfId="17936"/>
    <cellStyle name="20% - Accent5 3 2 2 27 2" xfId="40711"/>
    <cellStyle name="20% - Accent5 3 2 2 28" xfId="18592"/>
    <cellStyle name="20% - Accent5 3 2 2 28 2" xfId="41367"/>
    <cellStyle name="20% - Accent5 3 2 2 29" xfId="19248"/>
    <cellStyle name="20% - Accent5 3 2 2 29 2" xfId="42023"/>
    <cellStyle name="20% - Accent5 3 2 2 3" xfId="1208"/>
    <cellStyle name="20% - Accent5 3 2 2 3 2" xfId="2848"/>
    <cellStyle name="20% - Accent5 3 2 2 3 2 2" xfId="25623"/>
    <cellStyle name="20% - Accent5 3 2 2 3 3" xfId="23983"/>
    <cellStyle name="20% - Accent5 3 2 2 30" xfId="19904"/>
    <cellStyle name="20% - Accent5 3 2 2 30 2" xfId="42679"/>
    <cellStyle name="20% - Accent5 3 2 2 31" xfId="20560"/>
    <cellStyle name="20% - Accent5 3 2 2 31 2" xfId="43335"/>
    <cellStyle name="20% - Accent5 3 2 2 32" xfId="21216"/>
    <cellStyle name="20% - Accent5 3 2 2 32 2" xfId="43991"/>
    <cellStyle name="20% - Accent5 3 2 2 33" xfId="21872"/>
    <cellStyle name="20% - Accent5 3 2 2 33 2" xfId="44647"/>
    <cellStyle name="20% - Accent5 3 2 2 34" xfId="22528"/>
    <cellStyle name="20% - Accent5 3 2 2 34 2" xfId="45303"/>
    <cellStyle name="20% - Accent5 3 2 2 35" xfId="23327"/>
    <cellStyle name="20% - Accent5 3 2 2 4" xfId="1864"/>
    <cellStyle name="20% - Accent5 3 2 2 4 2" xfId="3504"/>
    <cellStyle name="20% - Accent5 3 2 2 4 2 2" xfId="26279"/>
    <cellStyle name="20% - Accent5 3 2 2 4 3" xfId="24639"/>
    <cellStyle name="20% - Accent5 3 2 2 5" xfId="4160"/>
    <cellStyle name="20% - Accent5 3 2 2 5 2" xfId="26935"/>
    <cellStyle name="20% - Accent5 3 2 2 6" xfId="4816"/>
    <cellStyle name="20% - Accent5 3 2 2 6 2" xfId="27591"/>
    <cellStyle name="20% - Accent5 3 2 2 7" xfId="5472"/>
    <cellStyle name="20% - Accent5 3 2 2 7 2" xfId="28247"/>
    <cellStyle name="20% - Accent5 3 2 2 8" xfId="6128"/>
    <cellStyle name="20% - Accent5 3 2 2 8 2" xfId="28903"/>
    <cellStyle name="20% - Accent5 3 2 2 9" xfId="2520"/>
    <cellStyle name="20% - Accent5 3 2 2 9 2" xfId="25295"/>
    <cellStyle name="20% - Accent5 3 2 20" xfId="12503"/>
    <cellStyle name="20% - Accent5 3 2 20 2" xfId="35278"/>
    <cellStyle name="20% - Accent5 3 2 21" xfId="13159"/>
    <cellStyle name="20% - Accent5 3 2 21 2" xfId="35934"/>
    <cellStyle name="20% - Accent5 3 2 22" xfId="13815"/>
    <cellStyle name="20% - Accent5 3 2 22 2" xfId="36590"/>
    <cellStyle name="20% - Accent5 3 2 23" xfId="14471"/>
    <cellStyle name="20% - Accent5 3 2 23 2" xfId="37246"/>
    <cellStyle name="20% - Accent5 3 2 24" xfId="15127"/>
    <cellStyle name="20% - Accent5 3 2 24 2" xfId="37902"/>
    <cellStyle name="20% - Accent5 3 2 25" xfId="15783"/>
    <cellStyle name="20% - Accent5 3 2 25 2" xfId="38558"/>
    <cellStyle name="20% - Accent5 3 2 26" xfId="16439"/>
    <cellStyle name="20% - Accent5 3 2 26 2" xfId="39214"/>
    <cellStyle name="20% - Accent5 3 2 27" xfId="17095"/>
    <cellStyle name="20% - Accent5 3 2 27 2" xfId="39870"/>
    <cellStyle name="20% - Accent5 3 2 28" xfId="17751"/>
    <cellStyle name="20% - Accent5 3 2 28 2" xfId="40526"/>
    <cellStyle name="20% - Accent5 3 2 29" xfId="18407"/>
    <cellStyle name="20% - Accent5 3 2 29 2" xfId="41182"/>
    <cellStyle name="20% - Accent5 3 2 3" xfId="695"/>
    <cellStyle name="20% - Accent5 3 2 3 10" xfId="8239"/>
    <cellStyle name="20% - Accent5 3 2 3 10 2" xfId="31014"/>
    <cellStyle name="20% - Accent5 3 2 3 11" xfId="8895"/>
    <cellStyle name="20% - Accent5 3 2 3 11 2" xfId="31670"/>
    <cellStyle name="20% - Accent5 3 2 3 12" xfId="9551"/>
    <cellStyle name="20% - Accent5 3 2 3 12 2" xfId="32326"/>
    <cellStyle name="20% - Accent5 3 2 3 13" xfId="10207"/>
    <cellStyle name="20% - Accent5 3 2 3 13 2" xfId="32982"/>
    <cellStyle name="20% - Accent5 3 2 3 14" xfId="10863"/>
    <cellStyle name="20% - Accent5 3 2 3 14 2" xfId="33638"/>
    <cellStyle name="20% - Accent5 3 2 3 15" xfId="11519"/>
    <cellStyle name="20% - Accent5 3 2 3 15 2" xfId="34294"/>
    <cellStyle name="20% - Accent5 3 2 3 16" xfId="12175"/>
    <cellStyle name="20% - Accent5 3 2 3 16 2" xfId="34950"/>
    <cellStyle name="20% - Accent5 3 2 3 17" xfId="12831"/>
    <cellStyle name="20% - Accent5 3 2 3 17 2" xfId="35606"/>
    <cellStyle name="20% - Accent5 3 2 3 18" xfId="13487"/>
    <cellStyle name="20% - Accent5 3 2 3 18 2" xfId="36262"/>
    <cellStyle name="20% - Accent5 3 2 3 19" xfId="14143"/>
    <cellStyle name="20% - Accent5 3 2 3 19 2" xfId="36918"/>
    <cellStyle name="20% - Accent5 3 2 3 2" xfId="1351"/>
    <cellStyle name="20% - Accent5 3 2 3 2 2" xfId="3647"/>
    <cellStyle name="20% - Accent5 3 2 3 2 2 2" xfId="26422"/>
    <cellStyle name="20% - Accent5 3 2 3 2 3" xfId="24126"/>
    <cellStyle name="20% - Accent5 3 2 3 20" xfId="14799"/>
    <cellStyle name="20% - Accent5 3 2 3 20 2" xfId="37574"/>
    <cellStyle name="20% - Accent5 3 2 3 21" xfId="15455"/>
    <cellStyle name="20% - Accent5 3 2 3 21 2" xfId="38230"/>
    <cellStyle name="20% - Accent5 3 2 3 22" xfId="16111"/>
    <cellStyle name="20% - Accent5 3 2 3 22 2" xfId="38886"/>
    <cellStyle name="20% - Accent5 3 2 3 23" xfId="16767"/>
    <cellStyle name="20% - Accent5 3 2 3 23 2" xfId="39542"/>
    <cellStyle name="20% - Accent5 3 2 3 24" xfId="17423"/>
    <cellStyle name="20% - Accent5 3 2 3 24 2" xfId="40198"/>
    <cellStyle name="20% - Accent5 3 2 3 25" xfId="18079"/>
    <cellStyle name="20% - Accent5 3 2 3 25 2" xfId="40854"/>
    <cellStyle name="20% - Accent5 3 2 3 26" xfId="18735"/>
    <cellStyle name="20% - Accent5 3 2 3 26 2" xfId="41510"/>
    <cellStyle name="20% - Accent5 3 2 3 27" xfId="19391"/>
    <cellStyle name="20% - Accent5 3 2 3 27 2" xfId="42166"/>
    <cellStyle name="20% - Accent5 3 2 3 28" xfId="20047"/>
    <cellStyle name="20% - Accent5 3 2 3 28 2" xfId="42822"/>
    <cellStyle name="20% - Accent5 3 2 3 29" xfId="20703"/>
    <cellStyle name="20% - Accent5 3 2 3 29 2" xfId="43478"/>
    <cellStyle name="20% - Accent5 3 2 3 3" xfId="2007"/>
    <cellStyle name="20% - Accent5 3 2 3 3 2" xfId="4303"/>
    <cellStyle name="20% - Accent5 3 2 3 3 2 2" xfId="27078"/>
    <cellStyle name="20% - Accent5 3 2 3 3 3" xfId="24782"/>
    <cellStyle name="20% - Accent5 3 2 3 30" xfId="21359"/>
    <cellStyle name="20% - Accent5 3 2 3 30 2" xfId="44134"/>
    <cellStyle name="20% - Accent5 3 2 3 31" xfId="22015"/>
    <cellStyle name="20% - Accent5 3 2 3 31 2" xfId="44790"/>
    <cellStyle name="20% - Accent5 3 2 3 32" xfId="22671"/>
    <cellStyle name="20% - Accent5 3 2 3 32 2" xfId="45446"/>
    <cellStyle name="20% - Accent5 3 2 3 33" xfId="23470"/>
    <cellStyle name="20% - Accent5 3 2 3 4" xfId="4959"/>
    <cellStyle name="20% - Accent5 3 2 3 4 2" xfId="27734"/>
    <cellStyle name="20% - Accent5 3 2 3 5" xfId="5615"/>
    <cellStyle name="20% - Accent5 3 2 3 5 2" xfId="28390"/>
    <cellStyle name="20% - Accent5 3 2 3 6" xfId="6271"/>
    <cellStyle name="20% - Accent5 3 2 3 6 2" xfId="29046"/>
    <cellStyle name="20% - Accent5 3 2 3 7" xfId="2991"/>
    <cellStyle name="20% - Accent5 3 2 3 7 2" xfId="25766"/>
    <cellStyle name="20% - Accent5 3 2 3 8" xfId="6927"/>
    <cellStyle name="20% - Accent5 3 2 3 8 2" xfId="29702"/>
    <cellStyle name="20% - Accent5 3 2 3 9" xfId="7583"/>
    <cellStyle name="20% - Accent5 3 2 3 9 2" xfId="30358"/>
    <cellStyle name="20% - Accent5 3 2 30" xfId="19063"/>
    <cellStyle name="20% - Accent5 3 2 30 2" xfId="41838"/>
    <cellStyle name="20% - Accent5 3 2 31" xfId="19719"/>
    <cellStyle name="20% - Accent5 3 2 31 2" xfId="42494"/>
    <cellStyle name="20% - Accent5 3 2 32" xfId="20375"/>
    <cellStyle name="20% - Accent5 3 2 32 2" xfId="43150"/>
    <cellStyle name="20% - Accent5 3 2 33" xfId="21031"/>
    <cellStyle name="20% - Accent5 3 2 33 2" xfId="43806"/>
    <cellStyle name="20% - Accent5 3 2 34" xfId="21687"/>
    <cellStyle name="20% - Accent5 3 2 34 2" xfId="44462"/>
    <cellStyle name="20% - Accent5 3 2 35" xfId="22343"/>
    <cellStyle name="20% - Accent5 3 2 35 2" xfId="45118"/>
    <cellStyle name="20% - Accent5 3 2 36" xfId="22999"/>
    <cellStyle name="20% - Accent5 3 2 4" xfId="368"/>
    <cellStyle name="20% - Accent5 3 2 4 2" xfId="2663"/>
    <cellStyle name="20% - Accent5 3 2 4 2 2" xfId="25438"/>
    <cellStyle name="20% - Accent5 3 2 4 3" xfId="23142"/>
    <cellStyle name="20% - Accent5 3 2 5" xfId="1023"/>
    <cellStyle name="20% - Accent5 3 2 5 2" xfId="3319"/>
    <cellStyle name="20% - Accent5 3 2 5 2 2" xfId="26094"/>
    <cellStyle name="20% - Accent5 3 2 5 3" xfId="23798"/>
    <cellStyle name="20% - Accent5 3 2 6" xfId="1679"/>
    <cellStyle name="20% - Accent5 3 2 6 2" xfId="3975"/>
    <cellStyle name="20% - Accent5 3 2 6 2 2" xfId="26750"/>
    <cellStyle name="20% - Accent5 3 2 6 3" xfId="24454"/>
    <cellStyle name="20% - Accent5 3 2 7" xfId="4631"/>
    <cellStyle name="20% - Accent5 3 2 7 2" xfId="27406"/>
    <cellStyle name="20% - Accent5 3 2 8" xfId="5287"/>
    <cellStyle name="20% - Accent5 3 2 8 2" xfId="28062"/>
    <cellStyle name="20% - Accent5 3 2 9" xfId="5943"/>
    <cellStyle name="20% - Accent5 3 2 9 2" xfId="28718"/>
    <cellStyle name="20% - Accent5 3 20" xfId="11792"/>
    <cellStyle name="20% - Accent5 3 20 2" xfId="34567"/>
    <cellStyle name="20% - Accent5 3 21" xfId="12448"/>
    <cellStyle name="20% - Accent5 3 21 2" xfId="35223"/>
    <cellStyle name="20% - Accent5 3 22" xfId="13104"/>
    <cellStyle name="20% - Accent5 3 22 2" xfId="35879"/>
    <cellStyle name="20% - Accent5 3 23" xfId="13760"/>
    <cellStyle name="20% - Accent5 3 23 2" xfId="36535"/>
    <cellStyle name="20% - Accent5 3 24" xfId="14416"/>
    <cellStyle name="20% - Accent5 3 24 2" xfId="37191"/>
    <cellStyle name="20% - Accent5 3 25" xfId="15072"/>
    <cellStyle name="20% - Accent5 3 25 2" xfId="37847"/>
    <cellStyle name="20% - Accent5 3 26" xfId="15728"/>
    <cellStyle name="20% - Accent5 3 26 2" xfId="38503"/>
    <cellStyle name="20% - Accent5 3 27" xfId="16384"/>
    <cellStyle name="20% - Accent5 3 27 2" xfId="39159"/>
    <cellStyle name="20% - Accent5 3 28" xfId="17040"/>
    <cellStyle name="20% - Accent5 3 28 2" xfId="39815"/>
    <cellStyle name="20% - Accent5 3 29" xfId="17696"/>
    <cellStyle name="20% - Accent5 3 29 2" xfId="40471"/>
    <cellStyle name="20% - Accent5 3 3" xfId="497"/>
    <cellStyle name="20% - Accent5 3 3 10" xfId="6729"/>
    <cellStyle name="20% - Accent5 3 3 10 2" xfId="29504"/>
    <cellStyle name="20% - Accent5 3 3 11" xfId="7385"/>
    <cellStyle name="20% - Accent5 3 3 11 2" xfId="30160"/>
    <cellStyle name="20% - Accent5 3 3 12" xfId="8041"/>
    <cellStyle name="20% - Accent5 3 3 12 2" xfId="30816"/>
    <cellStyle name="20% - Accent5 3 3 13" xfId="8697"/>
    <cellStyle name="20% - Accent5 3 3 13 2" xfId="31472"/>
    <cellStyle name="20% - Accent5 3 3 14" xfId="9353"/>
    <cellStyle name="20% - Accent5 3 3 14 2" xfId="32128"/>
    <cellStyle name="20% - Accent5 3 3 15" xfId="10009"/>
    <cellStyle name="20% - Accent5 3 3 15 2" xfId="32784"/>
    <cellStyle name="20% - Accent5 3 3 16" xfId="10665"/>
    <cellStyle name="20% - Accent5 3 3 16 2" xfId="33440"/>
    <cellStyle name="20% - Accent5 3 3 17" xfId="11321"/>
    <cellStyle name="20% - Accent5 3 3 17 2" xfId="34096"/>
    <cellStyle name="20% - Accent5 3 3 18" xfId="11977"/>
    <cellStyle name="20% - Accent5 3 3 18 2" xfId="34752"/>
    <cellStyle name="20% - Accent5 3 3 19" xfId="12633"/>
    <cellStyle name="20% - Accent5 3 3 19 2" xfId="35408"/>
    <cellStyle name="20% - Accent5 3 3 2" xfId="825"/>
    <cellStyle name="20% - Accent5 3 3 2 10" xfId="8369"/>
    <cellStyle name="20% - Accent5 3 3 2 10 2" xfId="31144"/>
    <cellStyle name="20% - Accent5 3 3 2 11" xfId="9025"/>
    <cellStyle name="20% - Accent5 3 3 2 11 2" xfId="31800"/>
    <cellStyle name="20% - Accent5 3 3 2 12" xfId="9681"/>
    <cellStyle name="20% - Accent5 3 3 2 12 2" xfId="32456"/>
    <cellStyle name="20% - Accent5 3 3 2 13" xfId="10337"/>
    <cellStyle name="20% - Accent5 3 3 2 13 2" xfId="33112"/>
    <cellStyle name="20% - Accent5 3 3 2 14" xfId="10993"/>
    <cellStyle name="20% - Accent5 3 3 2 14 2" xfId="33768"/>
    <cellStyle name="20% - Accent5 3 3 2 15" xfId="11649"/>
    <cellStyle name="20% - Accent5 3 3 2 15 2" xfId="34424"/>
    <cellStyle name="20% - Accent5 3 3 2 16" xfId="12305"/>
    <cellStyle name="20% - Accent5 3 3 2 16 2" xfId="35080"/>
    <cellStyle name="20% - Accent5 3 3 2 17" xfId="12961"/>
    <cellStyle name="20% - Accent5 3 3 2 17 2" xfId="35736"/>
    <cellStyle name="20% - Accent5 3 3 2 18" xfId="13617"/>
    <cellStyle name="20% - Accent5 3 3 2 18 2" xfId="36392"/>
    <cellStyle name="20% - Accent5 3 3 2 19" xfId="14273"/>
    <cellStyle name="20% - Accent5 3 3 2 19 2" xfId="37048"/>
    <cellStyle name="20% - Accent5 3 3 2 2" xfId="1481"/>
    <cellStyle name="20% - Accent5 3 3 2 2 2" xfId="3777"/>
    <cellStyle name="20% - Accent5 3 3 2 2 2 2" xfId="26552"/>
    <cellStyle name="20% - Accent5 3 3 2 2 3" xfId="24256"/>
    <cellStyle name="20% - Accent5 3 3 2 20" xfId="14929"/>
    <cellStyle name="20% - Accent5 3 3 2 20 2" xfId="37704"/>
    <cellStyle name="20% - Accent5 3 3 2 21" xfId="15585"/>
    <cellStyle name="20% - Accent5 3 3 2 21 2" xfId="38360"/>
    <cellStyle name="20% - Accent5 3 3 2 22" xfId="16241"/>
    <cellStyle name="20% - Accent5 3 3 2 22 2" xfId="39016"/>
    <cellStyle name="20% - Accent5 3 3 2 23" xfId="16897"/>
    <cellStyle name="20% - Accent5 3 3 2 23 2" xfId="39672"/>
    <cellStyle name="20% - Accent5 3 3 2 24" xfId="17553"/>
    <cellStyle name="20% - Accent5 3 3 2 24 2" xfId="40328"/>
    <cellStyle name="20% - Accent5 3 3 2 25" xfId="18209"/>
    <cellStyle name="20% - Accent5 3 3 2 25 2" xfId="40984"/>
    <cellStyle name="20% - Accent5 3 3 2 26" xfId="18865"/>
    <cellStyle name="20% - Accent5 3 3 2 26 2" xfId="41640"/>
    <cellStyle name="20% - Accent5 3 3 2 27" xfId="19521"/>
    <cellStyle name="20% - Accent5 3 3 2 27 2" xfId="42296"/>
    <cellStyle name="20% - Accent5 3 3 2 28" xfId="20177"/>
    <cellStyle name="20% - Accent5 3 3 2 28 2" xfId="42952"/>
    <cellStyle name="20% - Accent5 3 3 2 29" xfId="20833"/>
    <cellStyle name="20% - Accent5 3 3 2 29 2" xfId="43608"/>
    <cellStyle name="20% - Accent5 3 3 2 3" xfId="2137"/>
    <cellStyle name="20% - Accent5 3 3 2 3 2" xfId="4433"/>
    <cellStyle name="20% - Accent5 3 3 2 3 2 2" xfId="27208"/>
    <cellStyle name="20% - Accent5 3 3 2 3 3" xfId="24912"/>
    <cellStyle name="20% - Accent5 3 3 2 30" xfId="21489"/>
    <cellStyle name="20% - Accent5 3 3 2 30 2" xfId="44264"/>
    <cellStyle name="20% - Accent5 3 3 2 31" xfId="22145"/>
    <cellStyle name="20% - Accent5 3 3 2 31 2" xfId="44920"/>
    <cellStyle name="20% - Accent5 3 3 2 32" xfId="22801"/>
    <cellStyle name="20% - Accent5 3 3 2 32 2" xfId="45576"/>
    <cellStyle name="20% - Accent5 3 3 2 33" xfId="23600"/>
    <cellStyle name="20% - Accent5 3 3 2 4" xfId="5089"/>
    <cellStyle name="20% - Accent5 3 3 2 4 2" xfId="27864"/>
    <cellStyle name="20% - Accent5 3 3 2 5" xfId="5745"/>
    <cellStyle name="20% - Accent5 3 3 2 5 2" xfId="28520"/>
    <cellStyle name="20% - Accent5 3 3 2 6" xfId="6401"/>
    <cellStyle name="20% - Accent5 3 3 2 6 2" xfId="29176"/>
    <cellStyle name="20% - Accent5 3 3 2 7" xfId="3121"/>
    <cellStyle name="20% - Accent5 3 3 2 7 2" xfId="25896"/>
    <cellStyle name="20% - Accent5 3 3 2 8" xfId="7057"/>
    <cellStyle name="20% - Accent5 3 3 2 8 2" xfId="29832"/>
    <cellStyle name="20% - Accent5 3 3 2 9" xfId="7713"/>
    <cellStyle name="20% - Accent5 3 3 2 9 2" xfId="30488"/>
    <cellStyle name="20% - Accent5 3 3 20" xfId="13289"/>
    <cellStyle name="20% - Accent5 3 3 20 2" xfId="36064"/>
    <cellStyle name="20% - Accent5 3 3 21" xfId="13945"/>
    <cellStyle name="20% - Accent5 3 3 21 2" xfId="36720"/>
    <cellStyle name="20% - Accent5 3 3 22" xfId="14601"/>
    <cellStyle name="20% - Accent5 3 3 22 2" xfId="37376"/>
    <cellStyle name="20% - Accent5 3 3 23" xfId="15257"/>
    <cellStyle name="20% - Accent5 3 3 23 2" xfId="38032"/>
    <cellStyle name="20% - Accent5 3 3 24" xfId="15913"/>
    <cellStyle name="20% - Accent5 3 3 24 2" xfId="38688"/>
    <cellStyle name="20% - Accent5 3 3 25" xfId="16569"/>
    <cellStyle name="20% - Accent5 3 3 25 2" xfId="39344"/>
    <cellStyle name="20% - Accent5 3 3 26" xfId="17225"/>
    <cellStyle name="20% - Accent5 3 3 26 2" xfId="40000"/>
    <cellStyle name="20% - Accent5 3 3 27" xfId="17881"/>
    <cellStyle name="20% - Accent5 3 3 27 2" xfId="40656"/>
    <cellStyle name="20% - Accent5 3 3 28" xfId="18537"/>
    <cellStyle name="20% - Accent5 3 3 28 2" xfId="41312"/>
    <cellStyle name="20% - Accent5 3 3 29" xfId="19193"/>
    <cellStyle name="20% - Accent5 3 3 29 2" xfId="41968"/>
    <cellStyle name="20% - Accent5 3 3 3" xfId="1153"/>
    <cellStyle name="20% - Accent5 3 3 3 2" xfId="2793"/>
    <cellStyle name="20% - Accent5 3 3 3 2 2" xfId="25568"/>
    <cellStyle name="20% - Accent5 3 3 3 3" xfId="23928"/>
    <cellStyle name="20% - Accent5 3 3 30" xfId="19849"/>
    <cellStyle name="20% - Accent5 3 3 30 2" xfId="42624"/>
    <cellStyle name="20% - Accent5 3 3 31" xfId="20505"/>
    <cellStyle name="20% - Accent5 3 3 31 2" xfId="43280"/>
    <cellStyle name="20% - Accent5 3 3 32" xfId="21161"/>
    <cellStyle name="20% - Accent5 3 3 32 2" xfId="43936"/>
    <cellStyle name="20% - Accent5 3 3 33" xfId="21817"/>
    <cellStyle name="20% - Accent5 3 3 33 2" xfId="44592"/>
    <cellStyle name="20% - Accent5 3 3 34" xfId="22473"/>
    <cellStyle name="20% - Accent5 3 3 34 2" xfId="45248"/>
    <cellStyle name="20% - Accent5 3 3 35" xfId="23272"/>
    <cellStyle name="20% - Accent5 3 3 4" xfId="1809"/>
    <cellStyle name="20% - Accent5 3 3 4 2" xfId="3449"/>
    <cellStyle name="20% - Accent5 3 3 4 2 2" xfId="26224"/>
    <cellStyle name="20% - Accent5 3 3 4 3" xfId="24584"/>
    <cellStyle name="20% - Accent5 3 3 5" xfId="4105"/>
    <cellStyle name="20% - Accent5 3 3 5 2" xfId="26880"/>
    <cellStyle name="20% - Accent5 3 3 6" xfId="4761"/>
    <cellStyle name="20% - Accent5 3 3 6 2" xfId="27536"/>
    <cellStyle name="20% - Accent5 3 3 7" xfId="5417"/>
    <cellStyle name="20% - Accent5 3 3 7 2" xfId="28192"/>
    <cellStyle name="20% - Accent5 3 3 8" xfId="6073"/>
    <cellStyle name="20% - Accent5 3 3 8 2" xfId="28848"/>
    <cellStyle name="20% - Accent5 3 3 9" xfId="2465"/>
    <cellStyle name="20% - Accent5 3 3 9 2" xfId="25240"/>
    <cellStyle name="20% - Accent5 3 30" xfId="18352"/>
    <cellStyle name="20% - Accent5 3 30 2" xfId="41127"/>
    <cellStyle name="20% - Accent5 3 31" xfId="19008"/>
    <cellStyle name="20% - Accent5 3 31 2" xfId="41783"/>
    <cellStyle name="20% - Accent5 3 32" xfId="19664"/>
    <cellStyle name="20% - Accent5 3 32 2" xfId="42439"/>
    <cellStyle name="20% - Accent5 3 33" xfId="20320"/>
    <cellStyle name="20% - Accent5 3 33 2" xfId="43095"/>
    <cellStyle name="20% - Accent5 3 34" xfId="20976"/>
    <cellStyle name="20% - Accent5 3 34 2" xfId="43751"/>
    <cellStyle name="20% - Accent5 3 35" xfId="21632"/>
    <cellStyle name="20% - Accent5 3 35 2" xfId="44407"/>
    <cellStyle name="20% - Accent5 3 36" xfId="22288"/>
    <cellStyle name="20% - Accent5 3 36 2" xfId="45063"/>
    <cellStyle name="20% - Accent5 3 37" xfId="227"/>
    <cellStyle name="20% - Accent5 3 38" xfId="22944"/>
    <cellStyle name="20% - Accent5 3 4" xfId="640"/>
    <cellStyle name="20% - Accent5 3 4 10" xfId="8184"/>
    <cellStyle name="20% - Accent5 3 4 10 2" xfId="30959"/>
    <cellStyle name="20% - Accent5 3 4 11" xfId="8840"/>
    <cellStyle name="20% - Accent5 3 4 11 2" xfId="31615"/>
    <cellStyle name="20% - Accent5 3 4 12" xfId="9496"/>
    <cellStyle name="20% - Accent5 3 4 12 2" xfId="32271"/>
    <cellStyle name="20% - Accent5 3 4 13" xfId="10152"/>
    <cellStyle name="20% - Accent5 3 4 13 2" xfId="32927"/>
    <cellStyle name="20% - Accent5 3 4 14" xfId="10808"/>
    <cellStyle name="20% - Accent5 3 4 14 2" xfId="33583"/>
    <cellStyle name="20% - Accent5 3 4 15" xfId="11464"/>
    <cellStyle name="20% - Accent5 3 4 15 2" xfId="34239"/>
    <cellStyle name="20% - Accent5 3 4 16" xfId="12120"/>
    <cellStyle name="20% - Accent5 3 4 16 2" xfId="34895"/>
    <cellStyle name="20% - Accent5 3 4 17" xfId="12776"/>
    <cellStyle name="20% - Accent5 3 4 17 2" xfId="35551"/>
    <cellStyle name="20% - Accent5 3 4 18" xfId="13432"/>
    <cellStyle name="20% - Accent5 3 4 18 2" xfId="36207"/>
    <cellStyle name="20% - Accent5 3 4 19" xfId="14088"/>
    <cellStyle name="20% - Accent5 3 4 19 2" xfId="36863"/>
    <cellStyle name="20% - Accent5 3 4 2" xfId="1296"/>
    <cellStyle name="20% - Accent5 3 4 2 2" xfId="3592"/>
    <cellStyle name="20% - Accent5 3 4 2 2 2" xfId="26367"/>
    <cellStyle name="20% - Accent5 3 4 2 3" xfId="24071"/>
    <cellStyle name="20% - Accent5 3 4 20" xfId="14744"/>
    <cellStyle name="20% - Accent5 3 4 20 2" xfId="37519"/>
    <cellStyle name="20% - Accent5 3 4 21" xfId="15400"/>
    <cellStyle name="20% - Accent5 3 4 21 2" xfId="38175"/>
    <cellStyle name="20% - Accent5 3 4 22" xfId="16056"/>
    <cellStyle name="20% - Accent5 3 4 22 2" xfId="38831"/>
    <cellStyle name="20% - Accent5 3 4 23" xfId="16712"/>
    <cellStyle name="20% - Accent5 3 4 23 2" xfId="39487"/>
    <cellStyle name="20% - Accent5 3 4 24" xfId="17368"/>
    <cellStyle name="20% - Accent5 3 4 24 2" xfId="40143"/>
    <cellStyle name="20% - Accent5 3 4 25" xfId="18024"/>
    <cellStyle name="20% - Accent5 3 4 25 2" xfId="40799"/>
    <cellStyle name="20% - Accent5 3 4 26" xfId="18680"/>
    <cellStyle name="20% - Accent5 3 4 26 2" xfId="41455"/>
    <cellStyle name="20% - Accent5 3 4 27" xfId="19336"/>
    <cellStyle name="20% - Accent5 3 4 27 2" xfId="42111"/>
    <cellStyle name="20% - Accent5 3 4 28" xfId="19992"/>
    <cellStyle name="20% - Accent5 3 4 28 2" xfId="42767"/>
    <cellStyle name="20% - Accent5 3 4 29" xfId="20648"/>
    <cellStyle name="20% - Accent5 3 4 29 2" xfId="43423"/>
    <cellStyle name="20% - Accent5 3 4 3" xfId="1952"/>
    <cellStyle name="20% - Accent5 3 4 3 2" xfId="4248"/>
    <cellStyle name="20% - Accent5 3 4 3 2 2" xfId="27023"/>
    <cellStyle name="20% - Accent5 3 4 3 3" xfId="24727"/>
    <cellStyle name="20% - Accent5 3 4 30" xfId="21304"/>
    <cellStyle name="20% - Accent5 3 4 30 2" xfId="44079"/>
    <cellStyle name="20% - Accent5 3 4 31" xfId="21960"/>
    <cellStyle name="20% - Accent5 3 4 31 2" xfId="44735"/>
    <cellStyle name="20% - Accent5 3 4 32" xfId="22616"/>
    <cellStyle name="20% - Accent5 3 4 32 2" xfId="45391"/>
    <cellStyle name="20% - Accent5 3 4 33" xfId="23415"/>
    <cellStyle name="20% - Accent5 3 4 4" xfId="4904"/>
    <cellStyle name="20% - Accent5 3 4 4 2" xfId="27679"/>
    <cellStyle name="20% - Accent5 3 4 5" xfId="5560"/>
    <cellStyle name="20% - Accent5 3 4 5 2" xfId="28335"/>
    <cellStyle name="20% - Accent5 3 4 6" xfId="6216"/>
    <cellStyle name="20% - Accent5 3 4 6 2" xfId="28991"/>
    <cellStyle name="20% - Accent5 3 4 7" xfId="2936"/>
    <cellStyle name="20% - Accent5 3 4 7 2" xfId="25711"/>
    <cellStyle name="20% - Accent5 3 4 8" xfId="6872"/>
    <cellStyle name="20% - Accent5 3 4 8 2" xfId="29647"/>
    <cellStyle name="20% - Accent5 3 4 9" xfId="7528"/>
    <cellStyle name="20% - Accent5 3 4 9 2" xfId="30303"/>
    <cellStyle name="20% - Accent5 3 5" xfId="313"/>
    <cellStyle name="20% - Accent5 3 5 2" xfId="2608"/>
    <cellStyle name="20% - Accent5 3 5 2 2" xfId="25383"/>
    <cellStyle name="20% - Accent5 3 5 3" xfId="23087"/>
    <cellStyle name="20% - Accent5 3 6" xfId="968"/>
    <cellStyle name="20% - Accent5 3 6 2" xfId="3264"/>
    <cellStyle name="20% - Accent5 3 6 2 2" xfId="26039"/>
    <cellStyle name="20% - Accent5 3 6 3" xfId="23743"/>
    <cellStyle name="20% - Accent5 3 7" xfId="1624"/>
    <cellStyle name="20% - Accent5 3 7 2" xfId="3920"/>
    <cellStyle name="20% - Accent5 3 7 2 2" xfId="26695"/>
    <cellStyle name="20% - Accent5 3 7 3" xfId="24399"/>
    <cellStyle name="20% - Accent5 3 8" xfId="4576"/>
    <cellStyle name="20% - Accent5 3 8 2" xfId="27351"/>
    <cellStyle name="20% - Accent5 3 9" xfId="5232"/>
    <cellStyle name="20% - Accent5 3 9 2" xfId="28007"/>
    <cellStyle name="20% - Accent5 30" xfId="13729"/>
    <cellStyle name="20% - Accent5 30 2" xfId="36504"/>
    <cellStyle name="20% - Accent5 31" xfId="14385"/>
    <cellStyle name="20% - Accent5 31 2" xfId="37160"/>
    <cellStyle name="20% - Accent5 32" xfId="15041"/>
    <cellStyle name="20% - Accent5 32 2" xfId="37816"/>
    <cellStyle name="20% - Accent5 33" xfId="15697"/>
    <cellStyle name="20% - Accent5 33 2" xfId="38472"/>
    <cellStyle name="20% - Accent5 34" xfId="16353"/>
    <cellStyle name="20% - Accent5 34 2" xfId="39128"/>
    <cellStyle name="20% - Accent5 35" xfId="17009"/>
    <cellStyle name="20% - Accent5 35 2" xfId="39784"/>
    <cellStyle name="20% - Accent5 36" xfId="17665"/>
    <cellStyle name="20% - Accent5 36 2" xfId="40440"/>
    <cellStyle name="20% - Accent5 37" xfId="18321"/>
    <cellStyle name="20% - Accent5 37 2" xfId="41096"/>
    <cellStyle name="20% - Accent5 38" xfId="18977"/>
    <cellStyle name="20% - Accent5 38 2" xfId="41752"/>
    <cellStyle name="20% - Accent5 39" xfId="19633"/>
    <cellStyle name="20% - Accent5 39 2" xfId="42408"/>
    <cellStyle name="20% - Accent5 4" xfId="96"/>
    <cellStyle name="20% - Accent5 4 10" xfId="5902"/>
    <cellStyle name="20% - Accent5 4 10 2" xfId="28677"/>
    <cellStyle name="20% - Accent5 4 11" xfId="2294"/>
    <cellStyle name="20% - Accent5 4 11 2" xfId="25069"/>
    <cellStyle name="20% - Accent5 4 12" xfId="6558"/>
    <cellStyle name="20% - Accent5 4 12 2" xfId="29333"/>
    <cellStyle name="20% - Accent5 4 13" xfId="7214"/>
    <cellStyle name="20% - Accent5 4 13 2" xfId="29989"/>
    <cellStyle name="20% - Accent5 4 14" xfId="7870"/>
    <cellStyle name="20% - Accent5 4 14 2" xfId="30645"/>
    <cellStyle name="20% - Accent5 4 15" xfId="8526"/>
    <cellStyle name="20% - Accent5 4 15 2" xfId="31301"/>
    <cellStyle name="20% - Accent5 4 16" xfId="9182"/>
    <cellStyle name="20% - Accent5 4 16 2" xfId="31957"/>
    <cellStyle name="20% - Accent5 4 17" xfId="9838"/>
    <cellStyle name="20% - Accent5 4 17 2" xfId="32613"/>
    <cellStyle name="20% - Accent5 4 18" xfId="10494"/>
    <cellStyle name="20% - Accent5 4 18 2" xfId="33269"/>
    <cellStyle name="20% - Accent5 4 19" xfId="11150"/>
    <cellStyle name="20% - Accent5 4 19 2" xfId="33925"/>
    <cellStyle name="20% - Accent5 4 2" xfId="167"/>
    <cellStyle name="20% - Accent5 4 2 10" xfId="2365"/>
    <cellStyle name="20% - Accent5 4 2 10 2" xfId="25140"/>
    <cellStyle name="20% - Accent5 4 2 11" xfId="6629"/>
    <cellStyle name="20% - Accent5 4 2 11 2" xfId="29404"/>
    <cellStyle name="20% - Accent5 4 2 12" xfId="7285"/>
    <cellStyle name="20% - Accent5 4 2 12 2" xfId="30060"/>
    <cellStyle name="20% - Accent5 4 2 13" xfId="7941"/>
    <cellStyle name="20% - Accent5 4 2 13 2" xfId="30716"/>
    <cellStyle name="20% - Accent5 4 2 14" xfId="8597"/>
    <cellStyle name="20% - Accent5 4 2 14 2" xfId="31372"/>
    <cellStyle name="20% - Accent5 4 2 15" xfId="9253"/>
    <cellStyle name="20% - Accent5 4 2 15 2" xfId="32028"/>
    <cellStyle name="20% - Accent5 4 2 16" xfId="9909"/>
    <cellStyle name="20% - Accent5 4 2 16 2" xfId="32684"/>
    <cellStyle name="20% - Accent5 4 2 17" xfId="10565"/>
    <cellStyle name="20% - Accent5 4 2 17 2" xfId="33340"/>
    <cellStyle name="20% - Accent5 4 2 18" xfId="11221"/>
    <cellStyle name="20% - Accent5 4 2 18 2" xfId="33996"/>
    <cellStyle name="20% - Accent5 4 2 19" xfId="11877"/>
    <cellStyle name="20% - Accent5 4 2 19 2" xfId="34652"/>
    <cellStyle name="20% - Accent5 4 2 2" xfId="581"/>
    <cellStyle name="20% - Accent5 4 2 2 10" xfId="6814"/>
    <cellStyle name="20% - Accent5 4 2 2 10 2" xfId="29589"/>
    <cellStyle name="20% - Accent5 4 2 2 11" xfId="7470"/>
    <cellStyle name="20% - Accent5 4 2 2 11 2" xfId="30245"/>
    <cellStyle name="20% - Accent5 4 2 2 12" xfId="8126"/>
    <cellStyle name="20% - Accent5 4 2 2 12 2" xfId="30901"/>
    <cellStyle name="20% - Accent5 4 2 2 13" xfId="8782"/>
    <cellStyle name="20% - Accent5 4 2 2 13 2" xfId="31557"/>
    <cellStyle name="20% - Accent5 4 2 2 14" xfId="9438"/>
    <cellStyle name="20% - Accent5 4 2 2 14 2" xfId="32213"/>
    <cellStyle name="20% - Accent5 4 2 2 15" xfId="10094"/>
    <cellStyle name="20% - Accent5 4 2 2 15 2" xfId="32869"/>
    <cellStyle name="20% - Accent5 4 2 2 16" xfId="10750"/>
    <cellStyle name="20% - Accent5 4 2 2 16 2" xfId="33525"/>
    <cellStyle name="20% - Accent5 4 2 2 17" xfId="11406"/>
    <cellStyle name="20% - Accent5 4 2 2 17 2" xfId="34181"/>
    <cellStyle name="20% - Accent5 4 2 2 18" xfId="12062"/>
    <cellStyle name="20% - Accent5 4 2 2 18 2" xfId="34837"/>
    <cellStyle name="20% - Accent5 4 2 2 19" xfId="12718"/>
    <cellStyle name="20% - Accent5 4 2 2 19 2" xfId="35493"/>
    <cellStyle name="20% - Accent5 4 2 2 2" xfId="910"/>
    <cellStyle name="20% - Accent5 4 2 2 2 10" xfId="8454"/>
    <cellStyle name="20% - Accent5 4 2 2 2 10 2" xfId="31229"/>
    <cellStyle name="20% - Accent5 4 2 2 2 11" xfId="9110"/>
    <cellStyle name="20% - Accent5 4 2 2 2 11 2" xfId="31885"/>
    <cellStyle name="20% - Accent5 4 2 2 2 12" xfId="9766"/>
    <cellStyle name="20% - Accent5 4 2 2 2 12 2" xfId="32541"/>
    <cellStyle name="20% - Accent5 4 2 2 2 13" xfId="10422"/>
    <cellStyle name="20% - Accent5 4 2 2 2 13 2" xfId="33197"/>
    <cellStyle name="20% - Accent5 4 2 2 2 14" xfId="11078"/>
    <cellStyle name="20% - Accent5 4 2 2 2 14 2" xfId="33853"/>
    <cellStyle name="20% - Accent5 4 2 2 2 15" xfId="11734"/>
    <cellStyle name="20% - Accent5 4 2 2 2 15 2" xfId="34509"/>
    <cellStyle name="20% - Accent5 4 2 2 2 16" xfId="12390"/>
    <cellStyle name="20% - Accent5 4 2 2 2 16 2" xfId="35165"/>
    <cellStyle name="20% - Accent5 4 2 2 2 17" xfId="13046"/>
    <cellStyle name="20% - Accent5 4 2 2 2 17 2" xfId="35821"/>
    <cellStyle name="20% - Accent5 4 2 2 2 18" xfId="13702"/>
    <cellStyle name="20% - Accent5 4 2 2 2 18 2" xfId="36477"/>
    <cellStyle name="20% - Accent5 4 2 2 2 19" xfId="14358"/>
    <cellStyle name="20% - Accent5 4 2 2 2 19 2" xfId="37133"/>
    <cellStyle name="20% - Accent5 4 2 2 2 2" xfId="1566"/>
    <cellStyle name="20% - Accent5 4 2 2 2 2 2" xfId="3862"/>
    <cellStyle name="20% - Accent5 4 2 2 2 2 2 2" xfId="26637"/>
    <cellStyle name="20% - Accent5 4 2 2 2 2 3" xfId="24341"/>
    <cellStyle name="20% - Accent5 4 2 2 2 20" xfId="15014"/>
    <cellStyle name="20% - Accent5 4 2 2 2 20 2" xfId="37789"/>
    <cellStyle name="20% - Accent5 4 2 2 2 21" xfId="15670"/>
    <cellStyle name="20% - Accent5 4 2 2 2 21 2" xfId="38445"/>
    <cellStyle name="20% - Accent5 4 2 2 2 22" xfId="16326"/>
    <cellStyle name="20% - Accent5 4 2 2 2 22 2" xfId="39101"/>
    <cellStyle name="20% - Accent5 4 2 2 2 23" xfId="16982"/>
    <cellStyle name="20% - Accent5 4 2 2 2 23 2" xfId="39757"/>
    <cellStyle name="20% - Accent5 4 2 2 2 24" xfId="17638"/>
    <cellStyle name="20% - Accent5 4 2 2 2 24 2" xfId="40413"/>
    <cellStyle name="20% - Accent5 4 2 2 2 25" xfId="18294"/>
    <cellStyle name="20% - Accent5 4 2 2 2 25 2" xfId="41069"/>
    <cellStyle name="20% - Accent5 4 2 2 2 26" xfId="18950"/>
    <cellStyle name="20% - Accent5 4 2 2 2 26 2" xfId="41725"/>
    <cellStyle name="20% - Accent5 4 2 2 2 27" xfId="19606"/>
    <cellStyle name="20% - Accent5 4 2 2 2 27 2" xfId="42381"/>
    <cellStyle name="20% - Accent5 4 2 2 2 28" xfId="20262"/>
    <cellStyle name="20% - Accent5 4 2 2 2 28 2" xfId="43037"/>
    <cellStyle name="20% - Accent5 4 2 2 2 29" xfId="20918"/>
    <cellStyle name="20% - Accent5 4 2 2 2 29 2" xfId="43693"/>
    <cellStyle name="20% - Accent5 4 2 2 2 3" xfId="2222"/>
    <cellStyle name="20% - Accent5 4 2 2 2 3 2" xfId="4518"/>
    <cellStyle name="20% - Accent5 4 2 2 2 3 2 2" xfId="27293"/>
    <cellStyle name="20% - Accent5 4 2 2 2 3 3" xfId="24997"/>
    <cellStyle name="20% - Accent5 4 2 2 2 30" xfId="21574"/>
    <cellStyle name="20% - Accent5 4 2 2 2 30 2" xfId="44349"/>
    <cellStyle name="20% - Accent5 4 2 2 2 31" xfId="22230"/>
    <cellStyle name="20% - Accent5 4 2 2 2 31 2" xfId="45005"/>
    <cellStyle name="20% - Accent5 4 2 2 2 32" xfId="22886"/>
    <cellStyle name="20% - Accent5 4 2 2 2 32 2" xfId="45661"/>
    <cellStyle name="20% - Accent5 4 2 2 2 33" xfId="23685"/>
    <cellStyle name="20% - Accent5 4 2 2 2 4" xfId="5174"/>
    <cellStyle name="20% - Accent5 4 2 2 2 4 2" xfId="27949"/>
    <cellStyle name="20% - Accent5 4 2 2 2 5" xfId="5830"/>
    <cellStyle name="20% - Accent5 4 2 2 2 5 2" xfId="28605"/>
    <cellStyle name="20% - Accent5 4 2 2 2 6" xfId="6486"/>
    <cellStyle name="20% - Accent5 4 2 2 2 6 2" xfId="29261"/>
    <cellStyle name="20% - Accent5 4 2 2 2 7" xfId="3206"/>
    <cellStyle name="20% - Accent5 4 2 2 2 7 2" xfId="25981"/>
    <cellStyle name="20% - Accent5 4 2 2 2 8" xfId="7142"/>
    <cellStyle name="20% - Accent5 4 2 2 2 8 2" xfId="29917"/>
    <cellStyle name="20% - Accent5 4 2 2 2 9" xfId="7798"/>
    <cellStyle name="20% - Accent5 4 2 2 2 9 2" xfId="30573"/>
    <cellStyle name="20% - Accent5 4 2 2 20" xfId="13374"/>
    <cellStyle name="20% - Accent5 4 2 2 20 2" xfId="36149"/>
    <cellStyle name="20% - Accent5 4 2 2 21" xfId="14030"/>
    <cellStyle name="20% - Accent5 4 2 2 21 2" xfId="36805"/>
    <cellStyle name="20% - Accent5 4 2 2 22" xfId="14686"/>
    <cellStyle name="20% - Accent5 4 2 2 22 2" xfId="37461"/>
    <cellStyle name="20% - Accent5 4 2 2 23" xfId="15342"/>
    <cellStyle name="20% - Accent5 4 2 2 23 2" xfId="38117"/>
    <cellStyle name="20% - Accent5 4 2 2 24" xfId="15998"/>
    <cellStyle name="20% - Accent5 4 2 2 24 2" xfId="38773"/>
    <cellStyle name="20% - Accent5 4 2 2 25" xfId="16654"/>
    <cellStyle name="20% - Accent5 4 2 2 25 2" xfId="39429"/>
    <cellStyle name="20% - Accent5 4 2 2 26" xfId="17310"/>
    <cellStyle name="20% - Accent5 4 2 2 26 2" xfId="40085"/>
    <cellStyle name="20% - Accent5 4 2 2 27" xfId="17966"/>
    <cellStyle name="20% - Accent5 4 2 2 27 2" xfId="40741"/>
    <cellStyle name="20% - Accent5 4 2 2 28" xfId="18622"/>
    <cellStyle name="20% - Accent5 4 2 2 28 2" xfId="41397"/>
    <cellStyle name="20% - Accent5 4 2 2 29" xfId="19278"/>
    <cellStyle name="20% - Accent5 4 2 2 29 2" xfId="42053"/>
    <cellStyle name="20% - Accent5 4 2 2 3" xfId="1238"/>
    <cellStyle name="20% - Accent5 4 2 2 3 2" xfId="2878"/>
    <cellStyle name="20% - Accent5 4 2 2 3 2 2" xfId="25653"/>
    <cellStyle name="20% - Accent5 4 2 2 3 3" xfId="24013"/>
    <cellStyle name="20% - Accent5 4 2 2 30" xfId="19934"/>
    <cellStyle name="20% - Accent5 4 2 2 30 2" xfId="42709"/>
    <cellStyle name="20% - Accent5 4 2 2 31" xfId="20590"/>
    <cellStyle name="20% - Accent5 4 2 2 31 2" xfId="43365"/>
    <cellStyle name="20% - Accent5 4 2 2 32" xfId="21246"/>
    <cellStyle name="20% - Accent5 4 2 2 32 2" xfId="44021"/>
    <cellStyle name="20% - Accent5 4 2 2 33" xfId="21902"/>
    <cellStyle name="20% - Accent5 4 2 2 33 2" xfId="44677"/>
    <cellStyle name="20% - Accent5 4 2 2 34" xfId="22558"/>
    <cellStyle name="20% - Accent5 4 2 2 34 2" xfId="45333"/>
    <cellStyle name="20% - Accent5 4 2 2 35" xfId="23357"/>
    <cellStyle name="20% - Accent5 4 2 2 4" xfId="1894"/>
    <cellStyle name="20% - Accent5 4 2 2 4 2" xfId="3534"/>
    <cellStyle name="20% - Accent5 4 2 2 4 2 2" xfId="26309"/>
    <cellStyle name="20% - Accent5 4 2 2 4 3" xfId="24669"/>
    <cellStyle name="20% - Accent5 4 2 2 5" xfId="4190"/>
    <cellStyle name="20% - Accent5 4 2 2 5 2" xfId="26965"/>
    <cellStyle name="20% - Accent5 4 2 2 6" xfId="4846"/>
    <cellStyle name="20% - Accent5 4 2 2 6 2" xfId="27621"/>
    <cellStyle name="20% - Accent5 4 2 2 7" xfId="5502"/>
    <cellStyle name="20% - Accent5 4 2 2 7 2" xfId="28277"/>
    <cellStyle name="20% - Accent5 4 2 2 8" xfId="6158"/>
    <cellStyle name="20% - Accent5 4 2 2 8 2" xfId="28933"/>
    <cellStyle name="20% - Accent5 4 2 2 9" xfId="2550"/>
    <cellStyle name="20% - Accent5 4 2 2 9 2" xfId="25325"/>
    <cellStyle name="20% - Accent5 4 2 20" xfId="12533"/>
    <cellStyle name="20% - Accent5 4 2 20 2" xfId="35308"/>
    <cellStyle name="20% - Accent5 4 2 21" xfId="13189"/>
    <cellStyle name="20% - Accent5 4 2 21 2" xfId="35964"/>
    <cellStyle name="20% - Accent5 4 2 22" xfId="13845"/>
    <cellStyle name="20% - Accent5 4 2 22 2" xfId="36620"/>
    <cellStyle name="20% - Accent5 4 2 23" xfId="14501"/>
    <cellStyle name="20% - Accent5 4 2 23 2" xfId="37276"/>
    <cellStyle name="20% - Accent5 4 2 24" xfId="15157"/>
    <cellStyle name="20% - Accent5 4 2 24 2" xfId="37932"/>
    <cellStyle name="20% - Accent5 4 2 25" xfId="15813"/>
    <cellStyle name="20% - Accent5 4 2 25 2" xfId="38588"/>
    <cellStyle name="20% - Accent5 4 2 26" xfId="16469"/>
    <cellStyle name="20% - Accent5 4 2 26 2" xfId="39244"/>
    <cellStyle name="20% - Accent5 4 2 27" xfId="17125"/>
    <cellStyle name="20% - Accent5 4 2 27 2" xfId="39900"/>
    <cellStyle name="20% - Accent5 4 2 28" xfId="17781"/>
    <cellStyle name="20% - Accent5 4 2 28 2" xfId="40556"/>
    <cellStyle name="20% - Accent5 4 2 29" xfId="18437"/>
    <cellStyle name="20% - Accent5 4 2 29 2" xfId="41212"/>
    <cellStyle name="20% - Accent5 4 2 3" xfId="725"/>
    <cellStyle name="20% - Accent5 4 2 3 10" xfId="8269"/>
    <cellStyle name="20% - Accent5 4 2 3 10 2" xfId="31044"/>
    <cellStyle name="20% - Accent5 4 2 3 11" xfId="8925"/>
    <cellStyle name="20% - Accent5 4 2 3 11 2" xfId="31700"/>
    <cellStyle name="20% - Accent5 4 2 3 12" xfId="9581"/>
    <cellStyle name="20% - Accent5 4 2 3 12 2" xfId="32356"/>
    <cellStyle name="20% - Accent5 4 2 3 13" xfId="10237"/>
    <cellStyle name="20% - Accent5 4 2 3 13 2" xfId="33012"/>
    <cellStyle name="20% - Accent5 4 2 3 14" xfId="10893"/>
    <cellStyle name="20% - Accent5 4 2 3 14 2" xfId="33668"/>
    <cellStyle name="20% - Accent5 4 2 3 15" xfId="11549"/>
    <cellStyle name="20% - Accent5 4 2 3 15 2" xfId="34324"/>
    <cellStyle name="20% - Accent5 4 2 3 16" xfId="12205"/>
    <cellStyle name="20% - Accent5 4 2 3 16 2" xfId="34980"/>
    <cellStyle name="20% - Accent5 4 2 3 17" xfId="12861"/>
    <cellStyle name="20% - Accent5 4 2 3 17 2" xfId="35636"/>
    <cellStyle name="20% - Accent5 4 2 3 18" xfId="13517"/>
    <cellStyle name="20% - Accent5 4 2 3 18 2" xfId="36292"/>
    <cellStyle name="20% - Accent5 4 2 3 19" xfId="14173"/>
    <cellStyle name="20% - Accent5 4 2 3 19 2" xfId="36948"/>
    <cellStyle name="20% - Accent5 4 2 3 2" xfId="1381"/>
    <cellStyle name="20% - Accent5 4 2 3 2 2" xfId="3677"/>
    <cellStyle name="20% - Accent5 4 2 3 2 2 2" xfId="26452"/>
    <cellStyle name="20% - Accent5 4 2 3 2 3" xfId="24156"/>
    <cellStyle name="20% - Accent5 4 2 3 20" xfId="14829"/>
    <cellStyle name="20% - Accent5 4 2 3 20 2" xfId="37604"/>
    <cellStyle name="20% - Accent5 4 2 3 21" xfId="15485"/>
    <cellStyle name="20% - Accent5 4 2 3 21 2" xfId="38260"/>
    <cellStyle name="20% - Accent5 4 2 3 22" xfId="16141"/>
    <cellStyle name="20% - Accent5 4 2 3 22 2" xfId="38916"/>
    <cellStyle name="20% - Accent5 4 2 3 23" xfId="16797"/>
    <cellStyle name="20% - Accent5 4 2 3 23 2" xfId="39572"/>
    <cellStyle name="20% - Accent5 4 2 3 24" xfId="17453"/>
    <cellStyle name="20% - Accent5 4 2 3 24 2" xfId="40228"/>
    <cellStyle name="20% - Accent5 4 2 3 25" xfId="18109"/>
    <cellStyle name="20% - Accent5 4 2 3 25 2" xfId="40884"/>
    <cellStyle name="20% - Accent5 4 2 3 26" xfId="18765"/>
    <cellStyle name="20% - Accent5 4 2 3 26 2" xfId="41540"/>
    <cellStyle name="20% - Accent5 4 2 3 27" xfId="19421"/>
    <cellStyle name="20% - Accent5 4 2 3 27 2" xfId="42196"/>
    <cellStyle name="20% - Accent5 4 2 3 28" xfId="20077"/>
    <cellStyle name="20% - Accent5 4 2 3 28 2" xfId="42852"/>
    <cellStyle name="20% - Accent5 4 2 3 29" xfId="20733"/>
    <cellStyle name="20% - Accent5 4 2 3 29 2" xfId="43508"/>
    <cellStyle name="20% - Accent5 4 2 3 3" xfId="2037"/>
    <cellStyle name="20% - Accent5 4 2 3 3 2" xfId="4333"/>
    <cellStyle name="20% - Accent5 4 2 3 3 2 2" xfId="27108"/>
    <cellStyle name="20% - Accent5 4 2 3 3 3" xfId="24812"/>
    <cellStyle name="20% - Accent5 4 2 3 30" xfId="21389"/>
    <cellStyle name="20% - Accent5 4 2 3 30 2" xfId="44164"/>
    <cellStyle name="20% - Accent5 4 2 3 31" xfId="22045"/>
    <cellStyle name="20% - Accent5 4 2 3 31 2" xfId="44820"/>
    <cellStyle name="20% - Accent5 4 2 3 32" xfId="22701"/>
    <cellStyle name="20% - Accent5 4 2 3 32 2" xfId="45476"/>
    <cellStyle name="20% - Accent5 4 2 3 33" xfId="23500"/>
    <cellStyle name="20% - Accent5 4 2 3 4" xfId="4989"/>
    <cellStyle name="20% - Accent5 4 2 3 4 2" xfId="27764"/>
    <cellStyle name="20% - Accent5 4 2 3 5" xfId="5645"/>
    <cellStyle name="20% - Accent5 4 2 3 5 2" xfId="28420"/>
    <cellStyle name="20% - Accent5 4 2 3 6" xfId="6301"/>
    <cellStyle name="20% - Accent5 4 2 3 6 2" xfId="29076"/>
    <cellStyle name="20% - Accent5 4 2 3 7" xfId="3021"/>
    <cellStyle name="20% - Accent5 4 2 3 7 2" xfId="25796"/>
    <cellStyle name="20% - Accent5 4 2 3 8" xfId="6957"/>
    <cellStyle name="20% - Accent5 4 2 3 8 2" xfId="29732"/>
    <cellStyle name="20% - Accent5 4 2 3 9" xfId="7613"/>
    <cellStyle name="20% - Accent5 4 2 3 9 2" xfId="30388"/>
    <cellStyle name="20% - Accent5 4 2 30" xfId="19093"/>
    <cellStyle name="20% - Accent5 4 2 30 2" xfId="41868"/>
    <cellStyle name="20% - Accent5 4 2 31" xfId="19749"/>
    <cellStyle name="20% - Accent5 4 2 31 2" xfId="42524"/>
    <cellStyle name="20% - Accent5 4 2 32" xfId="20405"/>
    <cellStyle name="20% - Accent5 4 2 32 2" xfId="43180"/>
    <cellStyle name="20% - Accent5 4 2 33" xfId="21061"/>
    <cellStyle name="20% - Accent5 4 2 33 2" xfId="43836"/>
    <cellStyle name="20% - Accent5 4 2 34" xfId="21717"/>
    <cellStyle name="20% - Accent5 4 2 34 2" xfId="44492"/>
    <cellStyle name="20% - Accent5 4 2 35" xfId="22373"/>
    <cellStyle name="20% - Accent5 4 2 35 2" xfId="45148"/>
    <cellStyle name="20% - Accent5 4 2 36" xfId="23029"/>
    <cellStyle name="20% - Accent5 4 2 4" xfId="398"/>
    <cellStyle name="20% - Accent5 4 2 4 2" xfId="2693"/>
    <cellStyle name="20% - Accent5 4 2 4 2 2" xfId="25468"/>
    <cellStyle name="20% - Accent5 4 2 4 3" xfId="23172"/>
    <cellStyle name="20% - Accent5 4 2 5" xfId="1053"/>
    <cellStyle name="20% - Accent5 4 2 5 2" xfId="3349"/>
    <cellStyle name="20% - Accent5 4 2 5 2 2" xfId="26124"/>
    <cellStyle name="20% - Accent5 4 2 5 3" xfId="23828"/>
    <cellStyle name="20% - Accent5 4 2 6" xfId="1709"/>
    <cellStyle name="20% - Accent5 4 2 6 2" xfId="4005"/>
    <cellStyle name="20% - Accent5 4 2 6 2 2" xfId="26780"/>
    <cellStyle name="20% - Accent5 4 2 6 3" xfId="24484"/>
    <cellStyle name="20% - Accent5 4 2 7" xfId="4661"/>
    <cellStyle name="20% - Accent5 4 2 7 2" xfId="27436"/>
    <cellStyle name="20% - Accent5 4 2 8" xfId="5317"/>
    <cellStyle name="20% - Accent5 4 2 8 2" xfId="28092"/>
    <cellStyle name="20% - Accent5 4 2 9" xfId="5973"/>
    <cellStyle name="20% - Accent5 4 2 9 2" xfId="28748"/>
    <cellStyle name="20% - Accent5 4 20" xfId="11806"/>
    <cellStyle name="20% - Accent5 4 20 2" xfId="34581"/>
    <cellStyle name="20% - Accent5 4 21" xfId="12462"/>
    <cellStyle name="20% - Accent5 4 21 2" xfId="35237"/>
    <cellStyle name="20% - Accent5 4 22" xfId="13118"/>
    <cellStyle name="20% - Accent5 4 22 2" xfId="35893"/>
    <cellStyle name="20% - Accent5 4 23" xfId="13774"/>
    <cellStyle name="20% - Accent5 4 23 2" xfId="36549"/>
    <cellStyle name="20% - Accent5 4 24" xfId="14430"/>
    <cellStyle name="20% - Accent5 4 24 2" xfId="37205"/>
    <cellStyle name="20% - Accent5 4 25" xfId="15086"/>
    <cellStyle name="20% - Accent5 4 25 2" xfId="37861"/>
    <cellStyle name="20% - Accent5 4 26" xfId="15742"/>
    <cellStyle name="20% - Accent5 4 26 2" xfId="38517"/>
    <cellStyle name="20% - Accent5 4 27" xfId="16398"/>
    <cellStyle name="20% - Accent5 4 27 2" xfId="39173"/>
    <cellStyle name="20% - Accent5 4 28" xfId="17054"/>
    <cellStyle name="20% - Accent5 4 28 2" xfId="39829"/>
    <cellStyle name="20% - Accent5 4 29" xfId="17710"/>
    <cellStyle name="20% - Accent5 4 29 2" xfId="40485"/>
    <cellStyle name="20% - Accent5 4 3" xfId="511"/>
    <cellStyle name="20% - Accent5 4 3 10" xfId="6743"/>
    <cellStyle name="20% - Accent5 4 3 10 2" xfId="29518"/>
    <cellStyle name="20% - Accent5 4 3 11" xfId="7399"/>
    <cellStyle name="20% - Accent5 4 3 11 2" xfId="30174"/>
    <cellStyle name="20% - Accent5 4 3 12" xfId="8055"/>
    <cellStyle name="20% - Accent5 4 3 12 2" xfId="30830"/>
    <cellStyle name="20% - Accent5 4 3 13" xfId="8711"/>
    <cellStyle name="20% - Accent5 4 3 13 2" xfId="31486"/>
    <cellStyle name="20% - Accent5 4 3 14" xfId="9367"/>
    <cellStyle name="20% - Accent5 4 3 14 2" xfId="32142"/>
    <cellStyle name="20% - Accent5 4 3 15" xfId="10023"/>
    <cellStyle name="20% - Accent5 4 3 15 2" xfId="32798"/>
    <cellStyle name="20% - Accent5 4 3 16" xfId="10679"/>
    <cellStyle name="20% - Accent5 4 3 16 2" xfId="33454"/>
    <cellStyle name="20% - Accent5 4 3 17" xfId="11335"/>
    <cellStyle name="20% - Accent5 4 3 17 2" xfId="34110"/>
    <cellStyle name="20% - Accent5 4 3 18" xfId="11991"/>
    <cellStyle name="20% - Accent5 4 3 18 2" xfId="34766"/>
    <cellStyle name="20% - Accent5 4 3 19" xfId="12647"/>
    <cellStyle name="20% - Accent5 4 3 19 2" xfId="35422"/>
    <cellStyle name="20% - Accent5 4 3 2" xfId="839"/>
    <cellStyle name="20% - Accent5 4 3 2 10" xfId="8383"/>
    <cellStyle name="20% - Accent5 4 3 2 10 2" xfId="31158"/>
    <cellStyle name="20% - Accent5 4 3 2 11" xfId="9039"/>
    <cellStyle name="20% - Accent5 4 3 2 11 2" xfId="31814"/>
    <cellStyle name="20% - Accent5 4 3 2 12" xfId="9695"/>
    <cellStyle name="20% - Accent5 4 3 2 12 2" xfId="32470"/>
    <cellStyle name="20% - Accent5 4 3 2 13" xfId="10351"/>
    <cellStyle name="20% - Accent5 4 3 2 13 2" xfId="33126"/>
    <cellStyle name="20% - Accent5 4 3 2 14" xfId="11007"/>
    <cellStyle name="20% - Accent5 4 3 2 14 2" xfId="33782"/>
    <cellStyle name="20% - Accent5 4 3 2 15" xfId="11663"/>
    <cellStyle name="20% - Accent5 4 3 2 15 2" xfId="34438"/>
    <cellStyle name="20% - Accent5 4 3 2 16" xfId="12319"/>
    <cellStyle name="20% - Accent5 4 3 2 16 2" xfId="35094"/>
    <cellStyle name="20% - Accent5 4 3 2 17" xfId="12975"/>
    <cellStyle name="20% - Accent5 4 3 2 17 2" xfId="35750"/>
    <cellStyle name="20% - Accent5 4 3 2 18" xfId="13631"/>
    <cellStyle name="20% - Accent5 4 3 2 18 2" xfId="36406"/>
    <cellStyle name="20% - Accent5 4 3 2 19" xfId="14287"/>
    <cellStyle name="20% - Accent5 4 3 2 19 2" xfId="37062"/>
    <cellStyle name="20% - Accent5 4 3 2 2" xfId="1495"/>
    <cellStyle name="20% - Accent5 4 3 2 2 2" xfId="3791"/>
    <cellStyle name="20% - Accent5 4 3 2 2 2 2" xfId="26566"/>
    <cellStyle name="20% - Accent5 4 3 2 2 3" xfId="24270"/>
    <cellStyle name="20% - Accent5 4 3 2 20" xfId="14943"/>
    <cellStyle name="20% - Accent5 4 3 2 20 2" xfId="37718"/>
    <cellStyle name="20% - Accent5 4 3 2 21" xfId="15599"/>
    <cellStyle name="20% - Accent5 4 3 2 21 2" xfId="38374"/>
    <cellStyle name="20% - Accent5 4 3 2 22" xfId="16255"/>
    <cellStyle name="20% - Accent5 4 3 2 22 2" xfId="39030"/>
    <cellStyle name="20% - Accent5 4 3 2 23" xfId="16911"/>
    <cellStyle name="20% - Accent5 4 3 2 23 2" xfId="39686"/>
    <cellStyle name="20% - Accent5 4 3 2 24" xfId="17567"/>
    <cellStyle name="20% - Accent5 4 3 2 24 2" xfId="40342"/>
    <cellStyle name="20% - Accent5 4 3 2 25" xfId="18223"/>
    <cellStyle name="20% - Accent5 4 3 2 25 2" xfId="40998"/>
    <cellStyle name="20% - Accent5 4 3 2 26" xfId="18879"/>
    <cellStyle name="20% - Accent5 4 3 2 26 2" xfId="41654"/>
    <cellStyle name="20% - Accent5 4 3 2 27" xfId="19535"/>
    <cellStyle name="20% - Accent5 4 3 2 27 2" xfId="42310"/>
    <cellStyle name="20% - Accent5 4 3 2 28" xfId="20191"/>
    <cellStyle name="20% - Accent5 4 3 2 28 2" xfId="42966"/>
    <cellStyle name="20% - Accent5 4 3 2 29" xfId="20847"/>
    <cellStyle name="20% - Accent5 4 3 2 29 2" xfId="43622"/>
    <cellStyle name="20% - Accent5 4 3 2 3" xfId="2151"/>
    <cellStyle name="20% - Accent5 4 3 2 3 2" xfId="4447"/>
    <cellStyle name="20% - Accent5 4 3 2 3 2 2" xfId="27222"/>
    <cellStyle name="20% - Accent5 4 3 2 3 3" xfId="24926"/>
    <cellStyle name="20% - Accent5 4 3 2 30" xfId="21503"/>
    <cellStyle name="20% - Accent5 4 3 2 30 2" xfId="44278"/>
    <cellStyle name="20% - Accent5 4 3 2 31" xfId="22159"/>
    <cellStyle name="20% - Accent5 4 3 2 31 2" xfId="44934"/>
    <cellStyle name="20% - Accent5 4 3 2 32" xfId="22815"/>
    <cellStyle name="20% - Accent5 4 3 2 32 2" xfId="45590"/>
    <cellStyle name="20% - Accent5 4 3 2 33" xfId="23614"/>
    <cellStyle name="20% - Accent5 4 3 2 4" xfId="5103"/>
    <cellStyle name="20% - Accent5 4 3 2 4 2" xfId="27878"/>
    <cellStyle name="20% - Accent5 4 3 2 5" xfId="5759"/>
    <cellStyle name="20% - Accent5 4 3 2 5 2" xfId="28534"/>
    <cellStyle name="20% - Accent5 4 3 2 6" xfId="6415"/>
    <cellStyle name="20% - Accent5 4 3 2 6 2" xfId="29190"/>
    <cellStyle name="20% - Accent5 4 3 2 7" xfId="3135"/>
    <cellStyle name="20% - Accent5 4 3 2 7 2" xfId="25910"/>
    <cellStyle name="20% - Accent5 4 3 2 8" xfId="7071"/>
    <cellStyle name="20% - Accent5 4 3 2 8 2" xfId="29846"/>
    <cellStyle name="20% - Accent5 4 3 2 9" xfId="7727"/>
    <cellStyle name="20% - Accent5 4 3 2 9 2" xfId="30502"/>
    <cellStyle name="20% - Accent5 4 3 20" xfId="13303"/>
    <cellStyle name="20% - Accent5 4 3 20 2" xfId="36078"/>
    <cellStyle name="20% - Accent5 4 3 21" xfId="13959"/>
    <cellStyle name="20% - Accent5 4 3 21 2" xfId="36734"/>
    <cellStyle name="20% - Accent5 4 3 22" xfId="14615"/>
    <cellStyle name="20% - Accent5 4 3 22 2" xfId="37390"/>
    <cellStyle name="20% - Accent5 4 3 23" xfId="15271"/>
    <cellStyle name="20% - Accent5 4 3 23 2" xfId="38046"/>
    <cellStyle name="20% - Accent5 4 3 24" xfId="15927"/>
    <cellStyle name="20% - Accent5 4 3 24 2" xfId="38702"/>
    <cellStyle name="20% - Accent5 4 3 25" xfId="16583"/>
    <cellStyle name="20% - Accent5 4 3 25 2" xfId="39358"/>
    <cellStyle name="20% - Accent5 4 3 26" xfId="17239"/>
    <cellStyle name="20% - Accent5 4 3 26 2" xfId="40014"/>
    <cellStyle name="20% - Accent5 4 3 27" xfId="17895"/>
    <cellStyle name="20% - Accent5 4 3 27 2" xfId="40670"/>
    <cellStyle name="20% - Accent5 4 3 28" xfId="18551"/>
    <cellStyle name="20% - Accent5 4 3 28 2" xfId="41326"/>
    <cellStyle name="20% - Accent5 4 3 29" xfId="19207"/>
    <cellStyle name="20% - Accent5 4 3 29 2" xfId="41982"/>
    <cellStyle name="20% - Accent5 4 3 3" xfId="1167"/>
    <cellStyle name="20% - Accent5 4 3 3 2" xfId="2807"/>
    <cellStyle name="20% - Accent5 4 3 3 2 2" xfId="25582"/>
    <cellStyle name="20% - Accent5 4 3 3 3" xfId="23942"/>
    <cellStyle name="20% - Accent5 4 3 30" xfId="19863"/>
    <cellStyle name="20% - Accent5 4 3 30 2" xfId="42638"/>
    <cellStyle name="20% - Accent5 4 3 31" xfId="20519"/>
    <cellStyle name="20% - Accent5 4 3 31 2" xfId="43294"/>
    <cellStyle name="20% - Accent5 4 3 32" xfId="21175"/>
    <cellStyle name="20% - Accent5 4 3 32 2" xfId="43950"/>
    <cellStyle name="20% - Accent5 4 3 33" xfId="21831"/>
    <cellStyle name="20% - Accent5 4 3 33 2" xfId="44606"/>
    <cellStyle name="20% - Accent5 4 3 34" xfId="22487"/>
    <cellStyle name="20% - Accent5 4 3 34 2" xfId="45262"/>
    <cellStyle name="20% - Accent5 4 3 35" xfId="23286"/>
    <cellStyle name="20% - Accent5 4 3 4" xfId="1823"/>
    <cellStyle name="20% - Accent5 4 3 4 2" xfId="3463"/>
    <cellStyle name="20% - Accent5 4 3 4 2 2" xfId="26238"/>
    <cellStyle name="20% - Accent5 4 3 4 3" xfId="24598"/>
    <cellStyle name="20% - Accent5 4 3 5" xfId="4119"/>
    <cellStyle name="20% - Accent5 4 3 5 2" xfId="26894"/>
    <cellStyle name="20% - Accent5 4 3 6" xfId="4775"/>
    <cellStyle name="20% - Accent5 4 3 6 2" xfId="27550"/>
    <cellStyle name="20% - Accent5 4 3 7" xfId="5431"/>
    <cellStyle name="20% - Accent5 4 3 7 2" xfId="28206"/>
    <cellStyle name="20% - Accent5 4 3 8" xfId="6087"/>
    <cellStyle name="20% - Accent5 4 3 8 2" xfId="28862"/>
    <cellStyle name="20% - Accent5 4 3 9" xfId="2479"/>
    <cellStyle name="20% - Accent5 4 3 9 2" xfId="25254"/>
    <cellStyle name="20% - Accent5 4 30" xfId="18366"/>
    <cellStyle name="20% - Accent5 4 30 2" xfId="41141"/>
    <cellStyle name="20% - Accent5 4 31" xfId="19022"/>
    <cellStyle name="20% - Accent5 4 31 2" xfId="41797"/>
    <cellStyle name="20% - Accent5 4 32" xfId="19678"/>
    <cellStyle name="20% - Accent5 4 32 2" xfId="42453"/>
    <cellStyle name="20% - Accent5 4 33" xfId="20334"/>
    <cellStyle name="20% - Accent5 4 33 2" xfId="43109"/>
    <cellStyle name="20% - Accent5 4 34" xfId="20990"/>
    <cellStyle name="20% - Accent5 4 34 2" xfId="43765"/>
    <cellStyle name="20% - Accent5 4 35" xfId="21646"/>
    <cellStyle name="20% - Accent5 4 35 2" xfId="44421"/>
    <cellStyle name="20% - Accent5 4 36" xfId="22302"/>
    <cellStyle name="20% - Accent5 4 36 2" xfId="45077"/>
    <cellStyle name="20% - Accent5 4 37" xfId="241"/>
    <cellStyle name="20% - Accent5 4 38" xfId="22958"/>
    <cellStyle name="20% - Accent5 4 4" xfId="654"/>
    <cellStyle name="20% - Accent5 4 4 10" xfId="8198"/>
    <cellStyle name="20% - Accent5 4 4 10 2" xfId="30973"/>
    <cellStyle name="20% - Accent5 4 4 11" xfId="8854"/>
    <cellStyle name="20% - Accent5 4 4 11 2" xfId="31629"/>
    <cellStyle name="20% - Accent5 4 4 12" xfId="9510"/>
    <cellStyle name="20% - Accent5 4 4 12 2" xfId="32285"/>
    <cellStyle name="20% - Accent5 4 4 13" xfId="10166"/>
    <cellStyle name="20% - Accent5 4 4 13 2" xfId="32941"/>
    <cellStyle name="20% - Accent5 4 4 14" xfId="10822"/>
    <cellStyle name="20% - Accent5 4 4 14 2" xfId="33597"/>
    <cellStyle name="20% - Accent5 4 4 15" xfId="11478"/>
    <cellStyle name="20% - Accent5 4 4 15 2" xfId="34253"/>
    <cellStyle name="20% - Accent5 4 4 16" xfId="12134"/>
    <cellStyle name="20% - Accent5 4 4 16 2" xfId="34909"/>
    <cellStyle name="20% - Accent5 4 4 17" xfId="12790"/>
    <cellStyle name="20% - Accent5 4 4 17 2" xfId="35565"/>
    <cellStyle name="20% - Accent5 4 4 18" xfId="13446"/>
    <cellStyle name="20% - Accent5 4 4 18 2" xfId="36221"/>
    <cellStyle name="20% - Accent5 4 4 19" xfId="14102"/>
    <cellStyle name="20% - Accent5 4 4 19 2" xfId="36877"/>
    <cellStyle name="20% - Accent5 4 4 2" xfId="1310"/>
    <cellStyle name="20% - Accent5 4 4 2 2" xfId="3606"/>
    <cellStyle name="20% - Accent5 4 4 2 2 2" xfId="26381"/>
    <cellStyle name="20% - Accent5 4 4 2 3" xfId="24085"/>
    <cellStyle name="20% - Accent5 4 4 20" xfId="14758"/>
    <cellStyle name="20% - Accent5 4 4 20 2" xfId="37533"/>
    <cellStyle name="20% - Accent5 4 4 21" xfId="15414"/>
    <cellStyle name="20% - Accent5 4 4 21 2" xfId="38189"/>
    <cellStyle name="20% - Accent5 4 4 22" xfId="16070"/>
    <cellStyle name="20% - Accent5 4 4 22 2" xfId="38845"/>
    <cellStyle name="20% - Accent5 4 4 23" xfId="16726"/>
    <cellStyle name="20% - Accent5 4 4 23 2" xfId="39501"/>
    <cellStyle name="20% - Accent5 4 4 24" xfId="17382"/>
    <cellStyle name="20% - Accent5 4 4 24 2" xfId="40157"/>
    <cellStyle name="20% - Accent5 4 4 25" xfId="18038"/>
    <cellStyle name="20% - Accent5 4 4 25 2" xfId="40813"/>
    <cellStyle name="20% - Accent5 4 4 26" xfId="18694"/>
    <cellStyle name="20% - Accent5 4 4 26 2" xfId="41469"/>
    <cellStyle name="20% - Accent5 4 4 27" xfId="19350"/>
    <cellStyle name="20% - Accent5 4 4 27 2" xfId="42125"/>
    <cellStyle name="20% - Accent5 4 4 28" xfId="20006"/>
    <cellStyle name="20% - Accent5 4 4 28 2" xfId="42781"/>
    <cellStyle name="20% - Accent5 4 4 29" xfId="20662"/>
    <cellStyle name="20% - Accent5 4 4 29 2" xfId="43437"/>
    <cellStyle name="20% - Accent5 4 4 3" xfId="1966"/>
    <cellStyle name="20% - Accent5 4 4 3 2" xfId="4262"/>
    <cellStyle name="20% - Accent5 4 4 3 2 2" xfId="27037"/>
    <cellStyle name="20% - Accent5 4 4 3 3" xfId="24741"/>
    <cellStyle name="20% - Accent5 4 4 30" xfId="21318"/>
    <cellStyle name="20% - Accent5 4 4 30 2" xfId="44093"/>
    <cellStyle name="20% - Accent5 4 4 31" xfId="21974"/>
    <cellStyle name="20% - Accent5 4 4 31 2" xfId="44749"/>
    <cellStyle name="20% - Accent5 4 4 32" xfId="22630"/>
    <cellStyle name="20% - Accent5 4 4 32 2" xfId="45405"/>
    <cellStyle name="20% - Accent5 4 4 33" xfId="23429"/>
    <cellStyle name="20% - Accent5 4 4 4" xfId="4918"/>
    <cellStyle name="20% - Accent5 4 4 4 2" xfId="27693"/>
    <cellStyle name="20% - Accent5 4 4 5" xfId="5574"/>
    <cellStyle name="20% - Accent5 4 4 5 2" xfId="28349"/>
    <cellStyle name="20% - Accent5 4 4 6" xfId="6230"/>
    <cellStyle name="20% - Accent5 4 4 6 2" xfId="29005"/>
    <cellStyle name="20% - Accent5 4 4 7" xfId="2950"/>
    <cellStyle name="20% - Accent5 4 4 7 2" xfId="25725"/>
    <cellStyle name="20% - Accent5 4 4 8" xfId="6886"/>
    <cellStyle name="20% - Accent5 4 4 8 2" xfId="29661"/>
    <cellStyle name="20% - Accent5 4 4 9" xfId="7542"/>
    <cellStyle name="20% - Accent5 4 4 9 2" xfId="30317"/>
    <cellStyle name="20% - Accent5 4 5" xfId="327"/>
    <cellStyle name="20% - Accent5 4 5 2" xfId="2622"/>
    <cellStyle name="20% - Accent5 4 5 2 2" xfId="25397"/>
    <cellStyle name="20% - Accent5 4 5 3" xfId="23101"/>
    <cellStyle name="20% - Accent5 4 6" xfId="982"/>
    <cellStyle name="20% - Accent5 4 6 2" xfId="3278"/>
    <cellStyle name="20% - Accent5 4 6 2 2" xfId="26053"/>
    <cellStyle name="20% - Accent5 4 6 3" xfId="23757"/>
    <cellStyle name="20% - Accent5 4 7" xfId="1638"/>
    <cellStyle name="20% - Accent5 4 7 2" xfId="3934"/>
    <cellStyle name="20% - Accent5 4 7 2 2" xfId="26709"/>
    <cellStyle name="20% - Accent5 4 7 3" xfId="24413"/>
    <cellStyle name="20% - Accent5 4 8" xfId="4590"/>
    <cellStyle name="20% - Accent5 4 8 2" xfId="27365"/>
    <cellStyle name="20% - Accent5 4 9" xfId="5246"/>
    <cellStyle name="20% - Accent5 4 9 2" xfId="28021"/>
    <cellStyle name="20% - Accent5 40" xfId="20289"/>
    <cellStyle name="20% - Accent5 40 2" xfId="43064"/>
    <cellStyle name="20% - Accent5 41" xfId="20945"/>
    <cellStyle name="20% - Accent5 41 2" xfId="43720"/>
    <cellStyle name="20% - Accent5 42" xfId="21601"/>
    <cellStyle name="20% - Accent5 42 2" xfId="44376"/>
    <cellStyle name="20% - Accent5 43" xfId="22257"/>
    <cellStyle name="20% - Accent5 43 2" xfId="45032"/>
    <cellStyle name="20% - Accent5 44" xfId="196"/>
    <cellStyle name="20% - Accent5 45" xfId="22913"/>
    <cellStyle name="20% - Accent5 5" xfId="110"/>
    <cellStyle name="20% - Accent5 5 10" xfId="5916"/>
    <cellStyle name="20% - Accent5 5 10 2" xfId="28691"/>
    <cellStyle name="20% - Accent5 5 11" xfId="2308"/>
    <cellStyle name="20% - Accent5 5 11 2" xfId="25083"/>
    <cellStyle name="20% - Accent5 5 12" xfId="6572"/>
    <cellStyle name="20% - Accent5 5 12 2" xfId="29347"/>
    <cellStyle name="20% - Accent5 5 13" xfId="7228"/>
    <cellStyle name="20% - Accent5 5 13 2" xfId="30003"/>
    <cellStyle name="20% - Accent5 5 14" xfId="7884"/>
    <cellStyle name="20% - Accent5 5 14 2" xfId="30659"/>
    <cellStyle name="20% - Accent5 5 15" xfId="8540"/>
    <cellStyle name="20% - Accent5 5 15 2" xfId="31315"/>
    <cellStyle name="20% - Accent5 5 16" xfId="9196"/>
    <cellStyle name="20% - Accent5 5 16 2" xfId="31971"/>
    <cellStyle name="20% - Accent5 5 17" xfId="9852"/>
    <cellStyle name="20% - Accent5 5 17 2" xfId="32627"/>
    <cellStyle name="20% - Accent5 5 18" xfId="10508"/>
    <cellStyle name="20% - Accent5 5 18 2" xfId="33283"/>
    <cellStyle name="20% - Accent5 5 19" xfId="11164"/>
    <cellStyle name="20% - Accent5 5 19 2" xfId="33939"/>
    <cellStyle name="20% - Accent5 5 2" xfId="181"/>
    <cellStyle name="20% - Accent5 5 2 10" xfId="2379"/>
    <cellStyle name="20% - Accent5 5 2 10 2" xfId="25154"/>
    <cellStyle name="20% - Accent5 5 2 11" xfId="6643"/>
    <cellStyle name="20% - Accent5 5 2 11 2" xfId="29418"/>
    <cellStyle name="20% - Accent5 5 2 12" xfId="7299"/>
    <cellStyle name="20% - Accent5 5 2 12 2" xfId="30074"/>
    <cellStyle name="20% - Accent5 5 2 13" xfId="7955"/>
    <cellStyle name="20% - Accent5 5 2 13 2" xfId="30730"/>
    <cellStyle name="20% - Accent5 5 2 14" xfId="8611"/>
    <cellStyle name="20% - Accent5 5 2 14 2" xfId="31386"/>
    <cellStyle name="20% - Accent5 5 2 15" xfId="9267"/>
    <cellStyle name="20% - Accent5 5 2 15 2" xfId="32042"/>
    <cellStyle name="20% - Accent5 5 2 16" xfId="9923"/>
    <cellStyle name="20% - Accent5 5 2 16 2" xfId="32698"/>
    <cellStyle name="20% - Accent5 5 2 17" xfId="10579"/>
    <cellStyle name="20% - Accent5 5 2 17 2" xfId="33354"/>
    <cellStyle name="20% - Accent5 5 2 18" xfId="11235"/>
    <cellStyle name="20% - Accent5 5 2 18 2" xfId="34010"/>
    <cellStyle name="20% - Accent5 5 2 19" xfId="11891"/>
    <cellStyle name="20% - Accent5 5 2 19 2" xfId="34666"/>
    <cellStyle name="20% - Accent5 5 2 2" xfId="595"/>
    <cellStyle name="20% - Accent5 5 2 2 10" xfId="6828"/>
    <cellStyle name="20% - Accent5 5 2 2 10 2" xfId="29603"/>
    <cellStyle name="20% - Accent5 5 2 2 11" xfId="7484"/>
    <cellStyle name="20% - Accent5 5 2 2 11 2" xfId="30259"/>
    <cellStyle name="20% - Accent5 5 2 2 12" xfId="8140"/>
    <cellStyle name="20% - Accent5 5 2 2 12 2" xfId="30915"/>
    <cellStyle name="20% - Accent5 5 2 2 13" xfId="8796"/>
    <cellStyle name="20% - Accent5 5 2 2 13 2" xfId="31571"/>
    <cellStyle name="20% - Accent5 5 2 2 14" xfId="9452"/>
    <cellStyle name="20% - Accent5 5 2 2 14 2" xfId="32227"/>
    <cellStyle name="20% - Accent5 5 2 2 15" xfId="10108"/>
    <cellStyle name="20% - Accent5 5 2 2 15 2" xfId="32883"/>
    <cellStyle name="20% - Accent5 5 2 2 16" xfId="10764"/>
    <cellStyle name="20% - Accent5 5 2 2 16 2" xfId="33539"/>
    <cellStyle name="20% - Accent5 5 2 2 17" xfId="11420"/>
    <cellStyle name="20% - Accent5 5 2 2 17 2" xfId="34195"/>
    <cellStyle name="20% - Accent5 5 2 2 18" xfId="12076"/>
    <cellStyle name="20% - Accent5 5 2 2 18 2" xfId="34851"/>
    <cellStyle name="20% - Accent5 5 2 2 19" xfId="12732"/>
    <cellStyle name="20% - Accent5 5 2 2 19 2" xfId="35507"/>
    <cellStyle name="20% - Accent5 5 2 2 2" xfId="924"/>
    <cellStyle name="20% - Accent5 5 2 2 2 10" xfId="8468"/>
    <cellStyle name="20% - Accent5 5 2 2 2 10 2" xfId="31243"/>
    <cellStyle name="20% - Accent5 5 2 2 2 11" xfId="9124"/>
    <cellStyle name="20% - Accent5 5 2 2 2 11 2" xfId="31899"/>
    <cellStyle name="20% - Accent5 5 2 2 2 12" xfId="9780"/>
    <cellStyle name="20% - Accent5 5 2 2 2 12 2" xfId="32555"/>
    <cellStyle name="20% - Accent5 5 2 2 2 13" xfId="10436"/>
    <cellStyle name="20% - Accent5 5 2 2 2 13 2" xfId="33211"/>
    <cellStyle name="20% - Accent5 5 2 2 2 14" xfId="11092"/>
    <cellStyle name="20% - Accent5 5 2 2 2 14 2" xfId="33867"/>
    <cellStyle name="20% - Accent5 5 2 2 2 15" xfId="11748"/>
    <cellStyle name="20% - Accent5 5 2 2 2 15 2" xfId="34523"/>
    <cellStyle name="20% - Accent5 5 2 2 2 16" xfId="12404"/>
    <cellStyle name="20% - Accent5 5 2 2 2 16 2" xfId="35179"/>
    <cellStyle name="20% - Accent5 5 2 2 2 17" xfId="13060"/>
    <cellStyle name="20% - Accent5 5 2 2 2 17 2" xfId="35835"/>
    <cellStyle name="20% - Accent5 5 2 2 2 18" xfId="13716"/>
    <cellStyle name="20% - Accent5 5 2 2 2 18 2" xfId="36491"/>
    <cellStyle name="20% - Accent5 5 2 2 2 19" xfId="14372"/>
    <cellStyle name="20% - Accent5 5 2 2 2 19 2" xfId="37147"/>
    <cellStyle name="20% - Accent5 5 2 2 2 2" xfId="1580"/>
    <cellStyle name="20% - Accent5 5 2 2 2 2 2" xfId="3876"/>
    <cellStyle name="20% - Accent5 5 2 2 2 2 2 2" xfId="26651"/>
    <cellStyle name="20% - Accent5 5 2 2 2 2 3" xfId="24355"/>
    <cellStyle name="20% - Accent5 5 2 2 2 20" xfId="15028"/>
    <cellStyle name="20% - Accent5 5 2 2 2 20 2" xfId="37803"/>
    <cellStyle name="20% - Accent5 5 2 2 2 21" xfId="15684"/>
    <cellStyle name="20% - Accent5 5 2 2 2 21 2" xfId="38459"/>
    <cellStyle name="20% - Accent5 5 2 2 2 22" xfId="16340"/>
    <cellStyle name="20% - Accent5 5 2 2 2 22 2" xfId="39115"/>
    <cellStyle name="20% - Accent5 5 2 2 2 23" xfId="16996"/>
    <cellStyle name="20% - Accent5 5 2 2 2 23 2" xfId="39771"/>
    <cellStyle name="20% - Accent5 5 2 2 2 24" xfId="17652"/>
    <cellStyle name="20% - Accent5 5 2 2 2 24 2" xfId="40427"/>
    <cellStyle name="20% - Accent5 5 2 2 2 25" xfId="18308"/>
    <cellStyle name="20% - Accent5 5 2 2 2 25 2" xfId="41083"/>
    <cellStyle name="20% - Accent5 5 2 2 2 26" xfId="18964"/>
    <cellStyle name="20% - Accent5 5 2 2 2 26 2" xfId="41739"/>
    <cellStyle name="20% - Accent5 5 2 2 2 27" xfId="19620"/>
    <cellStyle name="20% - Accent5 5 2 2 2 27 2" xfId="42395"/>
    <cellStyle name="20% - Accent5 5 2 2 2 28" xfId="20276"/>
    <cellStyle name="20% - Accent5 5 2 2 2 28 2" xfId="43051"/>
    <cellStyle name="20% - Accent5 5 2 2 2 29" xfId="20932"/>
    <cellStyle name="20% - Accent5 5 2 2 2 29 2" xfId="43707"/>
    <cellStyle name="20% - Accent5 5 2 2 2 3" xfId="2236"/>
    <cellStyle name="20% - Accent5 5 2 2 2 3 2" xfId="4532"/>
    <cellStyle name="20% - Accent5 5 2 2 2 3 2 2" xfId="27307"/>
    <cellStyle name="20% - Accent5 5 2 2 2 3 3" xfId="25011"/>
    <cellStyle name="20% - Accent5 5 2 2 2 30" xfId="21588"/>
    <cellStyle name="20% - Accent5 5 2 2 2 30 2" xfId="44363"/>
    <cellStyle name="20% - Accent5 5 2 2 2 31" xfId="22244"/>
    <cellStyle name="20% - Accent5 5 2 2 2 31 2" xfId="45019"/>
    <cellStyle name="20% - Accent5 5 2 2 2 32" xfId="22900"/>
    <cellStyle name="20% - Accent5 5 2 2 2 32 2" xfId="45675"/>
    <cellStyle name="20% - Accent5 5 2 2 2 33" xfId="23699"/>
    <cellStyle name="20% - Accent5 5 2 2 2 4" xfId="5188"/>
    <cellStyle name="20% - Accent5 5 2 2 2 4 2" xfId="27963"/>
    <cellStyle name="20% - Accent5 5 2 2 2 5" xfId="5844"/>
    <cellStyle name="20% - Accent5 5 2 2 2 5 2" xfId="28619"/>
    <cellStyle name="20% - Accent5 5 2 2 2 6" xfId="6500"/>
    <cellStyle name="20% - Accent5 5 2 2 2 6 2" xfId="29275"/>
    <cellStyle name="20% - Accent5 5 2 2 2 7" xfId="3220"/>
    <cellStyle name="20% - Accent5 5 2 2 2 7 2" xfId="25995"/>
    <cellStyle name="20% - Accent5 5 2 2 2 8" xfId="7156"/>
    <cellStyle name="20% - Accent5 5 2 2 2 8 2" xfId="29931"/>
    <cellStyle name="20% - Accent5 5 2 2 2 9" xfId="7812"/>
    <cellStyle name="20% - Accent5 5 2 2 2 9 2" xfId="30587"/>
    <cellStyle name="20% - Accent5 5 2 2 20" xfId="13388"/>
    <cellStyle name="20% - Accent5 5 2 2 20 2" xfId="36163"/>
    <cellStyle name="20% - Accent5 5 2 2 21" xfId="14044"/>
    <cellStyle name="20% - Accent5 5 2 2 21 2" xfId="36819"/>
    <cellStyle name="20% - Accent5 5 2 2 22" xfId="14700"/>
    <cellStyle name="20% - Accent5 5 2 2 22 2" xfId="37475"/>
    <cellStyle name="20% - Accent5 5 2 2 23" xfId="15356"/>
    <cellStyle name="20% - Accent5 5 2 2 23 2" xfId="38131"/>
    <cellStyle name="20% - Accent5 5 2 2 24" xfId="16012"/>
    <cellStyle name="20% - Accent5 5 2 2 24 2" xfId="38787"/>
    <cellStyle name="20% - Accent5 5 2 2 25" xfId="16668"/>
    <cellStyle name="20% - Accent5 5 2 2 25 2" xfId="39443"/>
    <cellStyle name="20% - Accent5 5 2 2 26" xfId="17324"/>
    <cellStyle name="20% - Accent5 5 2 2 26 2" xfId="40099"/>
    <cellStyle name="20% - Accent5 5 2 2 27" xfId="17980"/>
    <cellStyle name="20% - Accent5 5 2 2 27 2" xfId="40755"/>
    <cellStyle name="20% - Accent5 5 2 2 28" xfId="18636"/>
    <cellStyle name="20% - Accent5 5 2 2 28 2" xfId="41411"/>
    <cellStyle name="20% - Accent5 5 2 2 29" xfId="19292"/>
    <cellStyle name="20% - Accent5 5 2 2 29 2" xfId="42067"/>
    <cellStyle name="20% - Accent5 5 2 2 3" xfId="1252"/>
    <cellStyle name="20% - Accent5 5 2 2 3 2" xfId="2892"/>
    <cellStyle name="20% - Accent5 5 2 2 3 2 2" xfId="25667"/>
    <cellStyle name="20% - Accent5 5 2 2 3 3" xfId="24027"/>
    <cellStyle name="20% - Accent5 5 2 2 30" xfId="19948"/>
    <cellStyle name="20% - Accent5 5 2 2 30 2" xfId="42723"/>
    <cellStyle name="20% - Accent5 5 2 2 31" xfId="20604"/>
    <cellStyle name="20% - Accent5 5 2 2 31 2" xfId="43379"/>
    <cellStyle name="20% - Accent5 5 2 2 32" xfId="21260"/>
    <cellStyle name="20% - Accent5 5 2 2 32 2" xfId="44035"/>
    <cellStyle name="20% - Accent5 5 2 2 33" xfId="21916"/>
    <cellStyle name="20% - Accent5 5 2 2 33 2" xfId="44691"/>
    <cellStyle name="20% - Accent5 5 2 2 34" xfId="22572"/>
    <cellStyle name="20% - Accent5 5 2 2 34 2" xfId="45347"/>
    <cellStyle name="20% - Accent5 5 2 2 35" xfId="23371"/>
    <cellStyle name="20% - Accent5 5 2 2 4" xfId="1908"/>
    <cellStyle name="20% - Accent5 5 2 2 4 2" xfId="3548"/>
    <cellStyle name="20% - Accent5 5 2 2 4 2 2" xfId="26323"/>
    <cellStyle name="20% - Accent5 5 2 2 4 3" xfId="24683"/>
    <cellStyle name="20% - Accent5 5 2 2 5" xfId="4204"/>
    <cellStyle name="20% - Accent5 5 2 2 5 2" xfId="26979"/>
    <cellStyle name="20% - Accent5 5 2 2 6" xfId="4860"/>
    <cellStyle name="20% - Accent5 5 2 2 6 2" xfId="27635"/>
    <cellStyle name="20% - Accent5 5 2 2 7" xfId="5516"/>
    <cellStyle name="20% - Accent5 5 2 2 7 2" xfId="28291"/>
    <cellStyle name="20% - Accent5 5 2 2 8" xfId="6172"/>
    <cellStyle name="20% - Accent5 5 2 2 8 2" xfId="28947"/>
    <cellStyle name="20% - Accent5 5 2 2 9" xfId="2564"/>
    <cellStyle name="20% - Accent5 5 2 2 9 2" xfId="25339"/>
    <cellStyle name="20% - Accent5 5 2 20" xfId="12547"/>
    <cellStyle name="20% - Accent5 5 2 20 2" xfId="35322"/>
    <cellStyle name="20% - Accent5 5 2 21" xfId="13203"/>
    <cellStyle name="20% - Accent5 5 2 21 2" xfId="35978"/>
    <cellStyle name="20% - Accent5 5 2 22" xfId="13859"/>
    <cellStyle name="20% - Accent5 5 2 22 2" xfId="36634"/>
    <cellStyle name="20% - Accent5 5 2 23" xfId="14515"/>
    <cellStyle name="20% - Accent5 5 2 23 2" xfId="37290"/>
    <cellStyle name="20% - Accent5 5 2 24" xfId="15171"/>
    <cellStyle name="20% - Accent5 5 2 24 2" xfId="37946"/>
    <cellStyle name="20% - Accent5 5 2 25" xfId="15827"/>
    <cellStyle name="20% - Accent5 5 2 25 2" xfId="38602"/>
    <cellStyle name="20% - Accent5 5 2 26" xfId="16483"/>
    <cellStyle name="20% - Accent5 5 2 26 2" xfId="39258"/>
    <cellStyle name="20% - Accent5 5 2 27" xfId="17139"/>
    <cellStyle name="20% - Accent5 5 2 27 2" xfId="39914"/>
    <cellStyle name="20% - Accent5 5 2 28" xfId="17795"/>
    <cellStyle name="20% - Accent5 5 2 28 2" xfId="40570"/>
    <cellStyle name="20% - Accent5 5 2 29" xfId="18451"/>
    <cellStyle name="20% - Accent5 5 2 29 2" xfId="41226"/>
    <cellStyle name="20% - Accent5 5 2 3" xfId="739"/>
    <cellStyle name="20% - Accent5 5 2 3 10" xfId="8283"/>
    <cellStyle name="20% - Accent5 5 2 3 10 2" xfId="31058"/>
    <cellStyle name="20% - Accent5 5 2 3 11" xfId="8939"/>
    <cellStyle name="20% - Accent5 5 2 3 11 2" xfId="31714"/>
    <cellStyle name="20% - Accent5 5 2 3 12" xfId="9595"/>
    <cellStyle name="20% - Accent5 5 2 3 12 2" xfId="32370"/>
    <cellStyle name="20% - Accent5 5 2 3 13" xfId="10251"/>
    <cellStyle name="20% - Accent5 5 2 3 13 2" xfId="33026"/>
    <cellStyle name="20% - Accent5 5 2 3 14" xfId="10907"/>
    <cellStyle name="20% - Accent5 5 2 3 14 2" xfId="33682"/>
    <cellStyle name="20% - Accent5 5 2 3 15" xfId="11563"/>
    <cellStyle name="20% - Accent5 5 2 3 15 2" xfId="34338"/>
    <cellStyle name="20% - Accent5 5 2 3 16" xfId="12219"/>
    <cellStyle name="20% - Accent5 5 2 3 16 2" xfId="34994"/>
    <cellStyle name="20% - Accent5 5 2 3 17" xfId="12875"/>
    <cellStyle name="20% - Accent5 5 2 3 17 2" xfId="35650"/>
    <cellStyle name="20% - Accent5 5 2 3 18" xfId="13531"/>
    <cellStyle name="20% - Accent5 5 2 3 18 2" xfId="36306"/>
    <cellStyle name="20% - Accent5 5 2 3 19" xfId="14187"/>
    <cellStyle name="20% - Accent5 5 2 3 19 2" xfId="36962"/>
    <cellStyle name="20% - Accent5 5 2 3 2" xfId="1395"/>
    <cellStyle name="20% - Accent5 5 2 3 2 2" xfId="3691"/>
    <cellStyle name="20% - Accent5 5 2 3 2 2 2" xfId="26466"/>
    <cellStyle name="20% - Accent5 5 2 3 2 3" xfId="24170"/>
    <cellStyle name="20% - Accent5 5 2 3 20" xfId="14843"/>
    <cellStyle name="20% - Accent5 5 2 3 20 2" xfId="37618"/>
    <cellStyle name="20% - Accent5 5 2 3 21" xfId="15499"/>
    <cellStyle name="20% - Accent5 5 2 3 21 2" xfId="38274"/>
    <cellStyle name="20% - Accent5 5 2 3 22" xfId="16155"/>
    <cellStyle name="20% - Accent5 5 2 3 22 2" xfId="38930"/>
    <cellStyle name="20% - Accent5 5 2 3 23" xfId="16811"/>
    <cellStyle name="20% - Accent5 5 2 3 23 2" xfId="39586"/>
    <cellStyle name="20% - Accent5 5 2 3 24" xfId="17467"/>
    <cellStyle name="20% - Accent5 5 2 3 24 2" xfId="40242"/>
    <cellStyle name="20% - Accent5 5 2 3 25" xfId="18123"/>
    <cellStyle name="20% - Accent5 5 2 3 25 2" xfId="40898"/>
    <cellStyle name="20% - Accent5 5 2 3 26" xfId="18779"/>
    <cellStyle name="20% - Accent5 5 2 3 26 2" xfId="41554"/>
    <cellStyle name="20% - Accent5 5 2 3 27" xfId="19435"/>
    <cellStyle name="20% - Accent5 5 2 3 27 2" xfId="42210"/>
    <cellStyle name="20% - Accent5 5 2 3 28" xfId="20091"/>
    <cellStyle name="20% - Accent5 5 2 3 28 2" xfId="42866"/>
    <cellStyle name="20% - Accent5 5 2 3 29" xfId="20747"/>
    <cellStyle name="20% - Accent5 5 2 3 29 2" xfId="43522"/>
    <cellStyle name="20% - Accent5 5 2 3 3" xfId="2051"/>
    <cellStyle name="20% - Accent5 5 2 3 3 2" xfId="4347"/>
    <cellStyle name="20% - Accent5 5 2 3 3 2 2" xfId="27122"/>
    <cellStyle name="20% - Accent5 5 2 3 3 3" xfId="24826"/>
    <cellStyle name="20% - Accent5 5 2 3 30" xfId="21403"/>
    <cellStyle name="20% - Accent5 5 2 3 30 2" xfId="44178"/>
    <cellStyle name="20% - Accent5 5 2 3 31" xfId="22059"/>
    <cellStyle name="20% - Accent5 5 2 3 31 2" xfId="44834"/>
    <cellStyle name="20% - Accent5 5 2 3 32" xfId="22715"/>
    <cellStyle name="20% - Accent5 5 2 3 32 2" xfId="45490"/>
    <cellStyle name="20% - Accent5 5 2 3 33" xfId="23514"/>
    <cellStyle name="20% - Accent5 5 2 3 4" xfId="5003"/>
    <cellStyle name="20% - Accent5 5 2 3 4 2" xfId="27778"/>
    <cellStyle name="20% - Accent5 5 2 3 5" xfId="5659"/>
    <cellStyle name="20% - Accent5 5 2 3 5 2" xfId="28434"/>
    <cellStyle name="20% - Accent5 5 2 3 6" xfId="6315"/>
    <cellStyle name="20% - Accent5 5 2 3 6 2" xfId="29090"/>
    <cellStyle name="20% - Accent5 5 2 3 7" xfId="3035"/>
    <cellStyle name="20% - Accent5 5 2 3 7 2" xfId="25810"/>
    <cellStyle name="20% - Accent5 5 2 3 8" xfId="6971"/>
    <cellStyle name="20% - Accent5 5 2 3 8 2" xfId="29746"/>
    <cellStyle name="20% - Accent5 5 2 3 9" xfId="7627"/>
    <cellStyle name="20% - Accent5 5 2 3 9 2" xfId="30402"/>
    <cellStyle name="20% - Accent5 5 2 30" xfId="19107"/>
    <cellStyle name="20% - Accent5 5 2 30 2" xfId="41882"/>
    <cellStyle name="20% - Accent5 5 2 31" xfId="19763"/>
    <cellStyle name="20% - Accent5 5 2 31 2" xfId="42538"/>
    <cellStyle name="20% - Accent5 5 2 32" xfId="20419"/>
    <cellStyle name="20% - Accent5 5 2 32 2" xfId="43194"/>
    <cellStyle name="20% - Accent5 5 2 33" xfId="21075"/>
    <cellStyle name="20% - Accent5 5 2 33 2" xfId="43850"/>
    <cellStyle name="20% - Accent5 5 2 34" xfId="21731"/>
    <cellStyle name="20% - Accent5 5 2 34 2" xfId="44506"/>
    <cellStyle name="20% - Accent5 5 2 35" xfId="22387"/>
    <cellStyle name="20% - Accent5 5 2 35 2" xfId="45162"/>
    <cellStyle name="20% - Accent5 5 2 36" xfId="23043"/>
    <cellStyle name="20% - Accent5 5 2 4" xfId="412"/>
    <cellStyle name="20% - Accent5 5 2 4 2" xfId="2707"/>
    <cellStyle name="20% - Accent5 5 2 4 2 2" xfId="25482"/>
    <cellStyle name="20% - Accent5 5 2 4 3" xfId="23186"/>
    <cellStyle name="20% - Accent5 5 2 5" xfId="1067"/>
    <cellStyle name="20% - Accent5 5 2 5 2" xfId="3363"/>
    <cellStyle name="20% - Accent5 5 2 5 2 2" xfId="26138"/>
    <cellStyle name="20% - Accent5 5 2 5 3" xfId="23842"/>
    <cellStyle name="20% - Accent5 5 2 6" xfId="1723"/>
    <cellStyle name="20% - Accent5 5 2 6 2" xfId="4019"/>
    <cellStyle name="20% - Accent5 5 2 6 2 2" xfId="26794"/>
    <cellStyle name="20% - Accent5 5 2 6 3" xfId="24498"/>
    <cellStyle name="20% - Accent5 5 2 7" xfId="4675"/>
    <cellStyle name="20% - Accent5 5 2 7 2" xfId="27450"/>
    <cellStyle name="20% - Accent5 5 2 8" xfId="5331"/>
    <cellStyle name="20% - Accent5 5 2 8 2" xfId="28106"/>
    <cellStyle name="20% - Accent5 5 2 9" xfId="5987"/>
    <cellStyle name="20% - Accent5 5 2 9 2" xfId="28762"/>
    <cellStyle name="20% - Accent5 5 20" xfId="11820"/>
    <cellStyle name="20% - Accent5 5 20 2" xfId="34595"/>
    <cellStyle name="20% - Accent5 5 21" xfId="12476"/>
    <cellStyle name="20% - Accent5 5 21 2" xfId="35251"/>
    <cellStyle name="20% - Accent5 5 22" xfId="13132"/>
    <cellStyle name="20% - Accent5 5 22 2" xfId="35907"/>
    <cellStyle name="20% - Accent5 5 23" xfId="13788"/>
    <cellStyle name="20% - Accent5 5 23 2" xfId="36563"/>
    <cellStyle name="20% - Accent5 5 24" xfId="14444"/>
    <cellStyle name="20% - Accent5 5 24 2" xfId="37219"/>
    <cellStyle name="20% - Accent5 5 25" xfId="15100"/>
    <cellStyle name="20% - Accent5 5 25 2" xfId="37875"/>
    <cellStyle name="20% - Accent5 5 26" xfId="15756"/>
    <cellStyle name="20% - Accent5 5 26 2" xfId="38531"/>
    <cellStyle name="20% - Accent5 5 27" xfId="16412"/>
    <cellStyle name="20% - Accent5 5 27 2" xfId="39187"/>
    <cellStyle name="20% - Accent5 5 28" xfId="17068"/>
    <cellStyle name="20% - Accent5 5 28 2" xfId="39843"/>
    <cellStyle name="20% - Accent5 5 29" xfId="17724"/>
    <cellStyle name="20% - Accent5 5 29 2" xfId="40499"/>
    <cellStyle name="20% - Accent5 5 3" xfId="525"/>
    <cellStyle name="20% - Accent5 5 3 10" xfId="6757"/>
    <cellStyle name="20% - Accent5 5 3 10 2" xfId="29532"/>
    <cellStyle name="20% - Accent5 5 3 11" xfId="7413"/>
    <cellStyle name="20% - Accent5 5 3 11 2" xfId="30188"/>
    <cellStyle name="20% - Accent5 5 3 12" xfId="8069"/>
    <cellStyle name="20% - Accent5 5 3 12 2" xfId="30844"/>
    <cellStyle name="20% - Accent5 5 3 13" xfId="8725"/>
    <cellStyle name="20% - Accent5 5 3 13 2" xfId="31500"/>
    <cellStyle name="20% - Accent5 5 3 14" xfId="9381"/>
    <cellStyle name="20% - Accent5 5 3 14 2" xfId="32156"/>
    <cellStyle name="20% - Accent5 5 3 15" xfId="10037"/>
    <cellStyle name="20% - Accent5 5 3 15 2" xfId="32812"/>
    <cellStyle name="20% - Accent5 5 3 16" xfId="10693"/>
    <cellStyle name="20% - Accent5 5 3 16 2" xfId="33468"/>
    <cellStyle name="20% - Accent5 5 3 17" xfId="11349"/>
    <cellStyle name="20% - Accent5 5 3 17 2" xfId="34124"/>
    <cellStyle name="20% - Accent5 5 3 18" xfId="12005"/>
    <cellStyle name="20% - Accent5 5 3 18 2" xfId="34780"/>
    <cellStyle name="20% - Accent5 5 3 19" xfId="12661"/>
    <cellStyle name="20% - Accent5 5 3 19 2" xfId="35436"/>
    <cellStyle name="20% - Accent5 5 3 2" xfId="853"/>
    <cellStyle name="20% - Accent5 5 3 2 10" xfId="8397"/>
    <cellStyle name="20% - Accent5 5 3 2 10 2" xfId="31172"/>
    <cellStyle name="20% - Accent5 5 3 2 11" xfId="9053"/>
    <cellStyle name="20% - Accent5 5 3 2 11 2" xfId="31828"/>
    <cellStyle name="20% - Accent5 5 3 2 12" xfId="9709"/>
    <cellStyle name="20% - Accent5 5 3 2 12 2" xfId="32484"/>
    <cellStyle name="20% - Accent5 5 3 2 13" xfId="10365"/>
    <cellStyle name="20% - Accent5 5 3 2 13 2" xfId="33140"/>
    <cellStyle name="20% - Accent5 5 3 2 14" xfId="11021"/>
    <cellStyle name="20% - Accent5 5 3 2 14 2" xfId="33796"/>
    <cellStyle name="20% - Accent5 5 3 2 15" xfId="11677"/>
    <cellStyle name="20% - Accent5 5 3 2 15 2" xfId="34452"/>
    <cellStyle name="20% - Accent5 5 3 2 16" xfId="12333"/>
    <cellStyle name="20% - Accent5 5 3 2 16 2" xfId="35108"/>
    <cellStyle name="20% - Accent5 5 3 2 17" xfId="12989"/>
    <cellStyle name="20% - Accent5 5 3 2 17 2" xfId="35764"/>
    <cellStyle name="20% - Accent5 5 3 2 18" xfId="13645"/>
    <cellStyle name="20% - Accent5 5 3 2 18 2" xfId="36420"/>
    <cellStyle name="20% - Accent5 5 3 2 19" xfId="14301"/>
    <cellStyle name="20% - Accent5 5 3 2 19 2" xfId="37076"/>
    <cellStyle name="20% - Accent5 5 3 2 2" xfId="1509"/>
    <cellStyle name="20% - Accent5 5 3 2 2 2" xfId="3805"/>
    <cellStyle name="20% - Accent5 5 3 2 2 2 2" xfId="26580"/>
    <cellStyle name="20% - Accent5 5 3 2 2 3" xfId="24284"/>
    <cellStyle name="20% - Accent5 5 3 2 20" xfId="14957"/>
    <cellStyle name="20% - Accent5 5 3 2 20 2" xfId="37732"/>
    <cellStyle name="20% - Accent5 5 3 2 21" xfId="15613"/>
    <cellStyle name="20% - Accent5 5 3 2 21 2" xfId="38388"/>
    <cellStyle name="20% - Accent5 5 3 2 22" xfId="16269"/>
    <cellStyle name="20% - Accent5 5 3 2 22 2" xfId="39044"/>
    <cellStyle name="20% - Accent5 5 3 2 23" xfId="16925"/>
    <cellStyle name="20% - Accent5 5 3 2 23 2" xfId="39700"/>
    <cellStyle name="20% - Accent5 5 3 2 24" xfId="17581"/>
    <cellStyle name="20% - Accent5 5 3 2 24 2" xfId="40356"/>
    <cellStyle name="20% - Accent5 5 3 2 25" xfId="18237"/>
    <cellStyle name="20% - Accent5 5 3 2 25 2" xfId="41012"/>
    <cellStyle name="20% - Accent5 5 3 2 26" xfId="18893"/>
    <cellStyle name="20% - Accent5 5 3 2 26 2" xfId="41668"/>
    <cellStyle name="20% - Accent5 5 3 2 27" xfId="19549"/>
    <cellStyle name="20% - Accent5 5 3 2 27 2" xfId="42324"/>
    <cellStyle name="20% - Accent5 5 3 2 28" xfId="20205"/>
    <cellStyle name="20% - Accent5 5 3 2 28 2" xfId="42980"/>
    <cellStyle name="20% - Accent5 5 3 2 29" xfId="20861"/>
    <cellStyle name="20% - Accent5 5 3 2 29 2" xfId="43636"/>
    <cellStyle name="20% - Accent5 5 3 2 3" xfId="2165"/>
    <cellStyle name="20% - Accent5 5 3 2 3 2" xfId="4461"/>
    <cellStyle name="20% - Accent5 5 3 2 3 2 2" xfId="27236"/>
    <cellStyle name="20% - Accent5 5 3 2 3 3" xfId="24940"/>
    <cellStyle name="20% - Accent5 5 3 2 30" xfId="21517"/>
    <cellStyle name="20% - Accent5 5 3 2 30 2" xfId="44292"/>
    <cellStyle name="20% - Accent5 5 3 2 31" xfId="22173"/>
    <cellStyle name="20% - Accent5 5 3 2 31 2" xfId="44948"/>
    <cellStyle name="20% - Accent5 5 3 2 32" xfId="22829"/>
    <cellStyle name="20% - Accent5 5 3 2 32 2" xfId="45604"/>
    <cellStyle name="20% - Accent5 5 3 2 33" xfId="23628"/>
    <cellStyle name="20% - Accent5 5 3 2 4" xfId="5117"/>
    <cellStyle name="20% - Accent5 5 3 2 4 2" xfId="27892"/>
    <cellStyle name="20% - Accent5 5 3 2 5" xfId="5773"/>
    <cellStyle name="20% - Accent5 5 3 2 5 2" xfId="28548"/>
    <cellStyle name="20% - Accent5 5 3 2 6" xfId="6429"/>
    <cellStyle name="20% - Accent5 5 3 2 6 2" xfId="29204"/>
    <cellStyle name="20% - Accent5 5 3 2 7" xfId="3149"/>
    <cellStyle name="20% - Accent5 5 3 2 7 2" xfId="25924"/>
    <cellStyle name="20% - Accent5 5 3 2 8" xfId="7085"/>
    <cellStyle name="20% - Accent5 5 3 2 8 2" xfId="29860"/>
    <cellStyle name="20% - Accent5 5 3 2 9" xfId="7741"/>
    <cellStyle name="20% - Accent5 5 3 2 9 2" xfId="30516"/>
    <cellStyle name="20% - Accent5 5 3 20" xfId="13317"/>
    <cellStyle name="20% - Accent5 5 3 20 2" xfId="36092"/>
    <cellStyle name="20% - Accent5 5 3 21" xfId="13973"/>
    <cellStyle name="20% - Accent5 5 3 21 2" xfId="36748"/>
    <cellStyle name="20% - Accent5 5 3 22" xfId="14629"/>
    <cellStyle name="20% - Accent5 5 3 22 2" xfId="37404"/>
    <cellStyle name="20% - Accent5 5 3 23" xfId="15285"/>
    <cellStyle name="20% - Accent5 5 3 23 2" xfId="38060"/>
    <cellStyle name="20% - Accent5 5 3 24" xfId="15941"/>
    <cellStyle name="20% - Accent5 5 3 24 2" xfId="38716"/>
    <cellStyle name="20% - Accent5 5 3 25" xfId="16597"/>
    <cellStyle name="20% - Accent5 5 3 25 2" xfId="39372"/>
    <cellStyle name="20% - Accent5 5 3 26" xfId="17253"/>
    <cellStyle name="20% - Accent5 5 3 26 2" xfId="40028"/>
    <cellStyle name="20% - Accent5 5 3 27" xfId="17909"/>
    <cellStyle name="20% - Accent5 5 3 27 2" xfId="40684"/>
    <cellStyle name="20% - Accent5 5 3 28" xfId="18565"/>
    <cellStyle name="20% - Accent5 5 3 28 2" xfId="41340"/>
    <cellStyle name="20% - Accent5 5 3 29" xfId="19221"/>
    <cellStyle name="20% - Accent5 5 3 29 2" xfId="41996"/>
    <cellStyle name="20% - Accent5 5 3 3" xfId="1181"/>
    <cellStyle name="20% - Accent5 5 3 3 2" xfId="2821"/>
    <cellStyle name="20% - Accent5 5 3 3 2 2" xfId="25596"/>
    <cellStyle name="20% - Accent5 5 3 3 3" xfId="23956"/>
    <cellStyle name="20% - Accent5 5 3 30" xfId="19877"/>
    <cellStyle name="20% - Accent5 5 3 30 2" xfId="42652"/>
    <cellStyle name="20% - Accent5 5 3 31" xfId="20533"/>
    <cellStyle name="20% - Accent5 5 3 31 2" xfId="43308"/>
    <cellStyle name="20% - Accent5 5 3 32" xfId="21189"/>
    <cellStyle name="20% - Accent5 5 3 32 2" xfId="43964"/>
    <cellStyle name="20% - Accent5 5 3 33" xfId="21845"/>
    <cellStyle name="20% - Accent5 5 3 33 2" xfId="44620"/>
    <cellStyle name="20% - Accent5 5 3 34" xfId="22501"/>
    <cellStyle name="20% - Accent5 5 3 34 2" xfId="45276"/>
    <cellStyle name="20% - Accent5 5 3 35" xfId="23300"/>
    <cellStyle name="20% - Accent5 5 3 4" xfId="1837"/>
    <cellStyle name="20% - Accent5 5 3 4 2" xfId="3477"/>
    <cellStyle name="20% - Accent5 5 3 4 2 2" xfId="26252"/>
    <cellStyle name="20% - Accent5 5 3 4 3" xfId="24612"/>
    <cellStyle name="20% - Accent5 5 3 5" xfId="4133"/>
    <cellStyle name="20% - Accent5 5 3 5 2" xfId="26908"/>
    <cellStyle name="20% - Accent5 5 3 6" xfId="4789"/>
    <cellStyle name="20% - Accent5 5 3 6 2" xfId="27564"/>
    <cellStyle name="20% - Accent5 5 3 7" xfId="5445"/>
    <cellStyle name="20% - Accent5 5 3 7 2" xfId="28220"/>
    <cellStyle name="20% - Accent5 5 3 8" xfId="6101"/>
    <cellStyle name="20% - Accent5 5 3 8 2" xfId="28876"/>
    <cellStyle name="20% - Accent5 5 3 9" xfId="2493"/>
    <cellStyle name="20% - Accent5 5 3 9 2" xfId="25268"/>
    <cellStyle name="20% - Accent5 5 30" xfId="18380"/>
    <cellStyle name="20% - Accent5 5 30 2" xfId="41155"/>
    <cellStyle name="20% - Accent5 5 31" xfId="19036"/>
    <cellStyle name="20% - Accent5 5 31 2" xfId="41811"/>
    <cellStyle name="20% - Accent5 5 32" xfId="19692"/>
    <cellStyle name="20% - Accent5 5 32 2" xfId="42467"/>
    <cellStyle name="20% - Accent5 5 33" xfId="20348"/>
    <cellStyle name="20% - Accent5 5 33 2" xfId="43123"/>
    <cellStyle name="20% - Accent5 5 34" xfId="21004"/>
    <cellStyle name="20% - Accent5 5 34 2" xfId="43779"/>
    <cellStyle name="20% - Accent5 5 35" xfId="21660"/>
    <cellStyle name="20% - Accent5 5 35 2" xfId="44435"/>
    <cellStyle name="20% - Accent5 5 36" xfId="22316"/>
    <cellStyle name="20% - Accent5 5 36 2" xfId="45091"/>
    <cellStyle name="20% - Accent5 5 37" xfId="255"/>
    <cellStyle name="20% - Accent5 5 38" xfId="22972"/>
    <cellStyle name="20% - Accent5 5 4" xfId="668"/>
    <cellStyle name="20% - Accent5 5 4 10" xfId="8212"/>
    <cellStyle name="20% - Accent5 5 4 10 2" xfId="30987"/>
    <cellStyle name="20% - Accent5 5 4 11" xfId="8868"/>
    <cellStyle name="20% - Accent5 5 4 11 2" xfId="31643"/>
    <cellStyle name="20% - Accent5 5 4 12" xfId="9524"/>
    <cellStyle name="20% - Accent5 5 4 12 2" xfId="32299"/>
    <cellStyle name="20% - Accent5 5 4 13" xfId="10180"/>
    <cellStyle name="20% - Accent5 5 4 13 2" xfId="32955"/>
    <cellStyle name="20% - Accent5 5 4 14" xfId="10836"/>
    <cellStyle name="20% - Accent5 5 4 14 2" xfId="33611"/>
    <cellStyle name="20% - Accent5 5 4 15" xfId="11492"/>
    <cellStyle name="20% - Accent5 5 4 15 2" xfId="34267"/>
    <cellStyle name="20% - Accent5 5 4 16" xfId="12148"/>
    <cellStyle name="20% - Accent5 5 4 16 2" xfId="34923"/>
    <cellStyle name="20% - Accent5 5 4 17" xfId="12804"/>
    <cellStyle name="20% - Accent5 5 4 17 2" xfId="35579"/>
    <cellStyle name="20% - Accent5 5 4 18" xfId="13460"/>
    <cellStyle name="20% - Accent5 5 4 18 2" xfId="36235"/>
    <cellStyle name="20% - Accent5 5 4 19" xfId="14116"/>
    <cellStyle name="20% - Accent5 5 4 19 2" xfId="36891"/>
    <cellStyle name="20% - Accent5 5 4 2" xfId="1324"/>
    <cellStyle name="20% - Accent5 5 4 2 2" xfId="3620"/>
    <cellStyle name="20% - Accent5 5 4 2 2 2" xfId="26395"/>
    <cellStyle name="20% - Accent5 5 4 2 3" xfId="24099"/>
    <cellStyle name="20% - Accent5 5 4 20" xfId="14772"/>
    <cellStyle name="20% - Accent5 5 4 20 2" xfId="37547"/>
    <cellStyle name="20% - Accent5 5 4 21" xfId="15428"/>
    <cellStyle name="20% - Accent5 5 4 21 2" xfId="38203"/>
    <cellStyle name="20% - Accent5 5 4 22" xfId="16084"/>
    <cellStyle name="20% - Accent5 5 4 22 2" xfId="38859"/>
    <cellStyle name="20% - Accent5 5 4 23" xfId="16740"/>
    <cellStyle name="20% - Accent5 5 4 23 2" xfId="39515"/>
    <cellStyle name="20% - Accent5 5 4 24" xfId="17396"/>
    <cellStyle name="20% - Accent5 5 4 24 2" xfId="40171"/>
    <cellStyle name="20% - Accent5 5 4 25" xfId="18052"/>
    <cellStyle name="20% - Accent5 5 4 25 2" xfId="40827"/>
    <cellStyle name="20% - Accent5 5 4 26" xfId="18708"/>
    <cellStyle name="20% - Accent5 5 4 26 2" xfId="41483"/>
    <cellStyle name="20% - Accent5 5 4 27" xfId="19364"/>
    <cellStyle name="20% - Accent5 5 4 27 2" xfId="42139"/>
    <cellStyle name="20% - Accent5 5 4 28" xfId="20020"/>
    <cellStyle name="20% - Accent5 5 4 28 2" xfId="42795"/>
    <cellStyle name="20% - Accent5 5 4 29" xfId="20676"/>
    <cellStyle name="20% - Accent5 5 4 29 2" xfId="43451"/>
    <cellStyle name="20% - Accent5 5 4 3" xfId="1980"/>
    <cellStyle name="20% - Accent5 5 4 3 2" xfId="4276"/>
    <cellStyle name="20% - Accent5 5 4 3 2 2" xfId="27051"/>
    <cellStyle name="20% - Accent5 5 4 3 3" xfId="24755"/>
    <cellStyle name="20% - Accent5 5 4 30" xfId="21332"/>
    <cellStyle name="20% - Accent5 5 4 30 2" xfId="44107"/>
    <cellStyle name="20% - Accent5 5 4 31" xfId="21988"/>
    <cellStyle name="20% - Accent5 5 4 31 2" xfId="44763"/>
    <cellStyle name="20% - Accent5 5 4 32" xfId="22644"/>
    <cellStyle name="20% - Accent5 5 4 32 2" xfId="45419"/>
    <cellStyle name="20% - Accent5 5 4 33" xfId="23443"/>
    <cellStyle name="20% - Accent5 5 4 4" xfId="4932"/>
    <cellStyle name="20% - Accent5 5 4 4 2" xfId="27707"/>
    <cellStyle name="20% - Accent5 5 4 5" xfId="5588"/>
    <cellStyle name="20% - Accent5 5 4 5 2" xfId="28363"/>
    <cellStyle name="20% - Accent5 5 4 6" xfId="6244"/>
    <cellStyle name="20% - Accent5 5 4 6 2" xfId="29019"/>
    <cellStyle name="20% - Accent5 5 4 7" xfId="2964"/>
    <cellStyle name="20% - Accent5 5 4 7 2" xfId="25739"/>
    <cellStyle name="20% - Accent5 5 4 8" xfId="6900"/>
    <cellStyle name="20% - Accent5 5 4 8 2" xfId="29675"/>
    <cellStyle name="20% - Accent5 5 4 9" xfId="7556"/>
    <cellStyle name="20% - Accent5 5 4 9 2" xfId="30331"/>
    <cellStyle name="20% - Accent5 5 5" xfId="341"/>
    <cellStyle name="20% - Accent5 5 5 2" xfId="2636"/>
    <cellStyle name="20% - Accent5 5 5 2 2" xfId="25411"/>
    <cellStyle name="20% - Accent5 5 5 3" xfId="23115"/>
    <cellStyle name="20% - Accent5 5 6" xfId="996"/>
    <cellStyle name="20% - Accent5 5 6 2" xfId="3292"/>
    <cellStyle name="20% - Accent5 5 6 2 2" xfId="26067"/>
    <cellStyle name="20% - Accent5 5 6 3" xfId="23771"/>
    <cellStyle name="20% - Accent5 5 7" xfId="1652"/>
    <cellStyle name="20% - Accent5 5 7 2" xfId="3948"/>
    <cellStyle name="20% - Accent5 5 7 2 2" xfId="26723"/>
    <cellStyle name="20% - Accent5 5 7 3" xfId="24427"/>
    <cellStyle name="20% - Accent5 5 8" xfId="4604"/>
    <cellStyle name="20% - Accent5 5 8 2" xfId="27379"/>
    <cellStyle name="20% - Accent5 5 9" xfId="5260"/>
    <cellStyle name="20% - Accent5 5 9 2" xfId="28035"/>
    <cellStyle name="20% - Accent5 6" xfId="123"/>
    <cellStyle name="20% - Accent5 6 10" xfId="2321"/>
    <cellStyle name="20% - Accent5 6 10 2" xfId="25096"/>
    <cellStyle name="20% - Accent5 6 11" xfId="6585"/>
    <cellStyle name="20% - Accent5 6 11 2" xfId="29360"/>
    <cellStyle name="20% - Accent5 6 12" xfId="7241"/>
    <cellStyle name="20% - Accent5 6 12 2" xfId="30016"/>
    <cellStyle name="20% - Accent5 6 13" xfId="7897"/>
    <cellStyle name="20% - Accent5 6 13 2" xfId="30672"/>
    <cellStyle name="20% - Accent5 6 14" xfId="8553"/>
    <cellStyle name="20% - Accent5 6 14 2" xfId="31328"/>
    <cellStyle name="20% - Accent5 6 15" xfId="9209"/>
    <cellStyle name="20% - Accent5 6 15 2" xfId="31984"/>
    <cellStyle name="20% - Accent5 6 16" xfId="9865"/>
    <cellStyle name="20% - Accent5 6 16 2" xfId="32640"/>
    <cellStyle name="20% - Accent5 6 17" xfId="10521"/>
    <cellStyle name="20% - Accent5 6 17 2" xfId="33296"/>
    <cellStyle name="20% - Accent5 6 18" xfId="11177"/>
    <cellStyle name="20% - Accent5 6 18 2" xfId="33952"/>
    <cellStyle name="20% - Accent5 6 19" xfId="11833"/>
    <cellStyle name="20% - Accent5 6 19 2" xfId="34608"/>
    <cellStyle name="20% - Accent5 6 2" xfId="537"/>
    <cellStyle name="20% - Accent5 6 2 10" xfId="6770"/>
    <cellStyle name="20% - Accent5 6 2 10 2" xfId="29545"/>
    <cellStyle name="20% - Accent5 6 2 11" xfId="7426"/>
    <cellStyle name="20% - Accent5 6 2 11 2" xfId="30201"/>
    <cellStyle name="20% - Accent5 6 2 12" xfId="8082"/>
    <cellStyle name="20% - Accent5 6 2 12 2" xfId="30857"/>
    <cellStyle name="20% - Accent5 6 2 13" xfId="8738"/>
    <cellStyle name="20% - Accent5 6 2 13 2" xfId="31513"/>
    <cellStyle name="20% - Accent5 6 2 14" xfId="9394"/>
    <cellStyle name="20% - Accent5 6 2 14 2" xfId="32169"/>
    <cellStyle name="20% - Accent5 6 2 15" xfId="10050"/>
    <cellStyle name="20% - Accent5 6 2 15 2" xfId="32825"/>
    <cellStyle name="20% - Accent5 6 2 16" xfId="10706"/>
    <cellStyle name="20% - Accent5 6 2 16 2" xfId="33481"/>
    <cellStyle name="20% - Accent5 6 2 17" xfId="11362"/>
    <cellStyle name="20% - Accent5 6 2 17 2" xfId="34137"/>
    <cellStyle name="20% - Accent5 6 2 18" xfId="12018"/>
    <cellStyle name="20% - Accent5 6 2 18 2" xfId="34793"/>
    <cellStyle name="20% - Accent5 6 2 19" xfId="12674"/>
    <cellStyle name="20% - Accent5 6 2 19 2" xfId="35449"/>
    <cellStyle name="20% - Accent5 6 2 2" xfId="866"/>
    <cellStyle name="20% - Accent5 6 2 2 10" xfId="8410"/>
    <cellStyle name="20% - Accent5 6 2 2 10 2" xfId="31185"/>
    <cellStyle name="20% - Accent5 6 2 2 11" xfId="9066"/>
    <cellStyle name="20% - Accent5 6 2 2 11 2" xfId="31841"/>
    <cellStyle name="20% - Accent5 6 2 2 12" xfId="9722"/>
    <cellStyle name="20% - Accent5 6 2 2 12 2" xfId="32497"/>
    <cellStyle name="20% - Accent5 6 2 2 13" xfId="10378"/>
    <cellStyle name="20% - Accent5 6 2 2 13 2" xfId="33153"/>
    <cellStyle name="20% - Accent5 6 2 2 14" xfId="11034"/>
    <cellStyle name="20% - Accent5 6 2 2 14 2" xfId="33809"/>
    <cellStyle name="20% - Accent5 6 2 2 15" xfId="11690"/>
    <cellStyle name="20% - Accent5 6 2 2 15 2" xfId="34465"/>
    <cellStyle name="20% - Accent5 6 2 2 16" xfId="12346"/>
    <cellStyle name="20% - Accent5 6 2 2 16 2" xfId="35121"/>
    <cellStyle name="20% - Accent5 6 2 2 17" xfId="13002"/>
    <cellStyle name="20% - Accent5 6 2 2 17 2" xfId="35777"/>
    <cellStyle name="20% - Accent5 6 2 2 18" xfId="13658"/>
    <cellStyle name="20% - Accent5 6 2 2 18 2" xfId="36433"/>
    <cellStyle name="20% - Accent5 6 2 2 19" xfId="14314"/>
    <cellStyle name="20% - Accent5 6 2 2 19 2" xfId="37089"/>
    <cellStyle name="20% - Accent5 6 2 2 2" xfId="1522"/>
    <cellStyle name="20% - Accent5 6 2 2 2 2" xfId="3818"/>
    <cellStyle name="20% - Accent5 6 2 2 2 2 2" xfId="26593"/>
    <cellStyle name="20% - Accent5 6 2 2 2 3" xfId="24297"/>
    <cellStyle name="20% - Accent5 6 2 2 20" xfId="14970"/>
    <cellStyle name="20% - Accent5 6 2 2 20 2" xfId="37745"/>
    <cellStyle name="20% - Accent5 6 2 2 21" xfId="15626"/>
    <cellStyle name="20% - Accent5 6 2 2 21 2" xfId="38401"/>
    <cellStyle name="20% - Accent5 6 2 2 22" xfId="16282"/>
    <cellStyle name="20% - Accent5 6 2 2 22 2" xfId="39057"/>
    <cellStyle name="20% - Accent5 6 2 2 23" xfId="16938"/>
    <cellStyle name="20% - Accent5 6 2 2 23 2" xfId="39713"/>
    <cellStyle name="20% - Accent5 6 2 2 24" xfId="17594"/>
    <cellStyle name="20% - Accent5 6 2 2 24 2" xfId="40369"/>
    <cellStyle name="20% - Accent5 6 2 2 25" xfId="18250"/>
    <cellStyle name="20% - Accent5 6 2 2 25 2" xfId="41025"/>
    <cellStyle name="20% - Accent5 6 2 2 26" xfId="18906"/>
    <cellStyle name="20% - Accent5 6 2 2 26 2" xfId="41681"/>
    <cellStyle name="20% - Accent5 6 2 2 27" xfId="19562"/>
    <cellStyle name="20% - Accent5 6 2 2 27 2" xfId="42337"/>
    <cellStyle name="20% - Accent5 6 2 2 28" xfId="20218"/>
    <cellStyle name="20% - Accent5 6 2 2 28 2" xfId="42993"/>
    <cellStyle name="20% - Accent5 6 2 2 29" xfId="20874"/>
    <cellStyle name="20% - Accent5 6 2 2 29 2" xfId="43649"/>
    <cellStyle name="20% - Accent5 6 2 2 3" xfId="2178"/>
    <cellStyle name="20% - Accent5 6 2 2 3 2" xfId="4474"/>
    <cellStyle name="20% - Accent5 6 2 2 3 2 2" xfId="27249"/>
    <cellStyle name="20% - Accent5 6 2 2 3 3" xfId="24953"/>
    <cellStyle name="20% - Accent5 6 2 2 30" xfId="21530"/>
    <cellStyle name="20% - Accent5 6 2 2 30 2" xfId="44305"/>
    <cellStyle name="20% - Accent5 6 2 2 31" xfId="22186"/>
    <cellStyle name="20% - Accent5 6 2 2 31 2" xfId="44961"/>
    <cellStyle name="20% - Accent5 6 2 2 32" xfId="22842"/>
    <cellStyle name="20% - Accent5 6 2 2 32 2" xfId="45617"/>
    <cellStyle name="20% - Accent5 6 2 2 33" xfId="23641"/>
    <cellStyle name="20% - Accent5 6 2 2 4" xfId="5130"/>
    <cellStyle name="20% - Accent5 6 2 2 4 2" xfId="27905"/>
    <cellStyle name="20% - Accent5 6 2 2 5" xfId="5786"/>
    <cellStyle name="20% - Accent5 6 2 2 5 2" xfId="28561"/>
    <cellStyle name="20% - Accent5 6 2 2 6" xfId="6442"/>
    <cellStyle name="20% - Accent5 6 2 2 6 2" xfId="29217"/>
    <cellStyle name="20% - Accent5 6 2 2 7" xfId="3162"/>
    <cellStyle name="20% - Accent5 6 2 2 7 2" xfId="25937"/>
    <cellStyle name="20% - Accent5 6 2 2 8" xfId="7098"/>
    <cellStyle name="20% - Accent5 6 2 2 8 2" xfId="29873"/>
    <cellStyle name="20% - Accent5 6 2 2 9" xfId="7754"/>
    <cellStyle name="20% - Accent5 6 2 2 9 2" xfId="30529"/>
    <cellStyle name="20% - Accent5 6 2 20" xfId="13330"/>
    <cellStyle name="20% - Accent5 6 2 20 2" xfId="36105"/>
    <cellStyle name="20% - Accent5 6 2 21" xfId="13986"/>
    <cellStyle name="20% - Accent5 6 2 21 2" xfId="36761"/>
    <cellStyle name="20% - Accent5 6 2 22" xfId="14642"/>
    <cellStyle name="20% - Accent5 6 2 22 2" xfId="37417"/>
    <cellStyle name="20% - Accent5 6 2 23" xfId="15298"/>
    <cellStyle name="20% - Accent5 6 2 23 2" xfId="38073"/>
    <cellStyle name="20% - Accent5 6 2 24" xfId="15954"/>
    <cellStyle name="20% - Accent5 6 2 24 2" xfId="38729"/>
    <cellStyle name="20% - Accent5 6 2 25" xfId="16610"/>
    <cellStyle name="20% - Accent5 6 2 25 2" xfId="39385"/>
    <cellStyle name="20% - Accent5 6 2 26" xfId="17266"/>
    <cellStyle name="20% - Accent5 6 2 26 2" xfId="40041"/>
    <cellStyle name="20% - Accent5 6 2 27" xfId="17922"/>
    <cellStyle name="20% - Accent5 6 2 27 2" xfId="40697"/>
    <cellStyle name="20% - Accent5 6 2 28" xfId="18578"/>
    <cellStyle name="20% - Accent5 6 2 28 2" xfId="41353"/>
    <cellStyle name="20% - Accent5 6 2 29" xfId="19234"/>
    <cellStyle name="20% - Accent5 6 2 29 2" xfId="42009"/>
    <cellStyle name="20% - Accent5 6 2 3" xfId="1194"/>
    <cellStyle name="20% - Accent5 6 2 3 2" xfId="2834"/>
    <cellStyle name="20% - Accent5 6 2 3 2 2" xfId="25609"/>
    <cellStyle name="20% - Accent5 6 2 3 3" xfId="23969"/>
    <cellStyle name="20% - Accent5 6 2 30" xfId="19890"/>
    <cellStyle name="20% - Accent5 6 2 30 2" xfId="42665"/>
    <cellStyle name="20% - Accent5 6 2 31" xfId="20546"/>
    <cellStyle name="20% - Accent5 6 2 31 2" xfId="43321"/>
    <cellStyle name="20% - Accent5 6 2 32" xfId="21202"/>
    <cellStyle name="20% - Accent5 6 2 32 2" xfId="43977"/>
    <cellStyle name="20% - Accent5 6 2 33" xfId="21858"/>
    <cellStyle name="20% - Accent5 6 2 33 2" xfId="44633"/>
    <cellStyle name="20% - Accent5 6 2 34" xfId="22514"/>
    <cellStyle name="20% - Accent5 6 2 34 2" xfId="45289"/>
    <cellStyle name="20% - Accent5 6 2 35" xfId="23313"/>
    <cellStyle name="20% - Accent5 6 2 4" xfId="1850"/>
    <cellStyle name="20% - Accent5 6 2 4 2" xfId="3490"/>
    <cellStyle name="20% - Accent5 6 2 4 2 2" xfId="26265"/>
    <cellStyle name="20% - Accent5 6 2 4 3" xfId="24625"/>
    <cellStyle name="20% - Accent5 6 2 5" xfId="4146"/>
    <cellStyle name="20% - Accent5 6 2 5 2" xfId="26921"/>
    <cellStyle name="20% - Accent5 6 2 6" xfId="4802"/>
    <cellStyle name="20% - Accent5 6 2 6 2" xfId="27577"/>
    <cellStyle name="20% - Accent5 6 2 7" xfId="5458"/>
    <cellStyle name="20% - Accent5 6 2 7 2" xfId="28233"/>
    <cellStyle name="20% - Accent5 6 2 8" xfId="6114"/>
    <cellStyle name="20% - Accent5 6 2 8 2" xfId="28889"/>
    <cellStyle name="20% - Accent5 6 2 9" xfId="2506"/>
    <cellStyle name="20% - Accent5 6 2 9 2" xfId="25281"/>
    <cellStyle name="20% - Accent5 6 20" xfId="12489"/>
    <cellStyle name="20% - Accent5 6 20 2" xfId="35264"/>
    <cellStyle name="20% - Accent5 6 21" xfId="13145"/>
    <cellStyle name="20% - Accent5 6 21 2" xfId="35920"/>
    <cellStyle name="20% - Accent5 6 22" xfId="13801"/>
    <cellStyle name="20% - Accent5 6 22 2" xfId="36576"/>
    <cellStyle name="20% - Accent5 6 23" xfId="14457"/>
    <cellStyle name="20% - Accent5 6 23 2" xfId="37232"/>
    <cellStyle name="20% - Accent5 6 24" xfId="15113"/>
    <cellStyle name="20% - Accent5 6 24 2" xfId="37888"/>
    <cellStyle name="20% - Accent5 6 25" xfId="15769"/>
    <cellStyle name="20% - Accent5 6 25 2" xfId="38544"/>
    <cellStyle name="20% - Accent5 6 26" xfId="16425"/>
    <cellStyle name="20% - Accent5 6 26 2" xfId="39200"/>
    <cellStyle name="20% - Accent5 6 27" xfId="17081"/>
    <cellStyle name="20% - Accent5 6 27 2" xfId="39856"/>
    <cellStyle name="20% - Accent5 6 28" xfId="17737"/>
    <cellStyle name="20% - Accent5 6 28 2" xfId="40512"/>
    <cellStyle name="20% - Accent5 6 29" xfId="18393"/>
    <cellStyle name="20% - Accent5 6 29 2" xfId="41168"/>
    <cellStyle name="20% - Accent5 6 3" xfId="681"/>
    <cellStyle name="20% - Accent5 6 3 10" xfId="8225"/>
    <cellStyle name="20% - Accent5 6 3 10 2" xfId="31000"/>
    <cellStyle name="20% - Accent5 6 3 11" xfId="8881"/>
    <cellStyle name="20% - Accent5 6 3 11 2" xfId="31656"/>
    <cellStyle name="20% - Accent5 6 3 12" xfId="9537"/>
    <cellStyle name="20% - Accent5 6 3 12 2" xfId="32312"/>
    <cellStyle name="20% - Accent5 6 3 13" xfId="10193"/>
    <cellStyle name="20% - Accent5 6 3 13 2" xfId="32968"/>
    <cellStyle name="20% - Accent5 6 3 14" xfId="10849"/>
    <cellStyle name="20% - Accent5 6 3 14 2" xfId="33624"/>
    <cellStyle name="20% - Accent5 6 3 15" xfId="11505"/>
    <cellStyle name="20% - Accent5 6 3 15 2" xfId="34280"/>
    <cellStyle name="20% - Accent5 6 3 16" xfId="12161"/>
    <cellStyle name="20% - Accent5 6 3 16 2" xfId="34936"/>
    <cellStyle name="20% - Accent5 6 3 17" xfId="12817"/>
    <cellStyle name="20% - Accent5 6 3 17 2" xfId="35592"/>
    <cellStyle name="20% - Accent5 6 3 18" xfId="13473"/>
    <cellStyle name="20% - Accent5 6 3 18 2" xfId="36248"/>
    <cellStyle name="20% - Accent5 6 3 19" xfId="14129"/>
    <cellStyle name="20% - Accent5 6 3 19 2" xfId="36904"/>
    <cellStyle name="20% - Accent5 6 3 2" xfId="1337"/>
    <cellStyle name="20% - Accent5 6 3 2 2" xfId="3633"/>
    <cellStyle name="20% - Accent5 6 3 2 2 2" xfId="26408"/>
    <cellStyle name="20% - Accent5 6 3 2 3" xfId="24112"/>
    <cellStyle name="20% - Accent5 6 3 20" xfId="14785"/>
    <cellStyle name="20% - Accent5 6 3 20 2" xfId="37560"/>
    <cellStyle name="20% - Accent5 6 3 21" xfId="15441"/>
    <cellStyle name="20% - Accent5 6 3 21 2" xfId="38216"/>
    <cellStyle name="20% - Accent5 6 3 22" xfId="16097"/>
    <cellStyle name="20% - Accent5 6 3 22 2" xfId="38872"/>
    <cellStyle name="20% - Accent5 6 3 23" xfId="16753"/>
    <cellStyle name="20% - Accent5 6 3 23 2" xfId="39528"/>
    <cellStyle name="20% - Accent5 6 3 24" xfId="17409"/>
    <cellStyle name="20% - Accent5 6 3 24 2" xfId="40184"/>
    <cellStyle name="20% - Accent5 6 3 25" xfId="18065"/>
    <cellStyle name="20% - Accent5 6 3 25 2" xfId="40840"/>
    <cellStyle name="20% - Accent5 6 3 26" xfId="18721"/>
    <cellStyle name="20% - Accent5 6 3 26 2" xfId="41496"/>
    <cellStyle name="20% - Accent5 6 3 27" xfId="19377"/>
    <cellStyle name="20% - Accent5 6 3 27 2" xfId="42152"/>
    <cellStyle name="20% - Accent5 6 3 28" xfId="20033"/>
    <cellStyle name="20% - Accent5 6 3 28 2" xfId="42808"/>
    <cellStyle name="20% - Accent5 6 3 29" xfId="20689"/>
    <cellStyle name="20% - Accent5 6 3 29 2" xfId="43464"/>
    <cellStyle name="20% - Accent5 6 3 3" xfId="1993"/>
    <cellStyle name="20% - Accent5 6 3 3 2" xfId="4289"/>
    <cellStyle name="20% - Accent5 6 3 3 2 2" xfId="27064"/>
    <cellStyle name="20% - Accent5 6 3 3 3" xfId="24768"/>
    <cellStyle name="20% - Accent5 6 3 30" xfId="21345"/>
    <cellStyle name="20% - Accent5 6 3 30 2" xfId="44120"/>
    <cellStyle name="20% - Accent5 6 3 31" xfId="22001"/>
    <cellStyle name="20% - Accent5 6 3 31 2" xfId="44776"/>
    <cellStyle name="20% - Accent5 6 3 32" xfId="22657"/>
    <cellStyle name="20% - Accent5 6 3 32 2" xfId="45432"/>
    <cellStyle name="20% - Accent5 6 3 33" xfId="23456"/>
    <cellStyle name="20% - Accent5 6 3 4" xfId="4945"/>
    <cellStyle name="20% - Accent5 6 3 4 2" xfId="27720"/>
    <cellStyle name="20% - Accent5 6 3 5" xfId="5601"/>
    <cellStyle name="20% - Accent5 6 3 5 2" xfId="28376"/>
    <cellStyle name="20% - Accent5 6 3 6" xfId="6257"/>
    <cellStyle name="20% - Accent5 6 3 6 2" xfId="29032"/>
    <cellStyle name="20% - Accent5 6 3 7" xfId="2977"/>
    <cellStyle name="20% - Accent5 6 3 7 2" xfId="25752"/>
    <cellStyle name="20% - Accent5 6 3 8" xfId="6913"/>
    <cellStyle name="20% - Accent5 6 3 8 2" xfId="29688"/>
    <cellStyle name="20% - Accent5 6 3 9" xfId="7569"/>
    <cellStyle name="20% - Accent5 6 3 9 2" xfId="30344"/>
    <cellStyle name="20% - Accent5 6 30" xfId="19049"/>
    <cellStyle name="20% - Accent5 6 30 2" xfId="41824"/>
    <cellStyle name="20% - Accent5 6 31" xfId="19705"/>
    <cellStyle name="20% - Accent5 6 31 2" xfId="42480"/>
    <cellStyle name="20% - Accent5 6 32" xfId="20361"/>
    <cellStyle name="20% - Accent5 6 32 2" xfId="43136"/>
    <cellStyle name="20% - Accent5 6 33" xfId="21017"/>
    <cellStyle name="20% - Accent5 6 33 2" xfId="43792"/>
    <cellStyle name="20% - Accent5 6 34" xfId="21673"/>
    <cellStyle name="20% - Accent5 6 34 2" xfId="44448"/>
    <cellStyle name="20% - Accent5 6 35" xfId="22329"/>
    <cellStyle name="20% - Accent5 6 35 2" xfId="45104"/>
    <cellStyle name="20% - Accent5 6 36" xfId="268"/>
    <cellStyle name="20% - Accent5 6 37" xfId="22985"/>
    <cellStyle name="20% - Accent5 6 4" xfId="354"/>
    <cellStyle name="20% - Accent5 6 4 2" xfId="2649"/>
    <cellStyle name="20% - Accent5 6 4 2 2" xfId="25424"/>
    <cellStyle name="20% - Accent5 6 4 3" xfId="23128"/>
    <cellStyle name="20% - Accent5 6 5" xfId="1009"/>
    <cellStyle name="20% - Accent5 6 5 2" xfId="3305"/>
    <cellStyle name="20% - Accent5 6 5 2 2" xfId="26080"/>
    <cellStyle name="20% - Accent5 6 5 3" xfId="23784"/>
    <cellStyle name="20% - Accent5 6 6" xfId="1665"/>
    <cellStyle name="20% - Accent5 6 6 2" xfId="3961"/>
    <cellStyle name="20% - Accent5 6 6 2 2" xfId="26736"/>
    <cellStyle name="20% - Accent5 6 6 3" xfId="24440"/>
    <cellStyle name="20% - Accent5 6 7" xfId="4617"/>
    <cellStyle name="20% - Accent5 6 7 2" xfId="27392"/>
    <cellStyle name="20% - Accent5 6 8" xfId="5273"/>
    <cellStyle name="20% - Accent5 6 8 2" xfId="28048"/>
    <cellStyle name="20% - Accent5 6 9" xfId="5929"/>
    <cellStyle name="20% - Accent5 6 9 2" xfId="28704"/>
    <cellStyle name="20% - Accent5 7" xfId="427"/>
    <cellStyle name="20% - Accent5 7 10" xfId="6658"/>
    <cellStyle name="20% - Accent5 7 10 2" xfId="29433"/>
    <cellStyle name="20% - Accent5 7 11" xfId="7314"/>
    <cellStyle name="20% - Accent5 7 11 2" xfId="30089"/>
    <cellStyle name="20% - Accent5 7 12" xfId="7970"/>
    <cellStyle name="20% - Accent5 7 12 2" xfId="30745"/>
    <cellStyle name="20% - Accent5 7 13" xfId="8626"/>
    <cellStyle name="20% - Accent5 7 13 2" xfId="31401"/>
    <cellStyle name="20% - Accent5 7 14" xfId="9282"/>
    <cellStyle name="20% - Accent5 7 14 2" xfId="32057"/>
    <cellStyle name="20% - Accent5 7 15" xfId="9938"/>
    <cellStyle name="20% - Accent5 7 15 2" xfId="32713"/>
    <cellStyle name="20% - Accent5 7 16" xfId="10594"/>
    <cellStyle name="20% - Accent5 7 16 2" xfId="33369"/>
    <cellStyle name="20% - Accent5 7 17" xfId="11250"/>
    <cellStyle name="20% - Accent5 7 17 2" xfId="34025"/>
    <cellStyle name="20% - Accent5 7 18" xfId="11906"/>
    <cellStyle name="20% - Accent5 7 18 2" xfId="34681"/>
    <cellStyle name="20% - Accent5 7 19" xfId="12562"/>
    <cellStyle name="20% - Accent5 7 19 2" xfId="35337"/>
    <cellStyle name="20% - Accent5 7 2" xfId="754"/>
    <cellStyle name="20% - Accent5 7 2 10" xfId="8298"/>
    <cellStyle name="20% - Accent5 7 2 10 2" xfId="31073"/>
    <cellStyle name="20% - Accent5 7 2 11" xfId="8954"/>
    <cellStyle name="20% - Accent5 7 2 11 2" xfId="31729"/>
    <cellStyle name="20% - Accent5 7 2 12" xfId="9610"/>
    <cellStyle name="20% - Accent5 7 2 12 2" xfId="32385"/>
    <cellStyle name="20% - Accent5 7 2 13" xfId="10266"/>
    <cellStyle name="20% - Accent5 7 2 13 2" xfId="33041"/>
    <cellStyle name="20% - Accent5 7 2 14" xfId="10922"/>
    <cellStyle name="20% - Accent5 7 2 14 2" xfId="33697"/>
    <cellStyle name="20% - Accent5 7 2 15" xfId="11578"/>
    <cellStyle name="20% - Accent5 7 2 15 2" xfId="34353"/>
    <cellStyle name="20% - Accent5 7 2 16" xfId="12234"/>
    <cellStyle name="20% - Accent5 7 2 16 2" xfId="35009"/>
    <cellStyle name="20% - Accent5 7 2 17" xfId="12890"/>
    <cellStyle name="20% - Accent5 7 2 17 2" xfId="35665"/>
    <cellStyle name="20% - Accent5 7 2 18" xfId="13546"/>
    <cellStyle name="20% - Accent5 7 2 18 2" xfId="36321"/>
    <cellStyle name="20% - Accent5 7 2 19" xfId="14202"/>
    <cellStyle name="20% - Accent5 7 2 19 2" xfId="36977"/>
    <cellStyle name="20% - Accent5 7 2 2" xfId="1410"/>
    <cellStyle name="20% - Accent5 7 2 2 2" xfId="3706"/>
    <cellStyle name="20% - Accent5 7 2 2 2 2" xfId="26481"/>
    <cellStyle name="20% - Accent5 7 2 2 3" xfId="24185"/>
    <cellStyle name="20% - Accent5 7 2 20" xfId="14858"/>
    <cellStyle name="20% - Accent5 7 2 20 2" xfId="37633"/>
    <cellStyle name="20% - Accent5 7 2 21" xfId="15514"/>
    <cellStyle name="20% - Accent5 7 2 21 2" xfId="38289"/>
    <cellStyle name="20% - Accent5 7 2 22" xfId="16170"/>
    <cellStyle name="20% - Accent5 7 2 22 2" xfId="38945"/>
    <cellStyle name="20% - Accent5 7 2 23" xfId="16826"/>
    <cellStyle name="20% - Accent5 7 2 23 2" xfId="39601"/>
    <cellStyle name="20% - Accent5 7 2 24" xfId="17482"/>
    <cellStyle name="20% - Accent5 7 2 24 2" xfId="40257"/>
    <cellStyle name="20% - Accent5 7 2 25" xfId="18138"/>
    <cellStyle name="20% - Accent5 7 2 25 2" xfId="40913"/>
    <cellStyle name="20% - Accent5 7 2 26" xfId="18794"/>
    <cellStyle name="20% - Accent5 7 2 26 2" xfId="41569"/>
    <cellStyle name="20% - Accent5 7 2 27" xfId="19450"/>
    <cellStyle name="20% - Accent5 7 2 27 2" xfId="42225"/>
    <cellStyle name="20% - Accent5 7 2 28" xfId="20106"/>
    <cellStyle name="20% - Accent5 7 2 28 2" xfId="42881"/>
    <cellStyle name="20% - Accent5 7 2 29" xfId="20762"/>
    <cellStyle name="20% - Accent5 7 2 29 2" xfId="43537"/>
    <cellStyle name="20% - Accent5 7 2 3" xfId="2066"/>
    <cellStyle name="20% - Accent5 7 2 3 2" xfId="4362"/>
    <cellStyle name="20% - Accent5 7 2 3 2 2" xfId="27137"/>
    <cellStyle name="20% - Accent5 7 2 3 3" xfId="24841"/>
    <cellStyle name="20% - Accent5 7 2 30" xfId="21418"/>
    <cellStyle name="20% - Accent5 7 2 30 2" xfId="44193"/>
    <cellStyle name="20% - Accent5 7 2 31" xfId="22074"/>
    <cellStyle name="20% - Accent5 7 2 31 2" xfId="44849"/>
    <cellStyle name="20% - Accent5 7 2 32" xfId="22730"/>
    <cellStyle name="20% - Accent5 7 2 32 2" xfId="45505"/>
    <cellStyle name="20% - Accent5 7 2 33" xfId="23529"/>
    <cellStyle name="20% - Accent5 7 2 4" xfId="5018"/>
    <cellStyle name="20% - Accent5 7 2 4 2" xfId="27793"/>
    <cellStyle name="20% - Accent5 7 2 5" xfId="5674"/>
    <cellStyle name="20% - Accent5 7 2 5 2" xfId="28449"/>
    <cellStyle name="20% - Accent5 7 2 6" xfId="6330"/>
    <cellStyle name="20% - Accent5 7 2 6 2" xfId="29105"/>
    <cellStyle name="20% - Accent5 7 2 7" xfId="3050"/>
    <cellStyle name="20% - Accent5 7 2 7 2" xfId="25825"/>
    <cellStyle name="20% - Accent5 7 2 8" xfId="6986"/>
    <cellStyle name="20% - Accent5 7 2 8 2" xfId="29761"/>
    <cellStyle name="20% - Accent5 7 2 9" xfId="7642"/>
    <cellStyle name="20% - Accent5 7 2 9 2" xfId="30417"/>
    <cellStyle name="20% - Accent5 7 20" xfId="13218"/>
    <cellStyle name="20% - Accent5 7 20 2" xfId="35993"/>
    <cellStyle name="20% - Accent5 7 21" xfId="13874"/>
    <cellStyle name="20% - Accent5 7 21 2" xfId="36649"/>
    <cellStyle name="20% - Accent5 7 22" xfId="14530"/>
    <cellStyle name="20% - Accent5 7 22 2" xfId="37305"/>
    <cellStyle name="20% - Accent5 7 23" xfId="15186"/>
    <cellStyle name="20% - Accent5 7 23 2" xfId="37961"/>
    <cellStyle name="20% - Accent5 7 24" xfId="15842"/>
    <cellStyle name="20% - Accent5 7 24 2" xfId="38617"/>
    <cellStyle name="20% - Accent5 7 25" xfId="16498"/>
    <cellStyle name="20% - Accent5 7 25 2" xfId="39273"/>
    <cellStyle name="20% - Accent5 7 26" xfId="17154"/>
    <cellStyle name="20% - Accent5 7 26 2" xfId="39929"/>
    <cellStyle name="20% - Accent5 7 27" xfId="17810"/>
    <cellStyle name="20% - Accent5 7 27 2" xfId="40585"/>
    <cellStyle name="20% - Accent5 7 28" xfId="18466"/>
    <cellStyle name="20% - Accent5 7 28 2" xfId="41241"/>
    <cellStyle name="20% - Accent5 7 29" xfId="19122"/>
    <cellStyle name="20% - Accent5 7 29 2" xfId="41897"/>
    <cellStyle name="20% - Accent5 7 3" xfId="1082"/>
    <cellStyle name="20% - Accent5 7 3 2" xfId="2722"/>
    <cellStyle name="20% - Accent5 7 3 2 2" xfId="25497"/>
    <cellStyle name="20% - Accent5 7 3 3" xfId="23857"/>
    <cellStyle name="20% - Accent5 7 30" xfId="19778"/>
    <cellStyle name="20% - Accent5 7 30 2" xfId="42553"/>
    <cellStyle name="20% - Accent5 7 31" xfId="20434"/>
    <cellStyle name="20% - Accent5 7 31 2" xfId="43209"/>
    <cellStyle name="20% - Accent5 7 32" xfId="21090"/>
    <cellStyle name="20% - Accent5 7 32 2" xfId="43865"/>
    <cellStyle name="20% - Accent5 7 33" xfId="21746"/>
    <cellStyle name="20% - Accent5 7 33 2" xfId="44521"/>
    <cellStyle name="20% - Accent5 7 34" xfId="22402"/>
    <cellStyle name="20% - Accent5 7 34 2" xfId="45177"/>
    <cellStyle name="20% - Accent5 7 35" xfId="23201"/>
    <cellStyle name="20% - Accent5 7 4" xfId="1738"/>
    <cellStyle name="20% - Accent5 7 4 2" xfId="3378"/>
    <cellStyle name="20% - Accent5 7 4 2 2" xfId="26153"/>
    <cellStyle name="20% - Accent5 7 4 3" xfId="24513"/>
    <cellStyle name="20% - Accent5 7 5" xfId="4034"/>
    <cellStyle name="20% - Accent5 7 5 2" xfId="26809"/>
    <cellStyle name="20% - Accent5 7 6" xfId="4690"/>
    <cellStyle name="20% - Accent5 7 6 2" xfId="27465"/>
    <cellStyle name="20% - Accent5 7 7" xfId="5346"/>
    <cellStyle name="20% - Accent5 7 7 2" xfId="28121"/>
    <cellStyle name="20% - Accent5 7 8" xfId="6002"/>
    <cellStyle name="20% - Accent5 7 8 2" xfId="28777"/>
    <cellStyle name="20% - Accent5 7 9" xfId="2394"/>
    <cellStyle name="20% - Accent5 7 9 2" xfId="25169"/>
    <cellStyle name="20% - Accent5 8" xfId="441"/>
    <cellStyle name="20% - Accent5 8 10" xfId="6672"/>
    <cellStyle name="20% - Accent5 8 10 2" xfId="29447"/>
    <cellStyle name="20% - Accent5 8 11" xfId="7328"/>
    <cellStyle name="20% - Accent5 8 11 2" xfId="30103"/>
    <cellStyle name="20% - Accent5 8 12" xfId="7984"/>
    <cellStyle name="20% - Accent5 8 12 2" xfId="30759"/>
    <cellStyle name="20% - Accent5 8 13" xfId="8640"/>
    <cellStyle name="20% - Accent5 8 13 2" xfId="31415"/>
    <cellStyle name="20% - Accent5 8 14" xfId="9296"/>
    <cellStyle name="20% - Accent5 8 14 2" xfId="32071"/>
    <cellStyle name="20% - Accent5 8 15" xfId="9952"/>
    <cellStyle name="20% - Accent5 8 15 2" xfId="32727"/>
    <cellStyle name="20% - Accent5 8 16" xfId="10608"/>
    <cellStyle name="20% - Accent5 8 16 2" xfId="33383"/>
    <cellStyle name="20% - Accent5 8 17" xfId="11264"/>
    <cellStyle name="20% - Accent5 8 17 2" xfId="34039"/>
    <cellStyle name="20% - Accent5 8 18" xfId="11920"/>
    <cellStyle name="20% - Accent5 8 18 2" xfId="34695"/>
    <cellStyle name="20% - Accent5 8 19" xfId="12576"/>
    <cellStyle name="20% - Accent5 8 19 2" xfId="35351"/>
    <cellStyle name="20% - Accent5 8 2" xfId="768"/>
    <cellStyle name="20% - Accent5 8 2 10" xfId="8312"/>
    <cellStyle name="20% - Accent5 8 2 10 2" xfId="31087"/>
    <cellStyle name="20% - Accent5 8 2 11" xfId="8968"/>
    <cellStyle name="20% - Accent5 8 2 11 2" xfId="31743"/>
    <cellStyle name="20% - Accent5 8 2 12" xfId="9624"/>
    <cellStyle name="20% - Accent5 8 2 12 2" xfId="32399"/>
    <cellStyle name="20% - Accent5 8 2 13" xfId="10280"/>
    <cellStyle name="20% - Accent5 8 2 13 2" xfId="33055"/>
    <cellStyle name="20% - Accent5 8 2 14" xfId="10936"/>
    <cellStyle name="20% - Accent5 8 2 14 2" xfId="33711"/>
    <cellStyle name="20% - Accent5 8 2 15" xfId="11592"/>
    <cellStyle name="20% - Accent5 8 2 15 2" xfId="34367"/>
    <cellStyle name="20% - Accent5 8 2 16" xfId="12248"/>
    <cellStyle name="20% - Accent5 8 2 16 2" xfId="35023"/>
    <cellStyle name="20% - Accent5 8 2 17" xfId="12904"/>
    <cellStyle name="20% - Accent5 8 2 17 2" xfId="35679"/>
    <cellStyle name="20% - Accent5 8 2 18" xfId="13560"/>
    <cellStyle name="20% - Accent5 8 2 18 2" xfId="36335"/>
    <cellStyle name="20% - Accent5 8 2 19" xfId="14216"/>
    <cellStyle name="20% - Accent5 8 2 19 2" xfId="36991"/>
    <cellStyle name="20% - Accent5 8 2 2" xfId="1424"/>
    <cellStyle name="20% - Accent5 8 2 2 2" xfId="3720"/>
    <cellStyle name="20% - Accent5 8 2 2 2 2" xfId="26495"/>
    <cellStyle name="20% - Accent5 8 2 2 3" xfId="24199"/>
    <cellStyle name="20% - Accent5 8 2 20" xfId="14872"/>
    <cellStyle name="20% - Accent5 8 2 20 2" xfId="37647"/>
    <cellStyle name="20% - Accent5 8 2 21" xfId="15528"/>
    <cellStyle name="20% - Accent5 8 2 21 2" xfId="38303"/>
    <cellStyle name="20% - Accent5 8 2 22" xfId="16184"/>
    <cellStyle name="20% - Accent5 8 2 22 2" xfId="38959"/>
    <cellStyle name="20% - Accent5 8 2 23" xfId="16840"/>
    <cellStyle name="20% - Accent5 8 2 23 2" xfId="39615"/>
    <cellStyle name="20% - Accent5 8 2 24" xfId="17496"/>
    <cellStyle name="20% - Accent5 8 2 24 2" xfId="40271"/>
    <cellStyle name="20% - Accent5 8 2 25" xfId="18152"/>
    <cellStyle name="20% - Accent5 8 2 25 2" xfId="40927"/>
    <cellStyle name="20% - Accent5 8 2 26" xfId="18808"/>
    <cellStyle name="20% - Accent5 8 2 26 2" xfId="41583"/>
    <cellStyle name="20% - Accent5 8 2 27" xfId="19464"/>
    <cellStyle name="20% - Accent5 8 2 27 2" xfId="42239"/>
    <cellStyle name="20% - Accent5 8 2 28" xfId="20120"/>
    <cellStyle name="20% - Accent5 8 2 28 2" xfId="42895"/>
    <cellStyle name="20% - Accent5 8 2 29" xfId="20776"/>
    <cellStyle name="20% - Accent5 8 2 29 2" xfId="43551"/>
    <cellStyle name="20% - Accent5 8 2 3" xfId="2080"/>
    <cellStyle name="20% - Accent5 8 2 3 2" xfId="4376"/>
    <cellStyle name="20% - Accent5 8 2 3 2 2" xfId="27151"/>
    <cellStyle name="20% - Accent5 8 2 3 3" xfId="24855"/>
    <cellStyle name="20% - Accent5 8 2 30" xfId="21432"/>
    <cellStyle name="20% - Accent5 8 2 30 2" xfId="44207"/>
    <cellStyle name="20% - Accent5 8 2 31" xfId="22088"/>
    <cellStyle name="20% - Accent5 8 2 31 2" xfId="44863"/>
    <cellStyle name="20% - Accent5 8 2 32" xfId="22744"/>
    <cellStyle name="20% - Accent5 8 2 32 2" xfId="45519"/>
    <cellStyle name="20% - Accent5 8 2 33" xfId="23543"/>
    <cellStyle name="20% - Accent5 8 2 4" xfId="5032"/>
    <cellStyle name="20% - Accent5 8 2 4 2" xfId="27807"/>
    <cellStyle name="20% - Accent5 8 2 5" xfId="5688"/>
    <cellStyle name="20% - Accent5 8 2 5 2" xfId="28463"/>
    <cellStyle name="20% - Accent5 8 2 6" xfId="6344"/>
    <cellStyle name="20% - Accent5 8 2 6 2" xfId="29119"/>
    <cellStyle name="20% - Accent5 8 2 7" xfId="3064"/>
    <cellStyle name="20% - Accent5 8 2 7 2" xfId="25839"/>
    <cellStyle name="20% - Accent5 8 2 8" xfId="7000"/>
    <cellStyle name="20% - Accent5 8 2 8 2" xfId="29775"/>
    <cellStyle name="20% - Accent5 8 2 9" xfId="7656"/>
    <cellStyle name="20% - Accent5 8 2 9 2" xfId="30431"/>
    <cellStyle name="20% - Accent5 8 20" xfId="13232"/>
    <cellStyle name="20% - Accent5 8 20 2" xfId="36007"/>
    <cellStyle name="20% - Accent5 8 21" xfId="13888"/>
    <cellStyle name="20% - Accent5 8 21 2" xfId="36663"/>
    <cellStyle name="20% - Accent5 8 22" xfId="14544"/>
    <cellStyle name="20% - Accent5 8 22 2" xfId="37319"/>
    <cellStyle name="20% - Accent5 8 23" xfId="15200"/>
    <cellStyle name="20% - Accent5 8 23 2" xfId="37975"/>
    <cellStyle name="20% - Accent5 8 24" xfId="15856"/>
    <cellStyle name="20% - Accent5 8 24 2" xfId="38631"/>
    <cellStyle name="20% - Accent5 8 25" xfId="16512"/>
    <cellStyle name="20% - Accent5 8 25 2" xfId="39287"/>
    <cellStyle name="20% - Accent5 8 26" xfId="17168"/>
    <cellStyle name="20% - Accent5 8 26 2" xfId="39943"/>
    <cellStyle name="20% - Accent5 8 27" xfId="17824"/>
    <cellStyle name="20% - Accent5 8 27 2" xfId="40599"/>
    <cellStyle name="20% - Accent5 8 28" xfId="18480"/>
    <cellStyle name="20% - Accent5 8 28 2" xfId="41255"/>
    <cellStyle name="20% - Accent5 8 29" xfId="19136"/>
    <cellStyle name="20% - Accent5 8 29 2" xfId="41911"/>
    <cellStyle name="20% - Accent5 8 3" xfId="1096"/>
    <cellStyle name="20% - Accent5 8 3 2" xfId="2736"/>
    <cellStyle name="20% - Accent5 8 3 2 2" xfId="25511"/>
    <cellStyle name="20% - Accent5 8 3 3" xfId="23871"/>
    <cellStyle name="20% - Accent5 8 30" xfId="19792"/>
    <cellStyle name="20% - Accent5 8 30 2" xfId="42567"/>
    <cellStyle name="20% - Accent5 8 31" xfId="20448"/>
    <cellStyle name="20% - Accent5 8 31 2" xfId="43223"/>
    <cellStyle name="20% - Accent5 8 32" xfId="21104"/>
    <cellStyle name="20% - Accent5 8 32 2" xfId="43879"/>
    <cellStyle name="20% - Accent5 8 33" xfId="21760"/>
    <cellStyle name="20% - Accent5 8 33 2" xfId="44535"/>
    <cellStyle name="20% - Accent5 8 34" xfId="22416"/>
    <cellStyle name="20% - Accent5 8 34 2" xfId="45191"/>
    <cellStyle name="20% - Accent5 8 35" xfId="23215"/>
    <cellStyle name="20% - Accent5 8 4" xfId="1752"/>
    <cellStyle name="20% - Accent5 8 4 2" xfId="3392"/>
    <cellStyle name="20% - Accent5 8 4 2 2" xfId="26167"/>
    <cellStyle name="20% - Accent5 8 4 3" xfId="24527"/>
    <cellStyle name="20% - Accent5 8 5" xfId="4048"/>
    <cellStyle name="20% - Accent5 8 5 2" xfId="26823"/>
    <cellStyle name="20% - Accent5 8 6" xfId="4704"/>
    <cellStyle name="20% - Accent5 8 6 2" xfId="27479"/>
    <cellStyle name="20% - Accent5 8 7" xfId="5360"/>
    <cellStyle name="20% - Accent5 8 7 2" xfId="28135"/>
    <cellStyle name="20% - Accent5 8 8" xfId="6016"/>
    <cellStyle name="20% - Accent5 8 8 2" xfId="28791"/>
    <cellStyle name="20% - Accent5 8 9" xfId="2408"/>
    <cellStyle name="20% - Accent5 8 9 2" xfId="25183"/>
    <cellStyle name="20% - Accent5 9" xfId="455"/>
    <cellStyle name="20% - Accent5 9 10" xfId="6686"/>
    <cellStyle name="20% - Accent5 9 10 2" xfId="29461"/>
    <cellStyle name="20% - Accent5 9 11" xfId="7342"/>
    <cellStyle name="20% - Accent5 9 11 2" xfId="30117"/>
    <cellStyle name="20% - Accent5 9 12" xfId="7998"/>
    <cellStyle name="20% - Accent5 9 12 2" xfId="30773"/>
    <cellStyle name="20% - Accent5 9 13" xfId="8654"/>
    <cellStyle name="20% - Accent5 9 13 2" xfId="31429"/>
    <cellStyle name="20% - Accent5 9 14" xfId="9310"/>
    <cellStyle name="20% - Accent5 9 14 2" xfId="32085"/>
    <cellStyle name="20% - Accent5 9 15" xfId="9966"/>
    <cellStyle name="20% - Accent5 9 15 2" xfId="32741"/>
    <cellStyle name="20% - Accent5 9 16" xfId="10622"/>
    <cellStyle name="20% - Accent5 9 16 2" xfId="33397"/>
    <cellStyle name="20% - Accent5 9 17" xfId="11278"/>
    <cellStyle name="20% - Accent5 9 17 2" xfId="34053"/>
    <cellStyle name="20% - Accent5 9 18" xfId="11934"/>
    <cellStyle name="20% - Accent5 9 18 2" xfId="34709"/>
    <cellStyle name="20% - Accent5 9 19" xfId="12590"/>
    <cellStyle name="20% - Accent5 9 19 2" xfId="35365"/>
    <cellStyle name="20% - Accent5 9 2" xfId="782"/>
    <cellStyle name="20% - Accent5 9 2 10" xfId="8326"/>
    <cellStyle name="20% - Accent5 9 2 10 2" xfId="31101"/>
    <cellStyle name="20% - Accent5 9 2 11" xfId="8982"/>
    <cellStyle name="20% - Accent5 9 2 11 2" xfId="31757"/>
    <cellStyle name="20% - Accent5 9 2 12" xfId="9638"/>
    <cellStyle name="20% - Accent5 9 2 12 2" xfId="32413"/>
    <cellStyle name="20% - Accent5 9 2 13" xfId="10294"/>
    <cellStyle name="20% - Accent5 9 2 13 2" xfId="33069"/>
    <cellStyle name="20% - Accent5 9 2 14" xfId="10950"/>
    <cellStyle name="20% - Accent5 9 2 14 2" xfId="33725"/>
    <cellStyle name="20% - Accent5 9 2 15" xfId="11606"/>
    <cellStyle name="20% - Accent5 9 2 15 2" xfId="34381"/>
    <cellStyle name="20% - Accent5 9 2 16" xfId="12262"/>
    <cellStyle name="20% - Accent5 9 2 16 2" xfId="35037"/>
    <cellStyle name="20% - Accent5 9 2 17" xfId="12918"/>
    <cellStyle name="20% - Accent5 9 2 17 2" xfId="35693"/>
    <cellStyle name="20% - Accent5 9 2 18" xfId="13574"/>
    <cellStyle name="20% - Accent5 9 2 18 2" xfId="36349"/>
    <cellStyle name="20% - Accent5 9 2 19" xfId="14230"/>
    <cellStyle name="20% - Accent5 9 2 19 2" xfId="37005"/>
    <cellStyle name="20% - Accent5 9 2 2" xfId="1438"/>
    <cellStyle name="20% - Accent5 9 2 2 2" xfId="3734"/>
    <cellStyle name="20% - Accent5 9 2 2 2 2" xfId="26509"/>
    <cellStyle name="20% - Accent5 9 2 2 3" xfId="24213"/>
    <cellStyle name="20% - Accent5 9 2 20" xfId="14886"/>
    <cellStyle name="20% - Accent5 9 2 20 2" xfId="37661"/>
    <cellStyle name="20% - Accent5 9 2 21" xfId="15542"/>
    <cellStyle name="20% - Accent5 9 2 21 2" xfId="38317"/>
    <cellStyle name="20% - Accent5 9 2 22" xfId="16198"/>
    <cellStyle name="20% - Accent5 9 2 22 2" xfId="38973"/>
    <cellStyle name="20% - Accent5 9 2 23" xfId="16854"/>
    <cellStyle name="20% - Accent5 9 2 23 2" xfId="39629"/>
    <cellStyle name="20% - Accent5 9 2 24" xfId="17510"/>
    <cellStyle name="20% - Accent5 9 2 24 2" xfId="40285"/>
    <cellStyle name="20% - Accent5 9 2 25" xfId="18166"/>
    <cellStyle name="20% - Accent5 9 2 25 2" xfId="40941"/>
    <cellStyle name="20% - Accent5 9 2 26" xfId="18822"/>
    <cellStyle name="20% - Accent5 9 2 26 2" xfId="41597"/>
    <cellStyle name="20% - Accent5 9 2 27" xfId="19478"/>
    <cellStyle name="20% - Accent5 9 2 27 2" xfId="42253"/>
    <cellStyle name="20% - Accent5 9 2 28" xfId="20134"/>
    <cellStyle name="20% - Accent5 9 2 28 2" xfId="42909"/>
    <cellStyle name="20% - Accent5 9 2 29" xfId="20790"/>
    <cellStyle name="20% - Accent5 9 2 29 2" xfId="43565"/>
    <cellStyle name="20% - Accent5 9 2 3" xfId="2094"/>
    <cellStyle name="20% - Accent5 9 2 3 2" xfId="4390"/>
    <cellStyle name="20% - Accent5 9 2 3 2 2" xfId="27165"/>
    <cellStyle name="20% - Accent5 9 2 3 3" xfId="24869"/>
    <cellStyle name="20% - Accent5 9 2 30" xfId="21446"/>
    <cellStyle name="20% - Accent5 9 2 30 2" xfId="44221"/>
    <cellStyle name="20% - Accent5 9 2 31" xfId="22102"/>
    <cellStyle name="20% - Accent5 9 2 31 2" xfId="44877"/>
    <cellStyle name="20% - Accent5 9 2 32" xfId="22758"/>
    <cellStyle name="20% - Accent5 9 2 32 2" xfId="45533"/>
    <cellStyle name="20% - Accent5 9 2 33" xfId="23557"/>
    <cellStyle name="20% - Accent5 9 2 4" xfId="5046"/>
    <cellStyle name="20% - Accent5 9 2 4 2" xfId="27821"/>
    <cellStyle name="20% - Accent5 9 2 5" xfId="5702"/>
    <cellStyle name="20% - Accent5 9 2 5 2" xfId="28477"/>
    <cellStyle name="20% - Accent5 9 2 6" xfId="6358"/>
    <cellStyle name="20% - Accent5 9 2 6 2" xfId="29133"/>
    <cellStyle name="20% - Accent5 9 2 7" xfId="3078"/>
    <cellStyle name="20% - Accent5 9 2 7 2" xfId="25853"/>
    <cellStyle name="20% - Accent5 9 2 8" xfId="7014"/>
    <cellStyle name="20% - Accent5 9 2 8 2" xfId="29789"/>
    <cellStyle name="20% - Accent5 9 2 9" xfId="7670"/>
    <cellStyle name="20% - Accent5 9 2 9 2" xfId="30445"/>
    <cellStyle name="20% - Accent5 9 20" xfId="13246"/>
    <cellStyle name="20% - Accent5 9 20 2" xfId="36021"/>
    <cellStyle name="20% - Accent5 9 21" xfId="13902"/>
    <cellStyle name="20% - Accent5 9 21 2" xfId="36677"/>
    <cellStyle name="20% - Accent5 9 22" xfId="14558"/>
    <cellStyle name="20% - Accent5 9 22 2" xfId="37333"/>
    <cellStyle name="20% - Accent5 9 23" xfId="15214"/>
    <cellStyle name="20% - Accent5 9 23 2" xfId="37989"/>
    <cellStyle name="20% - Accent5 9 24" xfId="15870"/>
    <cellStyle name="20% - Accent5 9 24 2" xfId="38645"/>
    <cellStyle name="20% - Accent5 9 25" xfId="16526"/>
    <cellStyle name="20% - Accent5 9 25 2" xfId="39301"/>
    <cellStyle name="20% - Accent5 9 26" xfId="17182"/>
    <cellStyle name="20% - Accent5 9 26 2" xfId="39957"/>
    <cellStyle name="20% - Accent5 9 27" xfId="17838"/>
    <cellStyle name="20% - Accent5 9 27 2" xfId="40613"/>
    <cellStyle name="20% - Accent5 9 28" xfId="18494"/>
    <cellStyle name="20% - Accent5 9 28 2" xfId="41269"/>
    <cellStyle name="20% - Accent5 9 29" xfId="19150"/>
    <cellStyle name="20% - Accent5 9 29 2" xfId="41925"/>
    <cellStyle name="20% - Accent5 9 3" xfId="1110"/>
    <cellStyle name="20% - Accent5 9 3 2" xfId="2750"/>
    <cellStyle name="20% - Accent5 9 3 2 2" xfId="25525"/>
    <cellStyle name="20% - Accent5 9 3 3" xfId="23885"/>
    <cellStyle name="20% - Accent5 9 30" xfId="19806"/>
    <cellStyle name="20% - Accent5 9 30 2" xfId="42581"/>
    <cellStyle name="20% - Accent5 9 31" xfId="20462"/>
    <cellStyle name="20% - Accent5 9 31 2" xfId="43237"/>
    <cellStyle name="20% - Accent5 9 32" xfId="21118"/>
    <cellStyle name="20% - Accent5 9 32 2" xfId="43893"/>
    <cellStyle name="20% - Accent5 9 33" xfId="21774"/>
    <cellStyle name="20% - Accent5 9 33 2" xfId="44549"/>
    <cellStyle name="20% - Accent5 9 34" xfId="22430"/>
    <cellStyle name="20% - Accent5 9 34 2" xfId="45205"/>
    <cellStyle name="20% - Accent5 9 35" xfId="23229"/>
    <cellStyle name="20% - Accent5 9 4" xfId="1766"/>
    <cellStyle name="20% - Accent5 9 4 2" xfId="3406"/>
    <cellStyle name="20% - Accent5 9 4 2 2" xfId="26181"/>
    <cellStyle name="20% - Accent5 9 4 3" xfId="24541"/>
    <cellStyle name="20% - Accent5 9 5" xfId="4062"/>
    <cellStyle name="20% - Accent5 9 5 2" xfId="26837"/>
    <cellStyle name="20% - Accent5 9 6" xfId="4718"/>
    <cellStyle name="20% - Accent5 9 6 2" xfId="27493"/>
    <cellStyle name="20% - Accent5 9 7" xfId="5374"/>
    <cellStyle name="20% - Accent5 9 7 2" xfId="28149"/>
    <cellStyle name="20% - Accent5 9 8" xfId="6030"/>
    <cellStyle name="20% - Accent5 9 8 2" xfId="28805"/>
    <cellStyle name="20% - Accent5 9 9" xfId="2422"/>
    <cellStyle name="20% - Accent5 9 9 2" xfId="25197"/>
    <cellStyle name="20% - Accent6" xfId="42" builtinId="50" customBuiltin="1"/>
    <cellStyle name="20% - Accent6 10" xfId="469"/>
    <cellStyle name="20% - Accent6 10 10" xfId="6700"/>
    <cellStyle name="20% - Accent6 10 10 2" xfId="29475"/>
    <cellStyle name="20% - Accent6 10 11" xfId="7356"/>
    <cellStyle name="20% - Accent6 10 11 2" xfId="30131"/>
    <cellStyle name="20% - Accent6 10 12" xfId="8012"/>
    <cellStyle name="20% - Accent6 10 12 2" xfId="30787"/>
    <cellStyle name="20% - Accent6 10 13" xfId="8668"/>
    <cellStyle name="20% - Accent6 10 13 2" xfId="31443"/>
    <cellStyle name="20% - Accent6 10 14" xfId="9324"/>
    <cellStyle name="20% - Accent6 10 14 2" xfId="32099"/>
    <cellStyle name="20% - Accent6 10 15" xfId="9980"/>
    <cellStyle name="20% - Accent6 10 15 2" xfId="32755"/>
    <cellStyle name="20% - Accent6 10 16" xfId="10636"/>
    <cellStyle name="20% - Accent6 10 16 2" xfId="33411"/>
    <cellStyle name="20% - Accent6 10 17" xfId="11292"/>
    <cellStyle name="20% - Accent6 10 17 2" xfId="34067"/>
    <cellStyle name="20% - Accent6 10 18" xfId="11948"/>
    <cellStyle name="20% - Accent6 10 18 2" xfId="34723"/>
    <cellStyle name="20% - Accent6 10 19" xfId="12604"/>
    <cellStyle name="20% - Accent6 10 19 2" xfId="35379"/>
    <cellStyle name="20% - Accent6 10 2" xfId="796"/>
    <cellStyle name="20% - Accent6 10 2 10" xfId="8340"/>
    <cellStyle name="20% - Accent6 10 2 10 2" xfId="31115"/>
    <cellStyle name="20% - Accent6 10 2 11" xfId="8996"/>
    <cellStyle name="20% - Accent6 10 2 11 2" xfId="31771"/>
    <cellStyle name="20% - Accent6 10 2 12" xfId="9652"/>
    <cellStyle name="20% - Accent6 10 2 12 2" xfId="32427"/>
    <cellStyle name="20% - Accent6 10 2 13" xfId="10308"/>
    <cellStyle name="20% - Accent6 10 2 13 2" xfId="33083"/>
    <cellStyle name="20% - Accent6 10 2 14" xfId="10964"/>
    <cellStyle name="20% - Accent6 10 2 14 2" xfId="33739"/>
    <cellStyle name="20% - Accent6 10 2 15" xfId="11620"/>
    <cellStyle name="20% - Accent6 10 2 15 2" xfId="34395"/>
    <cellStyle name="20% - Accent6 10 2 16" xfId="12276"/>
    <cellStyle name="20% - Accent6 10 2 16 2" xfId="35051"/>
    <cellStyle name="20% - Accent6 10 2 17" xfId="12932"/>
    <cellStyle name="20% - Accent6 10 2 17 2" xfId="35707"/>
    <cellStyle name="20% - Accent6 10 2 18" xfId="13588"/>
    <cellStyle name="20% - Accent6 10 2 18 2" xfId="36363"/>
    <cellStyle name="20% - Accent6 10 2 19" xfId="14244"/>
    <cellStyle name="20% - Accent6 10 2 19 2" xfId="37019"/>
    <cellStyle name="20% - Accent6 10 2 2" xfId="1452"/>
    <cellStyle name="20% - Accent6 10 2 2 2" xfId="3748"/>
    <cellStyle name="20% - Accent6 10 2 2 2 2" xfId="26523"/>
    <cellStyle name="20% - Accent6 10 2 2 3" xfId="24227"/>
    <cellStyle name="20% - Accent6 10 2 20" xfId="14900"/>
    <cellStyle name="20% - Accent6 10 2 20 2" xfId="37675"/>
    <cellStyle name="20% - Accent6 10 2 21" xfId="15556"/>
    <cellStyle name="20% - Accent6 10 2 21 2" xfId="38331"/>
    <cellStyle name="20% - Accent6 10 2 22" xfId="16212"/>
    <cellStyle name="20% - Accent6 10 2 22 2" xfId="38987"/>
    <cellStyle name="20% - Accent6 10 2 23" xfId="16868"/>
    <cellStyle name="20% - Accent6 10 2 23 2" xfId="39643"/>
    <cellStyle name="20% - Accent6 10 2 24" xfId="17524"/>
    <cellStyle name="20% - Accent6 10 2 24 2" xfId="40299"/>
    <cellStyle name="20% - Accent6 10 2 25" xfId="18180"/>
    <cellStyle name="20% - Accent6 10 2 25 2" xfId="40955"/>
    <cellStyle name="20% - Accent6 10 2 26" xfId="18836"/>
    <cellStyle name="20% - Accent6 10 2 26 2" xfId="41611"/>
    <cellStyle name="20% - Accent6 10 2 27" xfId="19492"/>
    <cellStyle name="20% - Accent6 10 2 27 2" xfId="42267"/>
    <cellStyle name="20% - Accent6 10 2 28" xfId="20148"/>
    <cellStyle name="20% - Accent6 10 2 28 2" xfId="42923"/>
    <cellStyle name="20% - Accent6 10 2 29" xfId="20804"/>
    <cellStyle name="20% - Accent6 10 2 29 2" xfId="43579"/>
    <cellStyle name="20% - Accent6 10 2 3" xfId="2108"/>
    <cellStyle name="20% - Accent6 10 2 3 2" xfId="4404"/>
    <cellStyle name="20% - Accent6 10 2 3 2 2" xfId="27179"/>
    <cellStyle name="20% - Accent6 10 2 3 3" xfId="24883"/>
    <cellStyle name="20% - Accent6 10 2 30" xfId="21460"/>
    <cellStyle name="20% - Accent6 10 2 30 2" xfId="44235"/>
    <cellStyle name="20% - Accent6 10 2 31" xfId="22116"/>
    <cellStyle name="20% - Accent6 10 2 31 2" xfId="44891"/>
    <cellStyle name="20% - Accent6 10 2 32" xfId="22772"/>
    <cellStyle name="20% - Accent6 10 2 32 2" xfId="45547"/>
    <cellStyle name="20% - Accent6 10 2 33" xfId="23571"/>
    <cellStyle name="20% - Accent6 10 2 4" xfId="5060"/>
    <cellStyle name="20% - Accent6 10 2 4 2" xfId="27835"/>
    <cellStyle name="20% - Accent6 10 2 5" xfId="5716"/>
    <cellStyle name="20% - Accent6 10 2 5 2" xfId="28491"/>
    <cellStyle name="20% - Accent6 10 2 6" xfId="6372"/>
    <cellStyle name="20% - Accent6 10 2 6 2" xfId="29147"/>
    <cellStyle name="20% - Accent6 10 2 7" xfId="3092"/>
    <cellStyle name="20% - Accent6 10 2 7 2" xfId="25867"/>
    <cellStyle name="20% - Accent6 10 2 8" xfId="7028"/>
    <cellStyle name="20% - Accent6 10 2 8 2" xfId="29803"/>
    <cellStyle name="20% - Accent6 10 2 9" xfId="7684"/>
    <cellStyle name="20% - Accent6 10 2 9 2" xfId="30459"/>
    <cellStyle name="20% - Accent6 10 20" xfId="13260"/>
    <cellStyle name="20% - Accent6 10 20 2" xfId="36035"/>
    <cellStyle name="20% - Accent6 10 21" xfId="13916"/>
    <cellStyle name="20% - Accent6 10 21 2" xfId="36691"/>
    <cellStyle name="20% - Accent6 10 22" xfId="14572"/>
    <cellStyle name="20% - Accent6 10 22 2" xfId="37347"/>
    <cellStyle name="20% - Accent6 10 23" xfId="15228"/>
    <cellStyle name="20% - Accent6 10 23 2" xfId="38003"/>
    <cellStyle name="20% - Accent6 10 24" xfId="15884"/>
    <cellStyle name="20% - Accent6 10 24 2" xfId="38659"/>
    <cellStyle name="20% - Accent6 10 25" xfId="16540"/>
    <cellStyle name="20% - Accent6 10 25 2" xfId="39315"/>
    <cellStyle name="20% - Accent6 10 26" xfId="17196"/>
    <cellStyle name="20% - Accent6 10 26 2" xfId="39971"/>
    <cellStyle name="20% - Accent6 10 27" xfId="17852"/>
    <cellStyle name="20% - Accent6 10 27 2" xfId="40627"/>
    <cellStyle name="20% - Accent6 10 28" xfId="18508"/>
    <cellStyle name="20% - Accent6 10 28 2" xfId="41283"/>
    <cellStyle name="20% - Accent6 10 29" xfId="19164"/>
    <cellStyle name="20% - Accent6 10 29 2" xfId="41939"/>
    <cellStyle name="20% - Accent6 10 3" xfId="1124"/>
    <cellStyle name="20% - Accent6 10 3 2" xfId="2764"/>
    <cellStyle name="20% - Accent6 10 3 2 2" xfId="25539"/>
    <cellStyle name="20% - Accent6 10 3 3" xfId="23899"/>
    <cellStyle name="20% - Accent6 10 30" xfId="19820"/>
    <cellStyle name="20% - Accent6 10 30 2" xfId="42595"/>
    <cellStyle name="20% - Accent6 10 31" xfId="20476"/>
    <cellStyle name="20% - Accent6 10 31 2" xfId="43251"/>
    <cellStyle name="20% - Accent6 10 32" xfId="21132"/>
    <cellStyle name="20% - Accent6 10 32 2" xfId="43907"/>
    <cellStyle name="20% - Accent6 10 33" xfId="21788"/>
    <cellStyle name="20% - Accent6 10 33 2" xfId="44563"/>
    <cellStyle name="20% - Accent6 10 34" xfId="22444"/>
    <cellStyle name="20% - Accent6 10 34 2" xfId="45219"/>
    <cellStyle name="20% - Accent6 10 35" xfId="23243"/>
    <cellStyle name="20% - Accent6 10 4" xfId="1780"/>
    <cellStyle name="20% - Accent6 10 4 2" xfId="3420"/>
    <cellStyle name="20% - Accent6 10 4 2 2" xfId="26195"/>
    <cellStyle name="20% - Accent6 10 4 3" xfId="24555"/>
    <cellStyle name="20% - Accent6 10 5" xfId="4076"/>
    <cellStyle name="20% - Accent6 10 5 2" xfId="26851"/>
    <cellStyle name="20% - Accent6 10 6" xfId="4732"/>
    <cellStyle name="20% - Accent6 10 6 2" xfId="27507"/>
    <cellStyle name="20% - Accent6 10 7" xfId="5388"/>
    <cellStyle name="20% - Accent6 10 7 2" xfId="28163"/>
    <cellStyle name="20% - Accent6 10 8" xfId="6044"/>
    <cellStyle name="20% - Accent6 10 8 2" xfId="28819"/>
    <cellStyle name="20% - Accent6 10 9" xfId="2436"/>
    <cellStyle name="20% - Accent6 10 9 2" xfId="25211"/>
    <cellStyle name="20% - Accent6 11" xfId="611"/>
    <cellStyle name="20% - Accent6 11 10" xfId="8155"/>
    <cellStyle name="20% - Accent6 11 10 2" xfId="30930"/>
    <cellStyle name="20% - Accent6 11 11" xfId="8811"/>
    <cellStyle name="20% - Accent6 11 11 2" xfId="31586"/>
    <cellStyle name="20% - Accent6 11 12" xfId="9467"/>
    <cellStyle name="20% - Accent6 11 12 2" xfId="32242"/>
    <cellStyle name="20% - Accent6 11 13" xfId="10123"/>
    <cellStyle name="20% - Accent6 11 13 2" xfId="32898"/>
    <cellStyle name="20% - Accent6 11 14" xfId="10779"/>
    <cellStyle name="20% - Accent6 11 14 2" xfId="33554"/>
    <cellStyle name="20% - Accent6 11 15" xfId="11435"/>
    <cellStyle name="20% - Accent6 11 15 2" xfId="34210"/>
    <cellStyle name="20% - Accent6 11 16" xfId="12091"/>
    <cellStyle name="20% - Accent6 11 16 2" xfId="34866"/>
    <cellStyle name="20% - Accent6 11 17" xfId="12747"/>
    <cellStyle name="20% - Accent6 11 17 2" xfId="35522"/>
    <cellStyle name="20% - Accent6 11 18" xfId="13403"/>
    <cellStyle name="20% - Accent6 11 18 2" xfId="36178"/>
    <cellStyle name="20% - Accent6 11 19" xfId="14059"/>
    <cellStyle name="20% - Accent6 11 19 2" xfId="36834"/>
    <cellStyle name="20% - Accent6 11 2" xfId="1267"/>
    <cellStyle name="20% - Accent6 11 2 2" xfId="3563"/>
    <cellStyle name="20% - Accent6 11 2 2 2" xfId="26338"/>
    <cellStyle name="20% - Accent6 11 2 3" xfId="24042"/>
    <cellStyle name="20% - Accent6 11 20" xfId="14715"/>
    <cellStyle name="20% - Accent6 11 20 2" xfId="37490"/>
    <cellStyle name="20% - Accent6 11 21" xfId="15371"/>
    <cellStyle name="20% - Accent6 11 21 2" xfId="38146"/>
    <cellStyle name="20% - Accent6 11 22" xfId="16027"/>
    <cellStyle name="20% - Accent6 11 22 2" xfId="38802"/>
    <cellStyle name="20% - Accent6 11 23" xfId="16683"/>
    <cellStyle name="20% - Accent6 11 23 2" xfId="39458"/>
    <cellStyle name="20% - Accent6 11 24" xfId="17339"/>
    <cellStyle name="20% - Accent6 11 24 2" xfId="40114"/>
    <cellStyle name="20% - Accent6 11 25" xfId="17995"/>
    <cellStyle name="20% - Accent6 11 25 2" xfId="40770"/>
    <cellStyle name="20% - Accent6 11 26" xfId="18651"/>
    <cellStyle name="20% - Accent6 11 26 2" xfId="41426"/>
    <cellStyle name="20% - Accent6 11 27" xfId="19307"/>
    <cellStyle name="20% - Accent6 11 27 2" xfId="42082"/>
    <cellStyle name="20% - Accent6 11 28" xfId="19963"/>
    <cellStyle name="20% - Accent6 11 28 2" xfId="42738"/>
    <cellStyle name="20% - Accent6 11 29" xfId="20619"/>
    <cellStyle name="20% - Accent6 11 29 2" xfId="43394"/>
    <cellStyle name="20% - Accent6 11 3" xfId="1923"/>
    <cellStyle name="20% - Accent6 11 3 2" xfId="4219"/>
    <cellStyle name="20% - Accent6 11 3 2 2" xfId="26994"/>
    <cellStyle name="20% - Accent6 11 3 3" xfId="24698"/>
    <cellStyle name="20% - Accent6 11 30" xfId="21275"/>
    <cellStyle name="20% - Accent6 11 30 2" xfId="44050"/>
    <cellStyle name="20% - Accent6 11 31" xfId="21931"/>
    <cellStyle name="20% - Accent6 11 31 2" xfId="44706"/>
    <cellStyle name="20% - Accent6 11 32" xfId="22587"/>
    <cellStyle name="20% - Accent6 11 32 2" xfId="45362"/>
    <cellStyle name="20% - Accent6 11 33" xfId="23386"/>
    <cellStyle name="20% - Accent6 11 4" xfId="4875"/>
    <cellStyle name="20% - Accent6 11 4 2" xfId="27650"/>
    <cellStyle name="20% - Accent6 11 5" xfId="5531"/>
    <cellStyle name="20% - Accent6 11 5 2" xfId="28306"/>
    <cellStyle name="20% - Accent6 11 6" xfId="6187"/>
    <cellStyle name="20% - Accent6 11 6 2" xfId="28962"/>
    <cellStyle name="20% - Accent6 11 7" xfId="2907"/>
    <cellStyle name="20% - Accent6 11 7 2" xfId="25682"/>
    <cellStyle name="20% - Accent6 11 8" xfId="6843"/>
    <cellStyle name="20% - Accent6 11 8 2" xfId="29618"/>
    <cellStyle name="20% - Accent6 11 9" xfId="7499"/>
    <cellStyle name="20% - Accent6 11 9 2" xfId="30274"/>
    <cellStyle name="20% - Accent6 12" xfId="284"/>
    <cellStyle name="20% - Accent6 12 2" xfId="2579"/>
    <cellStyle name="20% - Accent6 12 2 2" xfId="25354"/>
    <cellStyle name="20% - Accent6 12 3" xfId="23058"/>
    <cellStyle name="20% - Accent6 13" xfId="939"/>
    <cellStyle name="20% - Accent6 13 2" xfId="3235"/>
    <cellStyle name="20% - Accent6 13 2 2" xfId="26010"/>
    <cellStyle name="20% - Accent6 13 3" xfId="23714"/>
    <cellStyle name="20% - Accent6 14" xfId="1595"/>
    <cellStyle name="20% - Accent6 14 2" xfId="3891"/>
    <cellStyle name="20% - Accent6 14 2 2" xfId="26666"/>
    <cellStyle name="20% - Accent6 14 3" xfId="24370"/>
    <cellStyle name="20% - Accent6 15" xfId="4547"/>
    <cellStyle name="20% - Accent6 15 2" xfId="27322"/>
    <cellStyle name="20% - Accent6 16" xfId="5203"/>
    <cellStyle name="20% - Accent6 16 2" xfId="27978"/>
    <cellStyle name="20% - Accent6 17" xfId="5859"/>
    <cellStyle name="20% - Accent6 17 2" xfId="28634"/>
    <cellStyle name="20% - Accent6 18" xfId="2251"/>
    <cellStyle name="20% - Accent6 18 2" xfId="25026"/>
    <cellStyle name="20% - Accent6 19" xfId="6515"/>
    <cellStyle name="20% - Accent6 19 2" xfId="29290"/>
    <cellStyle name="20% - Accent6 2" xfId="79"/>
    <cellStyle name="20% - Accent6 2 10" xfId="5875"/>
    <cellStyle name="20% - Accent6 2 10 2" xfId="28650"/>
    <cellStyle name="20% - Accent6 2 11" xfId="2267"/>
    <cellStyle name="20% - Accent6 2 11 2" xfId="25042"/>
    <cellStyle name="20% - Accent6 2 12" xfId="6531"/>
    <cellStyle name="20% - Accent6 2 12 2" xfId="29306"/>
    <cellStyle name="20% - Accent6 2 13" xfId="7187"/>
    <cellStyle name="20% - Accent6 2 13 2" xfId="29962"/>
    <cellStyle name="20% - Accent6 2 14" xfId="7843"/>
    <cellStyle name="20% - Accent6 2 14 2" xfId="30618"/>
    <cellStyle name="20% - Accent6 2 15" xfId="8499"/>
    <cellStyle name="20% - Accent6 2 15 2" xfId="31274"/>
    <cellStyle name="20% - Accent6 2 16" xfId="9155"/>
    <cellStyle name="20% - Accent6 2 16 2" xfId="31930"/>
    <cellStyle name="20% - Accent6 2 17" xfId="9811"/>
    <cellStyle name="20% - Accent6 2 17 2" xfId="32586"/>
    <cellStyle name="20% - Accent6 2 18" xfId="10467"/>
    <cellStyle name="20% - Accent6 2 18 2" xfId="33242"/>
    <cellStyle name="20% - Accent6 2 19" xfId="11123"/>
    <cellStyle name="20% - Accent6 2 19 2" xfId="33898"/>
    <cellStyle name="20% - Accent6 2 2" xfId="155"/>
    <cellStyle name="20% - Accent6 2 2 10" xfId="2353"/>
    <cellStyle name="20% - Accent6 2 2 10 2" xfId="25128"/>
    <cellStyle name="20% - Accent6 2 2 11" xfId="6617"/>
    <cellStyle name="20% - Accent6 2 2 11 2" xfId="29392"/>
    <cellStyle name="20% - Accent6 2 2 12" xfId="7273"/>
    <cellStyle name="20% - Accent6 2 2 12 2" xfId="30048"/>
    <cellStyle name="20% - Accent6 2 2 13" xfId="7929"/>
    <cellStyle name="20% - Accent6 2 2 13 2" xfId="30704"/>
    <cellStyle name="20% - Accent6 2 2 14" xfId="8585"/>
    <cellStyle name="20% - Accent6 2 2 14 2" xfId="31360"/>
    <cellStyle name="20% - Accent6 2 2 15" xfId="9241"/>
    <cellStyle name="20% - Accent6 2 2 15 2" xfId="32016"/>
    <cellStyle name="20% - Accent6 2 2 16" xfId="9897"/>
    <cellStyle name="20% - Accent6 2 2 16 2" xfId="32672"/>
    <cellStyle name="20% - Accent6 2 2 17" xfId="10553"/>
    <cellStyle name="20% - Accent6 2 2 17 2" xfId="33328"/>
    <cellStyle name="20% - Accent6 2 2 18" xfId="11209"/>
    <cellStyle name="20% - Accent6 2 2 18 2" xfId="33984"/>
    <cellStyle name="20% - Accent6 2 2 19" xfId="11865"/>
    <cellStyle name="20% - Accent6 2 2 19 2" xfId="34640"/>
    <cellStyle name="20% - Accent6 2 2 2" xfId="569"/>
    <cellStyle name="20% - Accent6 2 2 2 10" xfId="6802"/>
    <cellStyle name="20% - Accent6 2 2 2 10 2" xfId="29577"/>
    <cellStyle name="20% - Accent6 2 2 2 11" xfId="7458"/>
    <cellStyle name="20% - Accent6 2 2 2 11 2" xfId="30233"/>
    <cellStyle name="20% - Accent6 2 2 2 12" xfId="8114"/>
    <cellStyle name="20% - Accent6 2 2 2 12 2" xfId="30889"/>
    <cellStyle name="20% - Accent6 2 2 2 13" xfId="8770"/>
    <cellStyle name="20% - Accent6 2 2 2 13 2" xfId="31545"/>
    <cellStyle name="20% - Accent6 2 2 2 14" xfId="9426"/>
    <cellStyle name="20% - Accent6 2 2 2 14 2" xfId="32201"/>
    <cellStyle name="20% - Accent6 2 2 2 15" xfId="10082"/>
    <cellStyle name="20% - Accent6 2 2 2 15 2" xfId="32857"/>
    <cellStyle name="20% - Accent6 2 2 2 16" xfId="10738"/>
    <cellStyle name="20% - Accent6 2 2 2 16 2" xfId="33513"/>
    <cellStyle name="20% - Accent6 2 2 2 17" xfId="11394"/>
    <cellStyle name="20% - Accent6 2 2 2 17 2" xfId="34169"/>
    <cellStyle name="20% - Accent6 2 2 2 18" xfId="12050"/>
    <cellStyle name="20% - Accent6 2 2 2 18 2" xfId="34825"/>
    <cellStyle name="20% - Accent6 2 2 2 19" xfId="12706"/>
    <cellStyle name="20% - Accent6 2 2 2 19 2" xfId="35481"/>
    <cellStyle name="20% - Accent6 2 2 2 2" xfId="898"/>
    <cellStyle name="20% - Accent6 2 2 2 2 10" xfId="8442"/>
    <cellStyle name="20% - Accent6 2 2 2 2 10 2" xfId="31217"/>
    <cellStyle name="20% - Accent6 2 2 2 2 11" xfId="9098"/>
    <cellStyle name="20% - Accent6 2 2 2 2 11 2" xfId="31873"/>
    <cellStyle name="20% - Accent6 2 2 2 2 12" xfId="9754"/>
    <cellStyle name="20% - Accent6 2 2 2 2 12 2" xfId="32529"/>
    <cellStyle name="20% - Accent6 2 2 2 2 13" xfId="10410"/>
    <cellStyle name="20% - Accent6 2 2 2 2 13 2" xfId="33185"/>
    <cellStyle name="20% - Accent6 2 2 2 2 14" xfId="11066"/>
    <cellStyle name="20% - Accent6 2 2 2 2 14 2" xfId="33841"/>
    <cellStyle name="20% - Accent6 2 2 2 2 15" xfId="11722"/>
    <cellStyle name="20% - Accent6 2 2 2 2 15 2" xfId="34497"/>
    <cellStyle name="20% - Accent6 2 2 2 2 16" xfId="12378"/>
    <cellStyle name="20% - Accent6 2 2 2 2 16 2" xfId="35153"/>
    <cellStyle name="20% - Accent6 2 2 2 2 17" xfId="13034"/>
    <cellStyle name="20% - Accent6 2 2 2 2 17 2" xfId="35809"/>
    <cellStyle name="20% - Accent6 2 2 2 2 18" xfId="13690"/>
    <cellStyle name="20% - Accent6 2 2 2 2 18 2" xfId="36465"/>
    <cellStyle name="20% - Accent6 2 2 2 2 19" xfId="14346"/>
    <cellStyle name="20% - Accent6 2 2 2 2 19 2" xfId="37121"/>
    <cellStyle name="20% - Accent6 2 2 2 2 2" xfId="1554"/>
    <cellStyle name="20% - Accent6 2 2 2 2 2 2" xfId="3850"/>
    <cellStyle name="20% - Accent6 2 2 2 2 2 2 2" xfId="26625"/>
    <cellStyle name="20% - Accent6 2 2 2 2 2 3" xfId="24329"/>
    <cellStyle name="20% - Accent6 2 2 2 2 20" xfId="15002"/>
    <cellStyle name="20% - Accent6 2 2 2 2 20 2" xfId="37777"/>
    <cellStyle name="20% - Accent6 2 2 2 2 21" xfId="15658"/>
    <cellStyle name="20% - Accent6 2 2 2 2 21 2" xfId="38433"/>
    <cellStyle name="20% - Accent6 2 2 2 2 22" xfId="16314"/>
    <cellStyle name="20% - Accent6 2 2 2 2 22 2" xfId="39089"/>
    <cellStyle name="20% - Accent6 2 2 2 2 23" xfId="16970"/>
    <cellStyle name="20% - Accent6 2 2 2 2 23 2" xfId="39745"/>
    <cellStyle name="20% - Accent6 2 2 2 2 24" xfId="17626"/>
    <cellStyle name="20% - Accent6 2 2 2 2 24 2" xfId="40401"/>
    <cellStyle name="20% - Accent6 2 2 2 2 25" xfId="18282"/>
    <cellStyle name="20% - Accent6 2 2 2 2 25 2" xfId="41057"/>
    <cellStyle name="20% - Accent6 2 2 2 2 26" xfId="18938"/>
    <cellStyle name="20% - Accent6 2 2 2 2 26 2" xfId="41713"/>
    <cellStyle name="20% - Accent6 2 2 2 2 27" xfId="19594"/>
    <cellStyle name="20% - Accent6 2 2 2 2 27 2" xfId="42369"/>
    <cellStyle name="20% - Accent6 2 2 2 2 28" xfId="20250"/>
    <cellStyle name="20% - Accent6 2 2 2 2 28 2" xfId="43025"/>
    <cellStyle name="20% - Accent6 2 2 2 2 29" xfId="20906"/>
    <cellStyle name="20% - Accent6 2 2 2 2 29 2" xfId="43681"/>
    <cellStyle name="20% - Accent6 2 2 2 2 3" xfId="2210"/>
    <cellStyle name="20% - Accent6 2 2 2 2 3 2" xfId="4506"/>
    <cellStyle name="20% - Accent6 2 2 2 2 3 2 2" xfId="27281"/>
    <cellStyle name="20% - Accent6 2 2 2 2 3 3" xfId="24985"/>
    <cellStyle name="20% - Accent6 2 2 2 2 30" xfId="21562"/>
    <cellStyle name="20% - Accent6 2 2 2 2 30 2" xfId="44337"/>
    <cellStyle name="20% - Accent6 2 2 2 2 31" xfId="22218"/>
    <cellStyle name="20% - Accent6 2 2 2 2 31 2" xfId="44993"/>
    <cellStyle name="20% - Accent6 2 2 2 2 32" xfId="22874"/>
    <cellStyle name="20% - Accent6 2 2 2 2 32 2" xfId="45649"/>
    <cellStyle name="20% - Accent6 2 2 2 2 33" xfId="23673"/>
    <cellStyle name="20% - Accent6 2 2 2 2 4" xfId="5162"/>
    <cellStyle name="20% - Accent6 2 2 2 2 4 2" xfId="27937"/>
    <cellStyle name="20% - Accent6 2 2 2 2 5" xfId="5818"/>
    <cellStyle name="20% - Accent6 2 2 2 2 5 2" xfId="28593"/>
    <cellStyle name="20% - Accent6 2 2 2 2 6" xfId="6474"/>
    <cellStyle name="20% - Accent6 2 2 2 2 6 2" xfId="29249"/>
    <cellStyle name="20% - Accent6 2 2 2 2 7" xfId="3194"/>
    <cellStyle name="20% - Accent6 2 2 2 2 7 2" xfId="25969"/>
    <cellStyle name="20% - Accent6 2 2 2 2 8" xfId="7130"/>
    <cellStyle name="20% - Accent6 2 2 2 2 8 2" xfId="29905"/>
    <cellStyle name="20% - Accent6 2 2 2 2 9" xfId="7786"/>
    <cellStyle name="20% - Accent6 2 2 2 2 9 2" xfId="30561"/>
    <cellStyle name="20% - Accent6 2 2 2 20" xfId="13362"/>
    <cellStyle name="20% - Accent6 2 2 2 20 2" xfId="36137"/>
    <cellStyle name="20% - Accent6 2 2 2 21" xfId="14018"/>
    <cellStyle name="20% - Accent6 2 2 2 21 2" xfId="36793"/>
    <cellStyle name="20% - Accent6 2 2 2 22" xfId="14674"/>
    <cellStyle name="20% - Accent6 2 2 2 22 2" xfId="37449"/>
    <cellStyle name="20% - Accent6 2 2 2 23" xfId="15330"/>
    <cellStyle name="20% - Accent6 2 2 2 23 2" xfId="38105"/>
    <cellStyle name="20% - Accent6 2 2 2 24" xfId="15986"/>
    <cellStyle name="20% - Accent6 2 2 2 24 2" xfId="38761"/>
    <cellStyle name="20% - Accent6 2 2 2 25" xfId="16642"/>
    <cellStyle name="20% - Accent6 2 2 2 25 2" xfId="39417"/>
    <cellStyle name="20% - Accent6 2 2 2 26" xfId="17298"/>
    <cellStyle name="20% - Accent6 2 2 2 26 2" xfId="40073"/>
    <cellStyle name="20% - Accent6 2 2 2 27" xfId="17954"/>
    <cellStyle name="20% - Accent6 2 2 2 27 2" xfId="40729"/>
    <cellStyle name="20% - Accent6 2 2 2 28" xfId="18610"/>
    <cellStyle name="20% - Accent6 2 2 2 28 2" xfId="41385"/>
    <cellStyle name="20% - Accent6 2 2 2 29" xfId="19266"/>
    <cellStyle name="20% - Accent6 2 2 2 29 2" xfId="42041"/>
    <cellStyle name="20% - Accent6 2 2 2 3" xfId="1226"/>
    <cellStyle name="20% - Accent6 2 2 2 3 2" xfId="2866"/>
    <cellStyle name="20% - Accent6 2 2 2 3 2 2" xfId="25641"/>
    <cellStyle name="20% - Accent6 2 2 2 3 3" xfId="24001"/>
    <cellStyle name="20% - Accent6 2 2 2 30" xfId="19922"/>
    <cellStyle name="20% - Accent6 2 2 2 30 2" xfId="42697"/>
    <cellStyle name="20% - Accent6 2 2 2 31" xfId="20578"/>
    <cellStyle name="20% - Accent6 2 2 2 31 2" xfId="43353"/>
    <cellStyle name="20% - Accent6 2 2 2 32" xfId="21234"/>
    <cellStyle name="20% - Accent6 2 2 2 32 2" xfId="44009"/>
    <cellStyle name="20% - Accent6 2 2 2 33" xfId="21890"/>
    <cellStyle name="20% - Accent6 2 2 2 33 2" xfId="44665"/>
    <cellStyle name="20% - Accent6 2 2 2 34" xfId="22546"/>
    <cellStyle name="20% - Accent6 2 2 2 34 2" xfId="45321"/>
    <cellStyle name="20% - Accent6 2 2 2 35" xfId="23345"/>
    <cellStyle name="20% - Accent6 2 2 2 4" xfId="1882"/>
    <cellStyle name="20% - Accent6 2 2 2 4 2" xfId="3522"/>
    <cellStyle name="20% - Accent6 2 2 2 4 2 2" xfId="26297"/>
    <cellStyle name="20% - Accent6 2 2 2 4 3" xfId="24657"/>
    <cellStyle name="20% - Accent6 2 2 2 5" xfId="4178"/>
    <cellStyle name="20% - Accent6 2 2 2 5 2" xfId="26953"/>
    <cellStyle name="20% - Accent6 2 2 2 6" xfId="4834"/>
    <cellStyle name="20% - Accent6 2 2 2 6 2" xfId="27609"/>
    <cellStyle name="20% - Accent6 2 2 2 7" xfId="5490"/>
    <cellStyle name="20% - Accent6 2 2 2 7 2" xfId="28265"/>
    <cellStyle name="20% - Accent6 2 2 2 8" xfId="6146"/>
    <cellStyle name="20% - Accent6 2 2 2 8 2" xfId="28921"/>
    <cellStyle name="20% - Accent6 2 2 2 9" xfId="2538"/>
    <cellStyle name="20% - Accent6 2 2 2 9 2" xfId="25313"/>
    <cellStyle name="20% - Accent6 2 2 20" xfId="12521"/>
    <cellStyle name="20% - Accent6 2 2 20 2" xfId="35296"/>
    <cellStyle name="20% - Accent6 2 2 21" xfId="13177"/>
    <cellStyle name="20% - Accent6 2 2 21 2" xfId="35952"/>
    <cellStyle name="20% - Accent6 2 2 22" xfId="13833"/>
    <cellStyle name="20% - Accent6 2 2 22 2" xfId="36608"/>
    <cellStyle name="20% - Accent6 2 2 23" xfId="14489"/>
    <cellStyle name="20% - Accent6 2 2 23 2" xfId="37264"/>
    <cellStyle name="20% - Accent6 2 2 24" xfId="15145"/>
    <cellStyle name="20% - Accent6 2 2 24 2" xfId="37920"/>
    <cellStyle name="20% - Accent6 2 2 25" xfId="15801"/>
    <cellStyle name="20% - Accent6 2 2 25 2" xfId="38576"/>
    <cellStyle name="20% - Accent6 2 2 26" xfId="16457"/>
    <cellStyle name="20% - Accent6 2 2 26 2" xfId="39232"/>
    <cellStyle name="20% - Accent6 2 2 27" xfId="17113"/>
    <cellStyle name="20% - Accent6 2 2 27 2" xfId="39888"/>
    <cellStyle name="20% - Accent6 2 2 28" xfId="17769"/>
    <cellStyle name="20% - Accent6 2 2 28 2" xfId="40544"/>
    <cellStyle name="20% - Accent6 2 2 29" xfId="18425"/>
    <cellStyle name="20% - Accent6 2 2 29 2" xfId="41200"/>
    <cellStyle name="20% - Accent6 2 2 3" xfId="713"/>
    <cellStyle name="20% - Accent6 2 2 3 10" xfId="8257"/>
    <cellStyle name="20% - Accent6 2 2 3 10 2" xfId="31032"/>
    <cellStyle name="20% - Accent6 2 2 3 11" xfId="8913"/>
    <cellStyle name="20% - Accent6 2 2 3 11 2" xfId="31688"/>
    <cellStyle name="20% - Accent6 2 2 3 12" xfId="9569"/>
    <cellStyle name="20% - Accent6 2 2 3 12 2" xfId="32344"/>
    <cellStyle name="20% - Accent6 2 2 3 13" xfId="10225"/>
    <cellStyle name="20% - Accent6 2 2 3 13 2" xfId="33000"/>
    <cellStyle name="20% - Accent6 2 2 3 14" xfId="10881"/>
    <cellStyle name="20% - Accent6 2 2 3 14 2" xfId="33656"/>
    <cellStyle name="20% - Accent6 2 2 3 15" xfId="11537"/>
    <cellStyle name="20% - Accent6 2 2 3 15 2" xfId="34312"/>
    <cellStyle name="20% - Accent6 2 2 3 16" xfId="12193"/>
    <cellStyle name="20% - Accent6 2 2 3 16 2" xfId="34968"/>
    <cellStyle name="20% - Accent6 2 2 3 17" xfId="12849"/>
    <cellStyle name="20% - Accent6 2 2 3 17 2" xfId="35624"/>
    <cellStyle name="20% - Accent6 2 2 3 18" xfId="13505"/>
    <cellStyle name="20% - Accent6 2 2 3 18 2" xfId="36280"/>
    <cellStyle name="20% - Accent6 2 2 3 19" xfId="14161"/>
    <cellStyle name="20% - Accent6 2 2 3 19 2" xfId="36936"/>
    <cellStyle name="20% - Accent6 2 2 3 2" xfId="1369"/>
    <cellStyle name="20% - Accent6 2 2 3 2 2" xfId="3665"/>
    <cellStyle name="20% - Accent6 2 2 3 2 2 2" xfId="26440"/>
    <cellStyle name="20% - Accent6 2 2 3 2 3" xfId="24144"/>
    <cellStyle name="20% - Accent6 2 2 3 20" xfId="14817"/>
    <cellStyle name="20% - Accent6 2 2 3 20 2" xfId="37592"/>
    <cellStyle name="20% - Accent6 2 2 3 21" xfId="15473"/>
    <cellStyle name="20% - Accent6 2 2 3 21 2" xfId="38248"/>
    <cellStyle name="20% - Accent6 2 2 3 22" xfId="16129"/>
    <cellStyle name="20% - Accent6 2 2 3 22 2" xfId="38904"/>
    <cellStyle name="20% - Accent6 2 2 3 23" xfId="16785"/>
    <cellStyle name="20% - Accent6 2 2 3 23 2" xfId="39560"/>
    <cellStyle name="20% - Accent6 2 2 3 24" xfId="17441"/>
    <cellStyle name="20% - Accent6 2 2 3 24 2" xfId="40216"/>
    <cellStyle name="20% - Accent6 2 2 3 25" xfId="18097"/>
    <cellStyle name="20% - Accent6 2 2 3 25 2" xfId="40872"/>
    <cellStyle name="20% - Accent6 2 2 3 26" xfId="18753"/>
    <cellStyle name="20% - Accent6 2 2 3 26 2" xfId="41528"/>
    <cellStyle name="20% - Accent6 2 2 3 27" xfId="19409"/>
    <cellStyle name="20% - Accent6 2 2 3 27 2" xfId="42184"/>
    <cellStyle name="20% - Accent6 2 2 3 28" xfId="20065"/>
    <cellStyle name="20% - Accent6 2 2 3 28 2" xfId="42840"/>
    <cellStyle name="20% - Accent6 2 2 3 29" xfId="20721"/>
    <cellStyle name="20% - Accent6 2 2 3 29 2" xfId="43496"/>
    <cellStyle name="20% - Accent6 2 2 3 3" xfId="2025"/>
    <cellStyle name="20% - Accent6 2 2 3 3 2" xfId="4321"/>
    <cellStyle name="20% - Accent6 2 2 3 3 2 2" xfId="27096"/>
    <cellStyle name="20% - Accent6 2 2 3 3 3" xfId="24800"/>
    <cellStyle name="20% - Accent6 2 2 3 30" xfId="21377"/>
    <cellStyle name="20% - Accent6 2 2 3 30 2" xfId="44152"/>
    <cellStyle name="20% - Accent6 2 2 3 31" xfId="22033"/>
    <cellStyle name="20% - Accent6 2 2 3 31 2" xfId="44808"/>
    <cellStyle name="20% - Accent6 2 2 3 32" xfId="22689"/>
    <cellStyle name="20% - Accent6 2 2 3 32 2" xfId="45464"/>
    <cellStyle name="20% - Accent6 2 2 3 33" xfId="23488"/>
    <cellStyle name="20% - Accent6 2 2 3 4" xfId="4977"/>
    <cellStyle name="20% - Accent6 2 2 3 4 2" xfId="27752"/>
    <cellStyle name="20% - Accent6 2 2 3 5" xfId="5633"/>
    <cellStyle name="20% - Accent6 2 2 3 5 2" xfId="28408"/>
    <cellStyle name="20% - Accent6 2 2 3 6" xfId="6289"/>
    <cellStyle name="20% - Accent6 2 2 3 6 2" xfId="29064"/>
    <cellStyle name="20% - Accent6 2 2 3 7" xfId="3009"/>
    <cellStyle name="20% - Accent6 2 2 3 7 2" xfId="25784"/>
    <cellStyle name="20% - Accent6 2 2 3 8" xfId="6945"/>
    <cellStyle name="20% - Accent6 2 2 3 8 2" xfId="29720"/>
    <cellStyle name="20% - Accent6 2 2 3 9" xfId="7601"/>
    <cellStyle name="20% - Accent6 2 2 3 9 2" xfId="30376"/>
    <cellStyle name="20% - Accent6 2 2 30" xfId="19081"/>
    <cellStyle name="20% - Accent6 2 2 30 2" xfId="41856"/>
    <cellStyle name="20% - Accent6 2 2 31" xfId="19737"/>
    <cellStyle name="20% - Accent6 2 2 31 2" xfId="42512"/>
    <cellStyle name="20% - Accent6 2 2 32" xfId="20393"/>
    <cellStyle name="20% - Accent6 2 2 32 2" xfId="43168"/>
    <cellStyle name="20% - Accent6 2 2 33" xfId="21049"/>
    <cellStyle name="20% - Accent6 2 2 33 2" xfId="43824"/>
    <cellStyle name="20% - Accent6 2 2 34" xfId="21705"/>
    <cellStyle name="20% - Accent6 2 2 34 2" xfId="44480"/>
    <cellStyle name="20% - Accent6 2 2 35" xfId="22361"/>
    <cellStyle name="20% - Accent6 2 2 35 2" xfId="45136"/>
    <cellStyle name="20% - Accent6 2 2 36" xfId="23017"/>
    <cellStyle name="20% - Accent6 2 2 4" xfId="386"/>
    <cellStyle name="20% - Accent6 2 2 4 2" xfId="2681"/>
    <cellStyle name="20% - Accent6 2 2 4 2 2" xfId="25456"/>
    <cellStyle name="20% - Accent6 2 2 4 3" xfId="23160"/>
    <cellStyle name="20% - Accent6 2 2 5" xfId="1041"/>
    <cellStyle name="20% - Accent6 2 2 5 2" xfId="3337"/>
    <cellStyle name="20% - Accent6 2 2 5 2 2" xfId="26112"/>
    <cellStyle name="20% - Accent6 2 2 5 3" xfId="23816"/>
    <cellStyle name="20% - Accent6 2 2 6" xfId="1697"/>
    <cellStyle name="20% - Accent6 2 2 6 2" xfId="3993"/>
    <cellStyle name="20% - Accent6 2 2 6 2 2" xfId="26768"/>
    <cellStyle name="20% - Accent6 2 2 6 3" xfId="24472"/>
    <cellStyle name="20% - Accent6 2 2 7" xfId="4649"/>
    <cellStyle name="20% - Accent6 2 2 7 2" xfId="27424"/>
    <cellStyle name="20% - Accent6 2 2 8" xfId="5305"/>
    <cellStyle name="20% - Accent6 2 2 8 2" xfId="28080"/>
    <cellStyle name="20% - Accent6 2 2 9" xfId="5961"/>
    <cellStyle name="20% - Accent6 2 2 9 2" xfId="28736"/>
    <cellStyle name="20% - Accent6 2 20" xfId="11779"/>
    <cellStyle name="20% - Accent6 2 20 2" xfId="34554"/>
    <cellStyle name="20% - Accent6 2 21" xfId="12435"/>
    <cellStyle name="20% - Accent6 2 21 2" xfId="35210"/>
    <cellStyle name="20% - Accent6 2 22" xfId="13091"/>
    <cellStyle name="20% - Accent6 2 22 2" xfId="35866"/>
    <cellStyle name="20% - Accent6 2 23" xfId="13747"/>
    <cellStyle name="20% - Accent6 2 23 2" xfId="36522"/>
    <cellStyle name="20% - Accent6 2 24" xfId="14403"/>
    <cellStyle name="20% - Accent6 2 24 2" xfId="37178"/>
    <cellStyle name="20% - Accent6 2 25" xfId="15059"/>
    <cellStyle name="20% - Accent6 2 25 2" xfId="37834"/>
    <cellStyle name="20% - Accent6 2 26" xfId="15715"/>
    <cellStyle name="20% - Accent6 2 26 2" xfId="38490"/>
    <cellStyle name="20% - Accent6 2 27" xfId="16371"/>
    <cellStyle name="20% - Accent6 2 27 2" xfId="39146"/>
    <cellStyle name="20% - Accent6 2 28" xfId="17027"/>
    <cellStyle name="20% - Accent6 2 28 2" xfId="39802"/>
    <cellStyle name="20% - Accent6 2 29" xfId="17683"/>
    <cellStyle name="20% - Accent6 2 29 2" xfId="40458"/>
    <cellStyle name="20% - Accent6 2 3" xfId="485"/>
    <cellStyle name="20% - Accent6 2 3 10" xfId="6716"/>
    <cellStyle name="20% - Accent6 2 3 10 2" xfId="29491"/>
    <cellStyle name="20% - Accent6 2 3 11" xfId="7372"/>
    <cellStyle name="20% - Accent6 2 3 11 2" xfId="30147"/>
    <cellStyle name="20% - Accent6 2 3 12" xfId="8028"/>
    <cellStyle name="20% - Accent6 2 3 12 2" xfId="30803"/>
    <cellStyle name="20% - Accent6 2 3 13" xfId="8684"/>
    <cellStyle name="20% - Accent6 2 3 13 2" xfId="31459"/>
    <cellStyle name="20% - Accent6 2 3 14" xfId="9340"/>
    <cellStyle name="20% - Accent6 2 3 14 2" xfId="32115"/>
    <cellStyle name="20% - Accent6 2 3 15" xfId="9996"/>
    <cellStyle name="20% - Accent6 2 3 15 2" xfId="32771"/>
    <cellStyle name="20% - Accent6 2 3 16" xfId="10652"/>
    <cellStyle name="20% - Accent6 2 3 16 2" xfId="33427"/>
    <cellStyle name="20% - Accent6 2 3 17" xfId="11308"/>
    <cellStyle name="20% - Accent6 2 3 17 2" xfId="34083"/>
    <cellStyle name="20% - Accent6 2 3 18" xfId="11964"/>
    <cellStyle name="20% - Accent6 2 3 18 2" xfId="34739"/>
    <cellStyle name="20% - Accent6 2 3 19" xfId="12620"/>
    <cellStyle name="20% - Accent6 2 3 19 2" xfId="35395"/>
    <cellStyle name="20% - Accent6 2 3 2" xfId="812"/>
    <cellStyle name="20% - Accent6 2 3 2 10" xfId="8356"/>
    <cellStyle name="20% - Accent6 2 3 2 10 2" xfId="31131"/>
    <cellStyle name="20% - Accent6 2 3 2 11" xfId="9012"/>
    <cellStyle name="20% - Accent6 2 3 2 11 2" xfId="31787"/>
    <cellStyle name="20% - Accent6 2 3 2 12" xfId="9668"/>
    <cellStyle name="20% - Accent6 2 3 2 12 2" xfId="32443"/>
    <cellStyle name="20% - Accent6 2 3 2 13" xfId="10324"/>
    <cellStyle name="20% - Accent6 2 3 2 13 2" xfId="33099"/>
    <cellStyle name="20% - Accent6 2 3 2 14" xfId="10980"/>
    <cellStyle name="20% - Accent6 2 3 2 14 2" xfId="33755"/>
    <cellStyle name="20% - Accent6 2 3 2 15" xfId="11636"/>
    <cellStyle name="20% - Accent6 2 3 2 15 2" xfId="34411"/>
    <cellStyle name="20% - Accent6 2 3 2 16" xfId="12292"/>
    <cellStyle name="20% - Accent6 2 3 2 16 2" xfId="35067"/>
    <cellStyle name="20% - Accent6 2 3 2 17" xfId="12948"/>
    <cellStyle name="20% - Accent6 2 3 2 17 2" xfId="35723"/>
    <cellStyle name="20% - Accent6 2 3 2 18" xfId="13604"/>
    <cellStyle name="20% - Accent6 2 3 2 18 2" xfId="36379"/>
    <cellStyle name="20% - Accent6 2 3 2 19" xfId="14260"/>
    <cellStyle name="20% - Accent6 2 3 2 19 2" xfId="37035"/>
    <cellStyle name="20% - Accent6 2 3 2 2" xfId="1468"/>
    <cellStyle name="20% - Accent6 2 3 2 2 2" xfId="3764"/>
    <cellStyle name="20% - Accent6 2 3 2 2 2 2" xfId="26539"/>
    <cellStyle name="20% - Accent6 2 3 2 2 3" xfId="24243"/>
    <cellStyle name="20% - Accent6 2 3 2 20" xfId="14916"/>
    <cellStyle name="20% - Accent6 2 3 2 20 2" xfId="37691"/>
    <cellStyle name="20% - Accent6 2 3 2 21" xfId="15572"/>
    <cellStyle name="20% - Accent6 2 3 2 21 2" xfId="38347"/>
    <cellStyle name="20% - Accent6 2 3 2 22" xfId="16228"/>
    <cellStyle name="20% - Accent6 2 3 2 22 2" xfId="39003"/>
    <cellStyle name="20% - Accent6 2 3 2 23" xfId="16884"/>
    <cellStyle name="20% - Accent6 2 3 2 23 2" xfId="39659"/>
    <cellStyle name="20% - Accent6 2 3 2 24" xfId="17540"/>
    <cellStyle name="20% - Accent6 2 3 2 24 2" xfId="40315"/>
    <cellStyle name="20% - Accent6 2 3 2 25" xfId="18196"/>
    <cellStyle name="20% - Accent6 2 3 2 25 2" xfId="40971"/>
    <cellStyle name="20% - Accent6 2 3 2 26" xfId="18852"/>
    <cellStyle name="20% - Accent6 2 3 2 26 2" xfId="41627"/>
    <cellStyle name="20% - Accent6 2 3 2 27" xfId="19508"/>
    <cellStyle name="20% - Accent6 2 3 2 27 2" xfId="42283"/>
    <cellStyle name="20% - Accent6 2 3 2 28" xfId="20164"/>
    <cellStyle name="20% - Accent6 2 3 2 28 2" xfId="42939"/>
    <cellStyle name="20% - Accent6 2 3 2 29" xfId="20820"/>
    <cellStyle name="20% - Accent6 2 3 2 29 2" xfId="43595"/>
    <cellStyle name="20% - Accent6 2 3 2 3" xfId="2124"/>
    <cellStyle name="20% - Accent6 2 3 2 3 2" xfId="4420"/>
    <cellStyle name="20% - Accent6 2 3 2 3 2 2" xfId="27195"/>
    <cellStyle name="20% - Accent6 2 3 2 3 3" xfId="24899"/>
    <cellStyle name="20% - Accent6 2 3 2 30" xfId="21476"/>
    <cellStyle name="20% - Accent6 2 3 2 30 2" xfId="44251"/>
    <cellStyle name="20% - Accent6 2 3 2 31" xfId="22132"/>
    <cellStyle name="20% - Accent6 2 3 2 31 2" xfId="44907"/>
    <cellStyle name="20% - Accent6 2 3 2 32" xfId="22788"/>
    <cellStyle name="20% - Accent6 2 3 2 32 2" xfId="45563"/>
    <cellStyle name="20% - Accent6 2 3 2 33" xfId="23587"/>
    <cellStyle name="20% - Accent6 2 3 2 4" xfId="5076"/>
    <cellStyle name="20% - Accent6 2 3 2 4 2" xfId="27851"/>
    <cellStyle name="20% - Accent6 2 3 2 5" xfId="5732"/>
    <cellStyle name="20% - Accent6 2 3 2 5 2" xfId="28507"/>
    <cellStyle name="20% - Accent6 2 3 2 6" xfId="6388"/>
    <cellStyle name="20% - Accent6 2 3 2 6 2" xfId="29163"/>
    <cellStyle name="20% - Accent6 2 3 2 7" xfId="3108"/>
    <cellStyle name="20% - Accent6 2 3 2 7 2" xfId="25883"/>
    <cellStyle name="20% - Accent6 2 3 2 8" xfId="7044"/>
    <cellStyle name="20% - Accent6 2 3 2 8 2" xfId="29819"/>
    <cellStyle name="20% - Accent6 2 3 2 9" xfId="7700"/>
    <cellStyle name="20% - Accent6 2 3 2 9 2" xfId="30475"/>
    <cellStyle name="20% - Accent6 2 3 20" xfId="13276"/>
    <cellStyle name="20% - Accent6 2 3 20 2" xfId="36051"/>
    <cellStyle name="20% - Accent6 2 3 21" xfId="13932"/>
    <cellStyle name="20% - Accent6 2 3 21 2" xfId="36707"/>
    <cellStyle name="20% - Accent6 2 3 22" xfId="14588"/>
    <cellStyle name="20% - Accent6 2 3 22 2" xfId="37363"/>
    <cellStyle name="20% - Accent6 2 3 23" xfId="15244"/>
    <cellStyle name="20% - Accent6 2 3 23 2" xfId="38019"/>
    <cellStyle name="20% - Accent6 2 3 24" xfId="15900"/>
    <cellStyle name="20% - Accent6 2 3 24 2" xfId="38675"/>
    <cellStyle name="20% - Accent6 2 3 25" xfId="16556"/>
    <cellStyle name="20% - Accent6 2 3 25 2" xfId="39331"/>
    <cellStyle name="20% - Accent6 2 3 26" xfId="17212"/>
    <cellStyle name="20% - Accent6 2 3 26 2" xfId="39987"/>
    <cellStyle name="20% - Accent6 2 3 27" xfId="17868"/>
    <cellStyle name="20% - Accent6 2 3 27 2" xfId="40643"/>
    <cellStyle name="20% - Accent6 2 3 28" xfId="18524"/>
    <cellStyle name="20% - Accent6 2 3 28 2" xfId="41299"/>
    <cellStyle name="20% - Accent6 2 3 29" xfId="19180"/>
    <cellStyle name="20% - Accent6 2 3 29 2" xfId="41955"/>
    <cellStyle name="20% - Accent6 2 3 3" xfId="1140"/>
    <cellStyle name="20% - Accent6 2 3 3 2" xfId="2780"/>
    <cellStyle name="20% - Accent6 2 3 3 2 2" xfId="25555"/>
    <cellStyle name="20% - Accent6 2 3 3 3" xfId="23915"/>
    <cellStyle name="20% - Accent6 2 3 30" xfId="19836"/>
    <cellStyle name="20% - Accent6 2 3 30 2" xfId="42611"/>
    <cellStyle name="20% - Accent6 2 3 31" xfId="20492"/>
    <cellStyle name="20% - Accent6 2 3 31 2" xfId="43267"/>
    <cellStyle name="20% - Accent6 2 3 32" xfId="21148"/>
    <cellStyle name="20% - Accent6 2 3 32 2" xfId="43923"/>
    <cellStyle name="20% - Accent6 2 3 33" xfId="21804"/>
    <cellStyle name="20% - Accent6 2 3 33 2" xfId="44579"/>
    <cellStyle name="20% - Accent6 2 3 34" xfId="22460"/>
    <cellStyle name="20% - Accent6 2 3 34 2" xfId="45235"/>
    <cellStyle name="20% - Accent6 2 3 35" xfId="23259"/>
    <cellStyle name="20% - Accent6 2 3 4" xfId="1796"/>
    <cellStyle name="20% - Accent6 2 3 4 2" xfId="3436"/>
    <cellStyle name="20% - Accent6 2 3 4 2 2" xfId="26211"/>
    <cellStyle name="20% - Accent6 2 3 4 3" xfId="24571"/>
    <cellStyle name="20% - Accent6 2 3 5" xfId="4092"/>
    <cellStyle name="20% - Accent6 2 3 5 2" xfId="26867"/>
    <cellStyle name="20% - Accent6 2 3 6" xfId="4748"/>
    <cellStyle name="20% - Accent6 2 3 6 2" xfId="27523"/>
    <cellStyle name="20% - Accent6 2 3 7" xfId="5404"/>
    <cellStyle name="20% - Accent6 2 3 7 2" xfId="28179"/>
    <cellStyle name="20% - Accent6 2 3 8" xfId="6060"/>
    <cellStyle name="20% - Accent6 2 3 8 2" xfId="28835"/>
    <cellStyle name="20% - Accent6 2 3 9" xfId="2452"/>
    <cellStyle name="20% - Accent6 2 3 9 2" xfId="25227"/>
    <cellStyle name="20% - Accent6 2 30" xfId="18339"/>
    <cellStyle name="20% - Accent6 2 30 2" xfId="41114"/>
    <cellStyle name="20% - Accent6 2 31" xfId="18995"/>
    <cellStyle name="20% - Accent6 2 31 2" xfId="41770"/>
    <cellStyle name="20% - Accent6 2 32" xfId="19651"/>
    <cellStyle name="20% - Accent6 2 32 2" xfId="42426"/>
    <cellStyle name="20% - Accent6 2 33" xfId="20307"/>
    <cellStyle name="20% - Accent6 2 33 2" xfId="43082"/>
    <cellStyle name="20% - Accent6 2 34" xfId="20963"/>
    <cellStyle name="20% - Accent6 2 34 2" xfId="43738"/>
    <cellStyle name="20% - Accent6 2 35" xfId="21619"/>
    <cellStyle name="20% - Accent6 2 35 2" xfId="44394"/>
    <cellStyle name="20% - Accent6 2 36" xfId="22275"/>
    <cellStyle name="20% - Accent6 2 36 2" xfId="45050"/>
    <cellStyle name="20% - Accent6 2 37" xfId="214"/>
    <cellStyle name="20% - Accent6 2 38" xfId="22931"/>
    <cellStyle name="20% - Accent6 2 4" xfId="627"/>
    <cellStyle name="20% - Accent6 2 4 10" xfId="8171"/>
    <cellStyle name="20% - Accent6 2 4 10 2" xfId="30946"/>
    <cellStyle name="20% - Accent6 2 4 11" xfId="8827"/>
    <cellStyle name="20% - Accent6 2 4 11 2" xfId="31602"/>
    <cellStyle name="20% - Accent6 2 4 12" xfId="9483"/>
    <cellStyle name="20% - Accent6 2 4 12 2" xfId="32258"/>
    <cellStyle name="20% - Accent6 2 4 13" xfId="10139"/>
    <cellStyle name="20% - Accent6 2 4 13 2" xfId="32914"/>
    <cellStyle name="20% - Accent6 2 4 14" xfId="10795"/>
    <cellStyle name="20% - Accent6 2 4 14 2" xfId="33570"/>
    <cellStyle name="20% - Accent6 2 4 15" xfId="11451"/>
    <cellStyle name="20% - Accent6 2 4 15 2" xfId="34226"/>
    <cellStyle name="20% - Accent6 2 4 16" xfId="12107"/>
    <cellStyle name="20% - Accent6 2 4 16 2" xfId="34882"/>
    <cellStyle name="20% - Accent6 2 4 17" xfId="12763"/>
    <cellStyle name="20% - Accent6 2 4 17 2" xfId="35538"/>
    <cellStyle name="20% - Accent6 2 4 18" xfId="13419"/>
    <cellStyle name="20% - Accent6 2 4 18 2" xfId="36194"/>
    <cellStyle name="20% - Accent6 2 4 19" xfId="14075"/>
    <cellStyle name="20% - Accent6 2 4 19 2" xfId="36850"/>
    <cellStyle name="20% - Accent6 2 4 2" xfId="1283"/>
    <cellStyle name="20% - Accent6 2 4 2 2" xfId="3579"/>
    <cellStyle name="20% - Accent6 2 4 2 2 2" xfId="26354"/>
    <cellStyle name="20% - Accent6 2 4 2 3" xfId="24058"/>
    <cellStyle name="20% - Accent6 2 4 20" xfId="14731"/>
    <cellStyle name="20% - Accent6 2 4 20 2" xfId="37506"/>
    <cellStyle name="20% - Accent6 2 4 21" xfId="15387"/>
    <cellStyle name="20% - Accent6 2 4 21 2" xfId="38162"/>
    <cellStyle name="20% - Accent6 2 4 22" xfId="16043"/>
    <cellStyle name="20% - Accent6 2 4 22 2" xfId="38818"/>
    <cellStyle name="20% - Accent6 2 4 23" xfId="16699"/>
    <cellStyle name="20% - Accent6 2 4 23 2" xfId="39474"/>
    <cellStyle name="20% - Accent6 2 4 24" xfId="17355"/>
    <cellStyle name="20% - Accent6 2 4 24 2" xfId="40130"/>
    <cellStyle name="20% - Accent6 2 4 25" xfId="18011"/>
    <cellStyle name="20% - Accent6 2 4 25 2" xfId="40786"/>
    <cellStyle name="20% - Accent6 2 4 26" xfId="18667"/>
    <cellStyle name="20% - Accent6 2 4 26 2" xfId="41442"/>
    <cellStyle name="20% - Accent6 2 4 27" xfId="19323"/>
    <cellStyle name="20% - Accent6 2 4 27 2" xfId="42098"/>
    <cellStyle name="20% - Accent6 2 4 28" xfId="19979"/>
    <cellStyle name="20% - Accent6 2 4 28 2" xfId="42754"/>
    <cellStyle name="20% - Accent6 2 4 29" xfId="20635"/>
    <cellStyle name="20% - Accent6 2 4 29 2" xfId="43410"/>
    <cellStyle name="20% - Accent6 2 4 3" xfId="1939"/>
    <cellStyle name="20% - Accent6 2 4 3 2" xfId="4235"/>
    <cellStyle name="20% - Accent6 2 4 3 2 2" xfId="27010"/>
    <cellStyle name="20% - Accent6 2 4 3 3" xfId="24714"/>
    <cellStyle name="20% - Accent6 2 4 30" xfId="21291"/>
    <cellStyle name="20% - Accent6 2 4 30 2" xfId="44066"/>
    <cellStyle name="20% - Accent6 2 4 31" xfId="21947"/>
    <cellStyle name="20% - Accent6 2 4 31 2" xfId="44722"/>
    <cellStyle name="20% - Accent6 2 4 32" xfId="22603"/>
    <cellStyle name="20% - Accent6 2 4 32 2" xfId="45378"/>
    <cellStyle name="20% - Accent6 2 4 33" xfId="23402"/>
    <cellStyle name="20% - Accent6 2 4 4" xfId="4891"/>
    <cellStyle name="20% - Accent6 2 4 4 2" xfId="27666"/>
    <cellStyle name="20% - Accent6 2 4 5" xfId="5547"/>
    <cellStyle name="20% - Accent6 2 4 5 2" xfId="28322"/>
    <cellStyle name="20% - Accent6 2 4 6" xfId="6203"/>
    <cellStyle name="20% - Accent6 2 4 6 2" xfId="28978"/>
    <cellStyle name="20% - Accent6 2 4 7" xfId="2923"/>
    <cellStyle name="20% - Accent6 2 4 7 2" xfId="25698"/>
    <cellStyle name="20% - Accent6 2 4 8" xfId="6859"/>
    <cellStyle name="20% - Accent6 2 4 8 2" xfId="29634"/>
    <cellStyle name="20% - Accent6 2 4 9" xfId="7515"/>
    <cellStyle name="20% - Accent6 2 4 9 2" xfId="30290"/>
    <cellStyle name="20% - Accent6 2 5" xfId="300"/>
    <cellStyle name="20% - Accent6 2 5 2" xfId="2595"/>
    <cellStyle name="20% - Accent6 2 5 2 2" xfId="25370"/>
    <cellStyle name="20% - Accent6 2 5 3" xfId="23074"/>
    <cellStyle name="20% - Accent6 2 6" xfId="955"/>
    <cellStyle name="20% - Accent6 2 6 2" xfId="3251"/>
    <cellStyle name="20% - Accent6 2 6 2 2" xfId="26026"/>
    <cellStyle name="20% - Accent6 2 6 3" xfId="23730"/>
    <cellStyle name="20% - Accent6 2 7" xfId="1611"/>
    <cellStyle name="20% - Accent6 2 7 2" xfId="3907"/>
    <cellStyle name="20% - Accent6 2 7 2 2" xfId="26682"/>
    <cellStyle name="20% - Accent6 2 7 3" xfId="24386"/>
    <cellStyle name="20% - Accent6 2 8" xfId="4563"/>
    <cellStyle name="20% - Accent6 2 8 2" xfId="27338"/>
    <cellStyle name="20% - Accent6 2 9" xfId="5219"/>
    <cellStyle name="20% - Accent6 2 9 2" xfId="27994"/>
    <cellStyle name="20% - Accent6 20" xfId="7171"/>
    <cellStyle name="20% - Accent6 20 2" xfId="29946"/>
    <cellStyle name="20% - Accent6 21" xfId="7827"/>
    <cellStyle name="20% - Accent6 21 2" xfId="30602"/>
    <cellStyle name="20% - Accent6 22" xfId="8483"/>
    <cellStyle name="20% - Accent6 22 2" xfId="31258"/>
    <cellStyle name="20% - Accent6 23" xfId="9139"/>
    <cellStyle name="20% - Accent6 23 2" xfId="31914"/>
    <cellStyle name="20% - Accent6 24" xfId="9795"/>
    <cellStyle name="20% - Accent6 24 2" xfId="32570"/>
    <cellStyle name="20% - Accent6 25" xfId="10451"/>
    <cellStyle name="20% - Accent6 25 2" xfId="33226"/>
    <cellStyle name="20% - Accent6 26" xfId="11107"/>
    <cellStyle name="20% - Accent6 26 2" xfId="33882"/>
    <cellStyle name="20% - Accent6 27" xfId="11763"/>
    <cellStyle name="20% - Accent6 27 2" xfId="34538"/>
    <cellStyle name="20% - Accent6 28" xfId="12419"/>
    <cellStyle name="20% - Accent6 28 2" xfId="35194"/>
    <cellStyle name="20% - Accent6 29" xfId="13075"/>
    <cellStyle name="20% - Accent6 29 2" xfId="35850"/>
    <cellStyle name="20% - Accent6 3" xfId="63"/>
    <cellStyle name="20% - Accent6 3 10" xfId="5890"/>
    <cellStyle name="20% - Accent6 3 10 2" xfId="28665"/>
    <cellStyle name="20% - Accent6 3 11" xfId="2282"/>
    <cellStyle name="20% - Accent6 3 11 2" xfId="25057"/>
    <cellStyle name="20% - Accent6 3 12" xfId="6546"/>
    <cellStyle name="20% - Accent6 3 12 2" xfId="29321"/>
    <cellStyle name="20% - Accent6 3 13" xfId="7202"/>
    <cellStyle name="20% - Accent6 3 13 2" xfId="29977"/>
    <cellStyle name="20% - Accent6 3 14" xfId="7858"/>
    <cellStyle name="20% - Accent6 3 14 2" xfId="30633"/>
    <cellStyle name="20% - Accent6 3 15" xfId="8514"/>
    <cellStyle name="20% - Accent6 3 15 2" xfId="31289"/>
    <cellStyle name="20% - Accent6 3 16" xfId="9170"/>
    <cellStyle name="20% - Accent6 3 16 2" xfId="31945"/>
    <cellStyle name="20% - Accent6 3 17" xfId="9826"/>
    <cellStyle name="20% - Accent6 3 17 2" xfId="32601"/>
    <cellStyle name="20% - Accent6 3 18" xfId="10482"/>
    <cellStyle name="20% - Accent6 3 18 2" xfId="33257"/>
    <cellStyle name="20% - Accent6 3 19" xfId="11138"/>
    <cellStyle name="20% - Accent6 3 19 2" xfId="33913"/>
    <cellStyle name="20% - Accent6 3 2" xfId="141"/>
    <cellStyle name="20% - Accent6 3 2 10" xfId="2337"/>
    <cellStyle name="20% - Accent6 3 2 10 2" xfId="25112"/>
    <cellStyle name="20% - Accent6 3 2 11" xfId="6601"/>
    <cellStyle name="20% - Accent6 3 2 11 2" xfId="29376"/>
    <cellStyle name="20% - Accent6 3 2 12" xfId="7257"/>
    <cellStyle name="20% - Accent6 3 2 12 2" xfId="30032"/>
    <cellStyle name="20% - Accent6 3 2 13" xfId="7913"/>
    <cellStyle name="20% - Accent6 3 2 13 2" xfId="30688"/>
    <cellStyle name="20% - Accent6 3 2 14" xfId="8569"/>
    <cellStyle name="20% - Accent6 3 2 14 2" xfId="31344"/>
    <cellStyle name="20% - Accent6 3 2 15" xfId="9225"/>
    <cellStyle name="20% - Accent6 3 2 15 2" xfId="32000"/>
    <cellStyle name="20% - Accent6 3 2 16" xfId="9881"/>
    <cellStyle name="20% - Accent6 3 2 16 2" xfId="32656"/>
    <cellStyle name="20% - Accent6 3 2 17" xfId="10537"/>
    <cellStyle name="20% - Accent6 3 2 17 2" xfId="33312"/>
    <cellStyle name="20% - Accent6 3 2 18" xfId="11193"/>
    <cellStyle name="20% - Accent6 3 2 18 2" xfId="33968"/>
    <cellStyle name="20% - Accent6 3 2 19" xfId="11849"/>
    <cellStyle name="20% - Accent6 3 2 19 2" xfId="34624"/>
    <cellStyle name="20% - Accent6 3 2 2" xfId="553"/>
    <cellStyle name="20% - Accent6 3 2 2 10" xfId="6786"/>
    <cellStyle name="20% - Accent6 3 2 2 10 2" xfId="29561"/>
    <cellStyle name="20% - Accent6 3 2 2 11" xfId="7442"/>
    <cellStyle name="20% - Accent6 3 2 2 11 2" xfId="30217"/>
    <cellStyle name="20% - Accent6 3 2 2 12" xfId="8098"/>
    <cellStyle name="20% - Accent6 3 2 2 12 2" xfId="30873"/>
    <cellStyle name="20% - Accent6 3 2 2 13" xfId="8754"/>
    <cellStyle name="20% - Accent6 3 2 2 13 2" xfId="31529"/>
    <cellStyle name="20% - Accent6 3 2 2 14" xfId="9410"/>
    <cellStyle name="20% - Accent6 3 2 2 14 2" xfId="32185"/>
    <cellStyle name="20% - Accent6 3 2 2 15" xfId="10066"/>
    <cellStyle name="20% - Accent6 3 2 2 15 2" xfId="32841"/>
    <cellStyle name="20% - Accent6 3 2 2 16" xfId="10722"/>
    <cellStyle name="20% - Accent6 3 2 2 16 2" xfId="33497"/>
    <cellStyle name="20% - Accent6 3 2 2 17" xfId="11378"/>
    <cellStyle name="20% - Accent6 3 2 2 17 2" xfId="34153"/>
    <cellStyle name="20% - Accent6 3 2 2 18" xfId="12034"/>
    <cellStyle name="20% - Accent6 3 2 2 18 2" xfId="34809"/>
    <cellStyle name="20% - Accent6 3 2 2 19" xfId="12690"/>
    <cellStyle name="20% - Accent6 3 2 2 19 2" xfId="35465"/>
    <cellStyle name="20% - Accent6 3 2 2 2" xfId="882"/>
    <cellStyle name="20% - Accent6 3 2 2 2 10" xfId="8426"/>
    <cellStyle name="20% - Accent6 3 2 2 2 10 2" xfId="31201"/>
    <cellStyle name="20% - Accent6 3 2 2 2 11" xfId="9082"/>
    <cellStyle name="20% - Accent6 3 2 2 2 11 2" xfId="31857"/>
    <cellStyle name="20% - Accent6 3 2 2 2 12" xfId="9738"/>
    <cellStyle name="20% - Accent6 3 2 2 2 12 2" xfId="32513"/>
    <cellStyle name="20% - Accent6 3 2 2 2 13" xfId="10394"/>
    <cellStyle name="20% - Accent6 3 2 2 2 13 2" xfId="33169"/>
    <cellStyle name="20% - Accent6 3 2 2 2 14" xfId="11050"/>
    <cellStyle name="20% - Accent6 3 2 2 2 14 2" xfId="33825"/>
    <cellStyle name="20% - Accent6 3 2 2 2 15" xfId="11706"/>
    <cellStyle name="20% - Accent6 3 2 2 2 15 2" xfId="34481"/>
    <cellStyle name="20% - Accent6 3 2 2 2 16" xfId="12362"/>
    <cellStyle name="20% - Accent6 3 2 2 2 16 2" xfId="35137"/>
    <cellStyle name="20% - Accent6 3 2 2 2 17" xfId="13018"/>
    <cellStyle name="20% - Accent6 3 2 2 2 17 2" xfId="35793"/>
    <cellStyle name="20% - Accent6 3 2 2 2 18" xfId="13674"/>
    <cellStyle name="20% - Accent6 3 2 2 2 18 2" xfId="36449"/>
    <cellStyle name="20% - Accent6 3 2 2 2 19" xfId="14330"/>
    <cellStyle name="20% - Accent6 3 2 2 2 19 2" xfId="37105"/>
    <cellStyle name="20% - Accent6 3 2 2 2 2" xfId="1538"/>
    <cellStyle name="20% - Accent6 3 2 2 2 2 2" xfId="3834"/>
    <cellStyle name="20% - Accent6 3 2 2 2 2 2 2" xfId="26609"/>
    <cellStyle name="20% - Accent6 3 2 2 2 2 3" xfId="24313"/>
    <cellStyle name="20% - Accent6 3 2 2 2 20" xfId="14986"/>
    <cellStyle name="20% - Accent6 3 2 2 2 20 2" xfId="37761"/>
    <cellStyle name="20% - Accent6 3 2 2 2 21" xfId="15642"/>
    <cellStyle name="20% - Accent6 3 2 2 2 21 2" xfId="38417"/>
    <cellStyle name="20% - Accent6 3 2 2 2 22" xfId="16298"/>
    <cellStyle name="20% - Accent6 3 2 2 2 22 2" xfId="39073"/>
    <cellStyle name="20% - Accent6 3 2 2 2 23" xfId="16954"/>
    <cellStyle name="20% - Accent6 3 2 2 2 23 2" xfId="39729"/>
    <cellStyle name="20% - Accent6 3 2 2 2 24" xfId="17610"/>
    <cellStyle name="20% - Accent6 3 2 2 2 24 2" xfId="40385"/>
    <cellStyle name="20% - Accent6 3 2 2 2 25" xfId="18266"/>
    <cellStyle name="20% - Accent6 3 2 2 2 25 2" xfId="41041"/>
    <cellStyle name="20% - Accent6 3 2 2 2 26" xfId="18922"/>
    <cellStyle name="20% - Accent6 3 2 2 2 26 2" xfId="41697"/>
    <cellStyle name="20% - Accent6 3 2 2 2 27" xfId="19578"/>
    <cellStyle name="20% - Accent6 3 2 2 2 27 2" xfId="42353"/>
    <cellStyle name="20% - Accent6 3 2 2 2 28" xfId="20234"/>
    <cellStyle name="20% - Accent6 3 2 2 2 28 2" xfId="43009"/>
    <cellStyle name="20% - Accent6 3 2 2 2 29" xfId="20890"/>
    <cellStyle name="20% - Accent6 3 2 2 2 29 2" xfId="43665"/>
    <cellStyle name="20% - Accent6 3 2 2 2 3" xfId="2194"/>
    <cellStyle name="20% - Accent6 3 2 2 2 3 2" xfId="4490"/>
    <cellStyle name="20% - Accent6 3 2 2 2 3 2 2" xfId="27265"/>
    <cellStyle name="20% - Accent6 3 2 2 2 3 3" xfId="24969"/>
    <cellStyle name="20% - Accent6 3 2 2 2 30" xfId="21546"/>
    <cellStyle name="20% - Accent6 3 2 2 2 30 2" xfId="44321"/>
    <cellStyle name="20% - Accent6 3 2 2 2 31" xfId="22202"/>
    <cellStyle name="20% - Accent6 3 2 2 2 31 2" xfId="44977"/>
    <cellStyle name="20% - Accent6 3 2 2 2 32" xfId="22858"/>
    <cellStyle name="20% - Accent6 3 2 2 2 32 2" xfId="45633"/>
    <cellStyle name="20% - Accent6 3 2 2 2 33" xfId="23657"/>
    <cellStyle name="20% - Accent6 3 2 2 2 4" xfId="5146"/>
    <cellStyle name="20% - Accent6 3 2 2 2 4 2" xfId="27921"/>
    <cellStyle name="20% - Accent6 3 2 2 2 5" xfId="5802"/>
    <cellStyle name="20% - Accent6 3 2 2 2 5 2" xfId="28577"/>
    <cellStyle name="20% - Accent6 3 2 2 2 6" xfId="6458"/>
    <cellStyle name="20% - Accent6 3 2 2 2 6 2" xfId="29233"/>
    <cellStyle name="20% - Accent6 3 2 2 2 7" xfId="3178"/>
    <cellStyle name="20% - Accent6 3 2 2 2 7 2" xfId="25953"/>
    <cellStyle name="20% - Accent6 3 2 2 2 8" xfId="7114"/>
    <cellStyle name="20% - Accent6 3 2 2 2 8 2" xfId="29889"/>
    <cellStyle name="20% - Accent6 3 2 2 2 9" xfId="7770"/>
    <cellStyle name="20% - Accent6 3 2 2 2 9 2" xfId="30545"/>
    <cellStyle name="20% - Accent6 3 2 2 20" xfId="13346"/>
    <cellStyle name="20% - Accent6 3 2 2 20 2" xfId="36121"/>
    <cellStyle name="20% - Accent6 3 2 2 21" xfId="14002"/>
    <cellStyle name="20% - Accent6 3 2 2 21 2" xfId="36777"/>
    <cellStyle name="20% - Accent6 3 2 2 22" xfId="14658"/>
    <cellStyle name="20% - Accent6 3 2 2 22 2" xfId="37433"/>
    <cellStyle name="20% - Accent6 3 2 2 23" xfId="15314"/>
    <cellStyle name="20% - Accent6 3 2 2 23 2" xfId="38089"/>
    <cellStyle name="20% - Accent6 3 2 2 24" xfId="15970"/>
    <cellStyle name="20% - Accent6 3 2 2 24 2" xfId="38745"/>
    <cellStyle name="20% - Accent6 3 2 2 25" xfId="16626"/>
    <cellStyle name="20% - Accent6 3 2 2 25 2" xfId="39401"/>
    <cellStyle name="20% - Accent6 3 2 2 26" xfId="17282"/>
    <cellStyle name="20% - Accent6 3 2 2 26 2" xfId="40057"/>
    <cellStyle name="20% - Accent6 3 2 2 27" xfId="17938"/>
    <cellStyle name="20% - Accent6 3 2 2 27 2" xfId="40713"/>
    <cellStyle name="20% - Accent6 3 2 2 28" xfId="18594"/>
    <cellStyle name="20% - Accent6 3 2 2 28 2" xfId="41369"/>
    <cellStyle name="20% - Accent6 3 2 2 29" xfId="19250"/>
    <cellStyle name="20% - Accent6 3 2 2 29 2" xfId="42025"/>
    <cellStyle name="20% - Accent6 3 2 2 3" xfId="1210"/>
    <cellStyle name="20% - Accent6 3 2 2 3 2" xfId="2850"/>
    <cellStyle name="20% - Accent6 3 2 2 3 2 2" xfId="25625"/>
    <cellStyle name="20% - Accent6 3 2 2 3 3" xfId="23985"/>
    <cellStyle name="20% - Accent6 3 2 2 30" xfId="19906"/>
    <cellStyle name="20% - Accent6 3 2 2 30 2" xfId="42681"/>
    <cellStyle name="20% - Accent6 3 2 2 31" xfId="20562"/>
    <cellStyle name="20% - Accent6 3 2 2 31 2" xfId="43337"/>
    <cellStyle name="20% - Accent6 3 2 2 32" xfId="21218"/>
    <cellStyle name="20% - Accent6 3 2 2 32 2" xfId="43993"/>
    <cellStyle name="20% - Accent6 3 2 2 33" xfId="21874"/>
    <cellStyle name="20% - Accent6 3 2 2 33 2" xfId="44649"/>
    <cellStyle name="20% - Accent6 3 2 2 34" xfId="22530"/>
    <cellStyle name="20% - Accent6 3 2 2 34 2" xfId="45305"/>
    <cellStyle name="20% - Accent6 3 2 2 35" xfId="23329"/>
    <cellStyle name="20% - Accent6 3 2 2 4" xfId="1866"/>
    <cellStyle name="20% - Accent6 3 2 2 4 2" xfId="3506"/>
    <cellStyle name="20% - Accent6 3 2 2 4 2 2" xfId="26281"/>
    <cellStyle name="20% - Accent6 3 2 2 4 3" xfId="24641"/>
    <cellStyle name="20% - Accent6 3 2 2 5" xfId="4162"/>
    <cellStyle name="20% - Accent6 3 2 2 5 2" xfId="26937"/>
    <cellStyle name="20% - Accent6 3 2 2 6" xfId="4818"/>
    <cellStyle name="20% - Accent6 3 2 2 6 2" xfId="27593"/>
    <cellStyle name="20% - Accent6 3 2 2 7" xfId="5474"/>
    <cellStyle name="20% - Accent6 3 2 2 7 2" xfId="28249"/>
    <cellStyle name="20% - Accent6 3 2 2 8" xfId="6130"/>
    <cellStyle name="20% - Accent6 3 2 2 8 2" xfId="28905"/>
    <cellStyle name="20% - Accent6 3 2 2 9" xfId="2522"/>
    <cellStyle name="20% - Accent6 3 2 2 9 2" xfId="25297"/>
    <cellStyle name="20% - Accent6 3 2 20" xfId="12505"/>
    <cellStyle name="20% - Accent6 3 2 20 2" xfId="35280"/>
    <cellStyle name="20% - Accent6 3 2 21" xfId="13161"/>
    <cellStyle name="20% - Accent6 3 2 21 2" xfId="35936"/>
    <cellStyle name="20% - Accent6 3 2 22" xfId="13817"/>
    <cellStyle name="20% - Accent6 3 2 22 2" xfId="36592"/>
    <cellStyle name="20% - Accent6 3 2 23" xfId="14473"/>
    <cellStyle name="20% - Accent6 3 2 23 2" xfId="37248"/>
    <cellStyle name="20% - Accent6 3 2 24" xfId="15129"/>
    <cellStyle name="20% - Accent6 3 2 24 2" xfId="37904"/>
    <cellStyle name="20% - Accent6 3 2 25" xfId="15785"/>
    <cellStyle name="20% - Accent6 3 2 25 2" xfId="38560"/>
    <cellStyle name="20% - Accent6 3 2 26" xfId="16441"/>
    <cellStyle name="20% - Accent6 3 2 26 2" xfId="39216"/>
    <cellStyle name="20% - Accent6 3 2 27" xfId="17097"/>
    <cellStyle name="20% - Accent6 3 2 27 2" xfId="39872"/>
    <cellStyle name="20% - Accent6 3 2 28" xfId="17753"/>
    <cellStyle name="20% - Accent6 3 2 28 2" xfId="40528"/>
    <cellStyle name="20% - Accent6 3 2 29" xfId="18409"/>
    <cellStyle name="20% - Accent6 3 2 29 2" xfId="41184"/>
    <cellStyle name="20% - Accent6 3 2 3" xfId="697"/>
    <cellStyle name="20% - Accent6 3 2 3 10" xfId="8241"/>
    <cellStyle name="20% - Accent6 3 2 3 10 2" xfId="31016"/>
    <cellStyle name="20% - Accent6 3 2 3 11" xfId="8897"/>
    <cellStyle name="20% - Accent6 3 2 3 11 2" xfId="31672"/>
    <cellStyle name="20% - Accent6 3 2 3 12" xfId="9553"/>
    <cellStyle name="20% - Accent6 3 2 3 12 2" xfId="32328"/>
    <cellStyle name="20% - Accent6 3 2 3 13" xfId="10209"/>
    <cellStyle name="20% - Accent6 3 2 3 13 2" xfId="32984"/>
    <cellStyle name="20% - Accent6 3 2 3 14" xfId="10865"/>
    <cellStyle name="20% - Accent6 3 2 3 14 2" xfId="33640"/>
    <cellStyle name="20% - Accent6 3 2 3 15" xfId="11521"/>
    <cellStyle name="20% - Accent6 3 2 3 15 2" xfId="34296"/>
    <cellStyle name="20% - Accent6 3 2 3 16" xfId="12177"/>
    <cellStyle name="20% - Accent6 3 2 3 16 2" xfId="34952"/>
    <cellStyle name="20% - Accent6 3 2 3 17" xfId="12833"/>
    <cellStyle name="20% - Accent6 3 2 3 17 2" xfId="35608"/>
    <cellStyle name="20% - Accent6 3 2 3 18" xfId="13489"/>
    <cellStyle name="20% - Accent6 3 2 3 18 2" xfId="36264"/>
    <cellStyle name="20% - Accent6 3 2 3 19" xfId="14145"/>
    <cellStyle name="20% - Accent6 3 2 3 19 2" xfId="36920"/>
    <cellStyle name="20% - Accent6 3 2 3 2" xfId="1353"/>
    <cellStyle name="20% - Accent6 3 2 3 2 2" xfId="3649"/>
    <cellStyle name="20% - Accent6 3 2 3 2 2 2" xfId="26424"/>
    <cellStyle name="20% - Accent6 3 2 3 2 3" xfId="24128"/>
    <cellStyle name="20% - Accent6 3 2 3 20" xfId="14801"/>
    <cellStyle name="20% - Accent6 3 2 3 20 2" xfId="37576"/>
    <cellStyle name="20% - Accent6 3 2 3 21" xfId="15457"/>
    <cellStyle name="20% - Accent6 3 2 3 21 2" xfId="38232"/>
    <cellStyle name="20% - Accent6 3 2 3 22" xfId="16113"/>
    <cellStyle name="20% - Accent6 3 2 3 22 2" xfId="38888"/>
    <cellStyle name="20% - Accent6 3 2 3 23" xfId="16769"/>
    <cellStyle name="20% - Accent6 3 2 3 23 2" xfId="39544"/>
    <cellStyle name="20% - Accent6 3 2 3 24" xfId="17425"/>
    <cellStyle name="20% - Accent6 3 2 3 24 2" xfId="40200"/>
    <cellStyle name="20% - Accent6 3 2 3 25" xfId="18081"/>
    <cellStyle name="20% - Accent6 3 2 3 25 2" xfId="40856"/>
    <cellStyle name="20% - Accent6 3 2 3 26" xfId="18737"/>
    <cellStyle name="20% - Accent6 3 2 3 26 2" xfId="41512"/>
    <cellStyle name="20% - Accent6 3 2 3 27" xfId="19393"/>
    <cellStyle name="20% - Accent6 3 2 3 27 2" xfId="42168"/>
    <cellStyle name="20% - Accent6 3 2 3 28" xfId="20049"/>
    <cellStyle name="20% - Accent6 3 2 3 28 2" xfId="42824"/>
    <cellStyle name="20% - Accent6 3 2 3 29" xfId="20705"/>
    <cellStyle name="20% - Accent6 3 2 3 29 2" xfId="43480"/>
    <cellStyle name="20% - Accent6 3 2 3 3" xfId="2009"/>
    <cellStyle name="20% - Accent6 3 2 3 3 2" xfId="4305"/>
    <cellStyle name="20% - Accent6 3 2 3 3 2 2" xfId="27080"/>
    <cellStyle name="20% - Accent6 3 2 3 3 3" xfId="24784"/>
    <cellStyle name="20% - Accent6 3 2 3 30" xfId="21361"/>
    <cellStyle name="20% - Accent6 3 2 3 30 2" xfId="44136"/>
    <cellStyle name="20% - Accent6 3 2 3 31" xfId="22017"/>
    <cellStyle name="20% - Accent6 3 2 3 31 2" xfId="44792"/>
    <cellStyle name="20% - Accent6 3 2 3 32" xfId="22673"/>
    <cellStyle name="20% - Accent6 3 2 3 32 2" xfId="45448"/>
    <cellStyle name="20% - Accent6 3 2 3 33" xfId="23472"/>
    <cellStyle name="20% - Accent6 3 2 3 4" xfId="4961"/>
    <cellStyle name="20% - Accent6 3 2 3 4 2" xfId="27736"/>
    <cellStyle name="20% - Accent6 3 2 3 5" xfId="5617"/>
    <cellStyle name="20% - Accent6 3 2 3 5 2" xfId="28392"/>
    <cellStyle name="20% - Accent6 3 2 3 6" xfId="6273"/>
    <cellStyle name="20% - Accent6 3 2 3 6 2" xfId="29048"/>
    <cellStyle name="20% - Accent6 3 2 3 7" xfId="2993"/>
    <cellStyle name="20% - Accent6 3 2 3 7 2" xfId="25768"/>
    <cellStyle name="20% - Accent6 3 2 3 8" xfId="6929"/>
    <cellStyle name="20% - Accent6 3 2 3 8 2" xfId="29704"/>
    <cellStyle name="20% - Accent6 3 2 3 9" xfId="7585"/>
    <cellStyle name="20% - Accent6 3 2 3 9 2" xfId="30360"/>
    <cellStyle name="20% - Accent6 3 2 30" xfId="19065"/>
    <cellStyle name="20% - Accent6 3 2 30 2" xfId="41840"/>
    <cellStyle name="20% - Accent6 3 2 31" xfId="19721"/>
    <cellStyle name="20% - Accent6 3 2 31 2" xfId="42496"/>
    <cellStyle name="20% - Accent6 3 2 32" xfId="20377"/>
    <cellStyle name="20% - Accent6 3 2 32 2" xfId="43152"/>
    <cellStyle name="20% - Accent6 3 2 33" xfId="21033"/>
    <cellStyle name="20% - Accent6 3 2 33 2" xfId="43808"/>
    <cellStyle name="20% - Accent6 3 2 34" xfId="21689"/>
    <cellStyle name="20% - Accent6 3 2 34 2" xfId="44464"/>
    <cellStyle name="20% - Accent6 3 2 35" xfId="22345"/>
    <cellStyle name="20% - Accent6 3 2 35 2" xfId="45120"/>
    <cellStyle name="20% - Accent6 3 2 36" xfId="23001"/>
    <cellStyle name="20% - Accent6 3 2 4" xfId="370"/>
    <cellStyle name="20% - Accent6 3 2 4 2" xfId="2665"/>
    <cellStyle name="20% - Accent6 3 2 4 2 2" xfId="25440"/>
    <cellStyle name="20% - Accent6 3 2 4 3" xfId="23144"/>
    <cellStyle name="20% - Accent6 3 2 5" xfId="1025"/>
    <cellStyle name="20% - Accent6 3 2 5 2" xfId="3321"/>
    <cellStyle name="20% - Accent6 3 2 5 2 2" xfId="26096"/>
    <cellStyle name="20% - Accent6 3 2 5 3" xfId="23800"/>
    <cellStyle name="20% - Accent6 3 2 6" xfId="1681"/>
    <cellStyle name="20% - Accent6 3 2 6 2" xfId="3977"/>
    <cellStyle name="20% - Accent6 3 2 6 2 2" xfId="26752"/>
    <cellStyle name="20% - Accent6 3 2 6 3" xfId="24456"/>
    <cellStyle name="20% - Accent6 3 2 7" xfId="4633"/>
    <cellStyle name="20% - Accent6 3 2 7 2" xfId="27408"/>
    <cellStyle name="20% - Accent6 3 2 8" xfId="5289"/>
    <cellStyle name="20% - Accent6 3 2 8 2" xfId="28064"/>
    <cellStyle name="20% - Accent6 3 2 9" xfId="5945"/>
    <cellStyle name="20% - Accent6 3 2 9 2" xfId="28720"/>
    <cellStyle name="20% - Accent6 3 20" xfId="11794"/>
    <cellStyle name="20% - Accent6 3 20 2" xfId="34569"/>
    <cellStyle name="20% - Accent6 3 21" xfId="12450"/>
    <cellStyle name="20% - Accent6 3 21 2" xfId="35225"/>
    <cellStyle name="20% - Accent6 3 22" xfId="13106"/>
    <cellStyle name="20% - Accent6 3 22 2" xfId="35881"/>
    <cellStyle name="20% - Accent6 3 23" xfId="13762"/>
    <cellStyle name="20% - Accent6 3 23 2" xfId="36537"/>
    <cellStyle name="20% - Accent6 3 24" xfId="14418"/>
    <cellStyle name="20% - Accent6 3 24 2" xfId="37193"/>
    <cellStyle name="20% - Accent6 3 25" xfId="15074"/>
    <cellStyle name="20% - Accent6 3 25 2" xfId="37849"/>
    <cellStyle name="20% - Accent6 3 26" xfId="15730"/>
    <cellStyle name="20% - Accent6 3 26 2" xfId="38505"/>
    <cellStyle name="20% - Accent6 3 27" xfId="16386"/>
    <cellStyle name="20% - Accent6 3 27 2" xfId="39161"/>
    <cellStyle name="20% - Accent6 3 28" xfId="17042"/>
    <cellStyle name="20% - Accent6 3 28 2" xfId="39817"/>
    <cellStyle name="20% - Accent6 3 29" xfId="17698"/>
    <cellStyle name="20% - Accent6 3 29 2" xfId="40473"/>
    <cellStyle name="20% - Accent6 3 3" xfId="499"/>
    <cellStyle name="20% - Accent6 3 3 10" xfId="6731"/>
    <cellStyle name="20% - Accent6 3 3 10 2" xfId="29506"/>
    <cellStyle name="20% - Accent6 3 3 11" xfId="7387"/>
    <cellStyle name="20% - Accent6 3 3 11 2" xfId="30162"/>
    <cellStyle name="20% - Accent6 3 3 12" xfId="8043"/>
    <cellStyle name="20% - Accent6 3 3 12 2" xfId="30818"/>
    <cellStyle name="20% - Accent6 3 3 13" xfId="8699"/>
    <cellStyle name="20% - Accent6 3 3 13 2" xfId="31474"/>
    <cellStyle name="20% - Accent6 3 3 14" xfId="9355"/>
    <cellStyle name="20% - Accent6 3 3 14 2" xfId="32130"/>
    <cellStyle name="20% - Accent6 3 3 15" xfId="10011"/>
    <cellStyle name="20% - Accent6 3 3 15 2" xfId="32786"/>
    <cellStyle name="20% - Accent6 3 3 16" xfId="10667"/>
    <cellStyle name="20% - Accent6 3 3 16 2" xfId="33442"/>
    <cellStyle name="20% - Accent6 3 3 17" xfId="11323"/>
    <cellStyle name="20% - Accent6 3 3 17 2" xfId="34098"/>
    <cellStyle name="20% - Accent6 3 3 18" xfId="11979"/>
    <cellStyle name="20% - Accent6 3 3 18 2" xfId="34754"/>
    <cellStyle name="20% - Accent6 3 3 19" xfId="12635"/>
    <cellStyle name="20% - Accent6 3 3 19 2" xfId="35410"/>
    <cellStyle name="20% - Accent6 3 3 2" xfId="827"/>
    <cellStyle name="20% - Accent6 3 3 2 10" xfId="8371"/>
    <cellStyle name="20% - Accent6 3 3 2 10 2" xfId="31146"/>
    <cellStyle name="20% - Accent6 3 3 2 11" xfId="9027"/>
    <cellStyle name="20% - Accent6 3 3 2 11 2" xfId="31802"/>
    <cellStyle name="20% - Accent6 3 3 2 12" xfId="9683"/>
    <cellStyle name="20% - Accent6 3 3 2 12 2" xfId="32458"/>
    <cellStyle name="20% - Accent6 3 3 2 13" xfId="10339"/>
    <cellStyle name="20% - Accent6 3 3 2 13 2" xfId="33114"/>
    <cellStyle name="20% - Accent6 3 3 2 14" xfId="10995"/>
    <cellStyle name="20% - Accent6 3 3 2 14 2" xfId="33770"/>
    <cellStyle name="20% - Accent6 3 3 2 15" xfId="11651"/>
    <cellStyle name="20% - Accent6 3 3 2 15 2" xfId="34426"/>
    <cellStyle name="20% - Accent6 3 3 2 16" xfId="12307"/>
    <cellStyle name="20% - Accent6 3 3 2 16 2" xfId="35082"/>
    <cellStyle name="20% - Accent6 3 3 2 17" xfId="12963"/>
    <cellStyle name="20% - Accent6 3 3 2 17 2" xfId="35738"/>
    <cellStyle name="20% - Accent6 3 3 2 18" xfId="13619"/>
    <cellStyle name="20% - Accent6 3 3 2 18 2" xfId="36394"/>
    <cellStyle name="20% - Accent6 3 3 2 19" xfId="14275"/>
    <cellStyle name="20% - Accent6 3 3 2 19 2" xfId="37050"/>
    <cellStyle name="20% - Accent6 3 3 2 2" xfId="1483"/>
    <cellStyle name="20% - Accent6 3 3 2 2 2" xfId="3779"/>
    <cellStyle name="20% - Accent6 3 3 2 2 2 2" xfId="26554"/>
    <cellStyle name="20% - Accent6 3 3 2 2 3" xfId="24258"/>
    <cellStyle name="20% - Accent6 3 3 2 20" xfId="14931"/>
    <cellStyle name="20% - Accent6 3 3 2 20 2" xfId="37706"/>
    <cellStyle name="20% - Accent6 3 3 2 21" xfId="15587"/>
    <cellStyle name="20% - Accent6 3 3 2 21 2" xfId="38362"/>
    <cellStyle name="20% - Accent6 3 3 2 22" xfId="16243"/>
    <cellStyle name="20% - Accent6 3 3 2 22 2" xfId="39018"/>
    <cellStyle name="20% - Accent6 3 3 2 23" xfId="16899"/>
    <cellStyle name="20% - Accent6 3 3 2 23 2" xfId="39674"/>
    <cellStyle name="20% - Accent6 3 3 2 24" xfId="17555"/>
    <cellStyle name="20% - Accent6 3 3 2 24 2" xfId="40330"/>
    <cellStyle name="20% - Accent6 3 3 2 25" xfId="18211"/>
    <cellStyle name="20% - Accent6 3 3 2 25 2" xfId="40986"/>
    <cellStyle name="20% - Accent6 3 3 2 26" xfId="18867"/>
    <cellStyle name="20% - Accent6 3 3 2 26 2" xfId="41642"/>
    <cellStyle name="20% - Accent6 3 3 2 27" xfId="19523"/>
    <cellStyle name="20% - Accent6 3 3 2 27 2" xfId="42298"/>
    <cellStyle name="20% - Accent6 3 3 2 28" xfId="20179"/>
    <cellStyle name="20% - Accent6 3 3 2 28 2" xfId="42954"/>
    <cellStyle name="20% - Accent6 3 3 2 29" xfId="20835"/>
    <cellStyle name="20% - Accent6 3 3 2 29 2" xfId="43610"/>
    <cellStyle name="20% - Accent6 3 3 2 3" xfId="2139"/>
    <cellStyle name="20% - Accent6 3 3 2 3 2" xfId="4435"/>
    <cellStyle name="20% - Accent6 3 3 2 3 2 2" xfId="27210"/>
    <cellStyle name="20% - Accent6 3 3 2 3 3" xfId="24914"/>
    <cellStyle name="20% - Accent6 3 3 2 30" xfId="21491"/>
    <cellStyle name="20% - Accent6 3 3 2 30 2" xfId="44266"/>
    <cellStyle name="20% - Accent6 3 3 2 31" xfId="22147"/>
    <cellStyle name="20% - Accent6 3 3 2 31 2" xfId="44922"/>
    <cellStyle name="20% - Accent6 3 3 2 32" xfId="22803"/>
    <cellStyle name="20% - Accent6 3 3 2 32 2" xfId="45578"/>
    <cellStyle name="20% - Accent6 3 3 2 33" xfId="23602"/>
    <cellStyle name="20% - Accent6 3 3 2 4" xfId="5091"/>
    <cellStyle name="20% - Accent6 3 3 2 4 2" xfId="27866"/>
    <cellStyle name="20% - Accent6 3 3 2 5" xfId="5747"/>
    <cellStyle name="20% - Accent6 3 3 2 5 2" xfId="28522"/>
    <cellStyle name="20% - Accent6 3 3 2 6" xfId="6403"/>
    <cellStyle name="20% - Accent6 3 3 2 6 2" xfId="29178"/>
    <cellStyle name="20% - Accent6 3 3 2 7" xfId="3123"/>
    <cellStyle name="20% - Accent6 3 3 2 7 2" xfId="25898"/>
    <cellStyle name="20% - Accent6 3 3 2 8" xfId="7059"/>
    <cellStyle name="20% - Accent6 3 3 2 8 2" xfId="29834"/>
    <cellStyle name="20% - Accent6 3 3 2 9" xfId="7715"/>
    <cellStyle name="20% - Accent6 3 3 2 9 2" xfId="30490"/>
    <cellStyle name="20% - Accent6 3 3 20" xfId="13291"/>
    <cellStyle name="20% - Accent6 3 3 20 2" xfId="36066"/>
    <cellStyle name="20% - Accent6 3 3 21" xfId="13947"/>
    <cellStyle name="20% - Accent6 3 3 21 2" xfId="36722"/>
    <cellStyle name="20% - Accent6 3 3 22" xfId="14603"/>
    <cellStyle name="20% - Accent6 3 3 22 2" xfId="37378"/>
    <cellStyle name="20% - Accent6 3 3 23" xfId="15259"/>
    <cellStyle name="20% - Accent6 3 3 23 2" xfId="38034"/>
    <cellStyle name="20% - Accent6 3 3 24" xfId="15915"/>
    <cellStyle name="20% - Accent6 3 3 24 2" xfId="38690"/>
    <cellStyle name="20% - Accent6 3 3 25" xfId="16571"/>
    <cellStyle name="20% - Accent6 3 3 25 2" xfId="39346"/>
    <cellStyle name="20% - Accent6 3 3 26" xfId="17227"/>
    <cellStyle name="20% - Accent6 3 3 26 2" xfId="40002"/>
    <cellStyle name="20% - Accent6 3 3 27" xfId="17883"/>
    <cellStyle name="20% - Accent6 3 3 27 2" xfId="40658"/>
    <cellStyle name="20% - Accent6 3 3 28" xfId="18539"/>
    <cellStyle name="20% - Accent6 3 3 28 2" xfId="41314"/>
    <cellStyle name="20% - Accent6 3 3 29" xfId="19195"/>
    <cellStyle name="20% - Accent6 3 3 29 2" xfId="41970"/>
    <cellStyle name="20% - Accent6 3 3 3" xfId="1155"/>
    <cellStyle name="20% - Accent6 3 3 3 2" xfId="2795"/>
    <cellStyle name="20% - Accent6 3 3 3 2 2" xfId="25570"/>
    <cellStyle name="20% - Accent6 3 3 3 3" xfId="23930"/>
    <cellStyle name="20% - Accent6 3 3 30" xfId="19851"/>
    <cellStyle name="20% - Accent6 3 3 30 2" xfId="42626"/>
    <cellStyle name="20% - Accent6 3 3 31" xfId="20507"/>
    <cellStyle name="20% - Accent6 3 3 31 2" xfId="43282"/>
    <cellStyle name="20% - Accent6 3 3 32" xfId="21163"/>
    <cellStyle name="20% - Accent6 3 3 32 2" xfId="43938"/>
    <cellStyle name="20% - Accent6 3 3 33" xfId="21819"/>
    <cellStyle name="20% - Accent6 3 3 33 2" xfId="44594"/>
    <cellStyle name="20% - Accent6 3 3 34" xfId="22475"/>
    <cellStyle name="20% - Accent6 3 3 34 2" xfId="45250"/>
    <cellStyle name="20% - Accent6 3 3 35" xfId="23274"/>
    <cellStyle name="20% - Accent6 3 3 4" xfId="1811"/>
    <cellStyle name="20% - Accent6 3 3 4 2" xfId="3451"/>
    <cellStyle name="20% - Accent6 3 3 4 2 2" xfId="26226"/>
    <cellStyle name="20% - Accent6 3 3 4 3" xfId="24586"/>
    <cellStyle name="20% - Accent6 3 3 5" xfId="4107"/>
    <cellStyle name="20% - Accent6 3 3 5 2" xfId="26882"/>
    <cellStyle name="20% - Accent6 3 3 6" xfId="4763"/>
    <cellStyle name="20% - Accent6 3 3 6 2" xfId="27538"/>
    <cellStyle name="20% - Accent6 3 3 7" xfId="5419"/>
    <cellStyle name="20% - Accent6 3 3 7 2" xfId="28194"/>
    <cellStyle name="20% - Accent6 3 3 8" xfId="6075"/>
    <cellStyle name="20% - Accent6 3 3 8 2" xfId="28850"/>
    <cellStyle name="20% - Accent6 3 3 9" xfId="2467"/>
    <cellStyle name="20% - Accent6 3 3 9 2" xfId="25242"/>
    <cellStyle name="20% - Accent6 3 30" xfId="18354"/>
    <cellStyle name="20% - Accent6 3 30 2" xfId="41129"/>
    <cellStyle name="20% - Accent6 3 31" xfId="19010"/>
    <cellStyle name="20% - Accent6 3 31 2" xfId="41785"/>
    <cellStyle name="20% - Accent6 3 32" xfId="19666"/>
    <cellStyle name="20% - Accent6 3 32 2" xfId="42441"/>
    <cellStyle name="20% - Accent6 3 33" xfId="20322"/>
    <cellStyle name="20% - Accent6 3 33 2" xfId="43097"/>
    <cellStyle name="20% - Accent6 3 34" xfId="20978"/>
    <cellStyle name="20% - Accent6 3 34 2" xfId="43753"/>
    <cellStyle name="20% - Accent6 3 35" xfId="21634"/>
    <cellStyle name="20% - Accent6 3 35 2" xfId="44409"/>
    <cellStyle name="20% - Accent6 3 36" xfId="22290"/>
    <cellStyle name="20% - Accent6 3 36 2" xfId="45065"/>
    <cellStyle name="20% - Accent6 3 37" xfId="229"/>
    <cellStyle name="20% - Accent6 3 38" xfId="22946"/>
    <cellStyle name="20% - Accent6 3 4" xfId="642"/>
    <cellStyle name="20% - Accent6 3 4 10" xfId="8186"/>
    <cellStyle name="20% - Accent6 3 4 10 2" xfId="30961"/>
    <cellStyle name="20% - Accent6 3 4 11" xfId="8842"/>
    <cellStyle name="20% - Accent6 3 4 11 2" xfId="31617"/>
    <cellStyle name="20% - Accent6 3 4 12" xfId="9498"/>
    <cellStyle name="20% - Accent6 3 4 12 2" xfId="32273"/>
    <cellStyle name="20% - Accent6 3 4 13" xfId="10154"/>
    <cellStyle name="20% - Accent6 3 4 13 2" xfId="32929"/>
    <cellStyle name="20% - Accent6 3 4 14" xfId="10810"/>
    <cellStyle name="20% - Accent6 3 4 14 2" xfId="33585"/>
    <cellStyle name="20% - Accent6 3 4 15" xfId="11466"/>
    <cellStyle name="20% - Accent6 3 4 15 2" xfId="34241"/>
    <cellStyle name="20% - Accent6 3 4 16" xfId="12122"/>
    <cellStyle name="20% - Accent6 3 4 16 2" xfId="34897"/>
    <cellStyle name="20% - Accent6 3 4 17" xfId="12778"/>
    <cellStyle name="20% - Accent6 3 4 17 2" xfId="35553"/>
    <cellStyle name="20% - Accent6 3 4 18" xfId="13434"/>
    <cellStyle name="20% - Accent6 3 4 18 2" xfId="36209"/>
    <cellStyle name="20% - Accent6 3 4 19" xfId="14090"/>
    <cellStyle name="20% - Accent6 3 4 19 2" xfId="36865"/>
    <cellStyle name="20% - Accent6 3 4 2" xfId="1298"/>
    <cellStyle name="20% - Accent6 3 4 2 2" xfId="3594"/>
    <cellStyle name="20% - Accent6 3 4 2 2 2" xfId="26369"/>
    <cellStyle name="20% - Accent6 3 4 2 3" xfId="24073"/>
    <cellStyle name="20% - Accent6 3 4 20" xfId="14746"/>
    <cellStyle name="20% - Accent6 3 4 20 2" xfId="37521"/>
    <cellStyle name="20% - Accent6 3 4 21" xfId="15402"/>
    <cellStyle name="20% - Accent6 3 4 21 2" xfId="38177"/>
    <cellStyle name="20% - Accent6 3 4 22" xfId="16058"/>
    <cellStyle name="20% - Accent6 3 4 22 2" xfId="38833"/>
    <cellStyle name="20% - Accent6 3 4 23" xfId="16714"/>
    <cellStyle name="20% - Accent6 3 4 23 2" xfId="39489"/>
    <cellStyle name="20% - Accent6 3 4 24" xfId="17370"/>
    <cellStyle name="20% - Accent6 3 4 24 2" xfId="40145"/>
    <cellStyle name="20% - Accent6 3 4 25" xfId="18026"/>
    <cellStyle name="20% - Accent6 3 4 25 2" xfId="40801"/>
    <cellStyle name="20% - Accent6 3 4 26" xfId="18682"/>
    <cellStyle name="20% - Accent6 3 4 26 2" xfId="41457"/>
    <cellStyle name="20% - Accent6 3 4 27" xfId="19338"/>
    <cellStyle name="20% - Accent6 3 4 27 2" xfId="42113"/>
    <cellStyle name="20% - Accent6 3 4 28" xfId="19994"/>
    <cellStyle name="20% - Accent6 3 4 28 2" xfId="42769"/>
    <cellStyle name="20% - Accent6 3 4 29" xfId="20650"/>
    <cellStyle name="20% - Accent6 3 4 29 2" xfId="43425"/>
    <cellStyle name="20% - Accent6 3 4 3" xfId="1954"/>
    <cellStyle name="20% - Accent6 3 4 3 2" xfId="4250"/>
    <cellStyle name="20% - Accent6 3 4 3 2 2" xfId="27025"/>
    <cellStyle name="20% - Accent6 3 4 3 3" xfId="24729"/>
    <cellStyle name="20% - Accent6 3 4 30" xfId="21306"/>
    <cellStyle name="20% - Accent6 3 4 30 2" xfId="44081"/>
    <cellStyle name="20% - Accent6 3 4 31" xfId="21962"/>
    <cellStyle name="20% - Accent6 3 4 31 2" xfId="44737"/>
    <cellStyle name="20% - Accent6 3 4 32" xfId="22618"/>
    <cellStyle name="20% - Accent6 3 4 32 2" xfId="45393"/>
    <cellStyle name="20% - Accent6 3 4 33" xfId="23417"/>
    <cellStyle name="20% - Accent6 3 4 4" xfId="4906"/>
    <cellStyle name="20% - Accent6 3 4 4 2" xfId="27681"/>
    <cellStyle name="20% - Accent6 3 4 5" xfId="5562"/>
    <cellStyle name="20% - Accent6 3 4 5 2" xfId="28337"/>
    <cellStyle name="20% - Accent6 3 4 6" xfId="6218"/>
    <cellStyle name="20% - Accent6 3 4 6 2" xfId="28993"/>
    <cellStyle name="20% - Accent6 3 4 7" xfId="2938"/>
    <cellStyle name="20% - Accent6 3 4 7 2" xfId="25713"/>
    <cellStyle name="20% - Accent6 3 4 8" xfId="6874"/>
    <cellStyle name="20% - Accent6 3 4 8 2" xfId="29649"/>
    <cellStyle name="20% - Accent6 3 4 9" xfId="7530"/>
    <cellStyle name="20% - Accent6 3 4 9 2" xfId="30305"/>
    <cellStyle name="20% - Accent6 3 5" xfId="315"/>
    <cellStyle name="20% - Accent6 3 5 2" xfId="2610"/>
    <cellStyle name="20% - Accent6 3 5 2 2" xfId="25385"/>
    <cellStyle name="20% - Accent6 3 5 3" xfId="23089"/>
    <cellStyle name="20% - Accent6 3 6" xfId="970"/>
    <cellStyle name="20% - Accent6 3 6 2" xfId="3266"/>
    <cellStyle name="20% - Accent6 3 6 2 2" xfId="26041"/>
    <cellStyle name="20% - Accent6 3 6 3" xfId="23745"/>
    <cellStyle name="20% - Accent6 3 7" xfId="1626"/>
    <cellStyle name="20% - Accent6 3 7 2" xfId="3922"/>
    <cellStyle name="20% - Accent6 3 7 2 2" xfId="26697"/>
    <cellStyle name="20% - Accent6 3 7 3" xfId="24401"/>
    <cellStyle name="20% - Accent6 3 8" xfId="4578"/>
    <cellStyle name="20% - Accent6 3 8 2" xfId="27353"/>
    <cellStyle name="20% - Accent6 3 9" xfId="5234"/>
    <cellStyle name="20% - Accent6 3 9 2" xfId="28009"/>
    <cellStyle name="20% - Accent6 30" xfId="13731"/>
    <cellStyle name="20% - Accent6 30 2" xfId="36506"/>
    <cellStyle name="20% - Accent6 31" xfId="14387"/>
    <cellStyle name="20% - Accent6 31 2" xfId="37162"/>
    <cellStyle name="20% - Accent6 32" xfId="15043"/>
    <cellStyle name="20% - Accent6 32 2" xfId="37818"/>
    <cellStyle name="20% - Accent6 33" xfId="15699"/>
    <cellStyle name="20% - Accent6 33 2" xfId="38474"/>
    <cellStyle name="20% - Accent6 34" xfId="16355"/>
    <cellStyle name="20% - Accent6 34 2" xfId="39130"/>
    <cellStyle name="20% - Accent6 35" xfId="17011"/>
    <cellStyle name="20% - Accent6 35 2" xfId="39786"/>
    <cellStyle name="20% - Accent6 36" xfId="17667"/>
    <cellStyle name="20% - Accent6 36 2" xfId="40442"/>
    <cellStyle name="20% - Accent6 37" xfId="18323"/>
    <cellStyle name="20% - Accent6 37 2" xfId="41098"/>
    <cellStyle name="20% - Accent6 38" xfId="18979"/>
    <cellStyle name="20% - Accent6 38 2" xfId="41754"/>
    <cellStyle name="20% - Accent6 39" xfId="19635"/>
    <cellStyle name="20% - Accent6 39 2" xfId="42410"/>
    <cellStyle name="20% - Accent6 4" xfId="98"/>
    <cellStyle name="20% - Accent6 4 10" xfId="5904"/>
    <cellStyle name="20% - Accent6 4 10 2" xfId="28679"/>
    <cellStyle name="20% - Accent6 4 11" xfId="2296"/>
    <cellStyle name="20% - Accent6 4 11 2" xfId="25071"/>
    <cellStyle name="20% - Accent6 4 12" xfId="6560"/>
    <cellStyle name="20% - Accent6 4 12 2" xfId="29335"/>
    <cellStyle name="20% - Accent6 4 13" xfId="7216"/>
    <cellStyle name="20% - Accent6 4 13 2" xfId="29991"/>
    <cellStyle name="20% - Accent6 4 14" xfId="7872"/>
    <cellStyle name="20% - Accent6 4 14 2" xfId="30647"/>
    <cellStyle name="20% - Accent6 4 15" xfId="8528"/>
    <cellStyle name="20% - Accent6 4 15 2" xfId="31303"/>
    <cellStyle name="20% - Accent6 4 16" xfId="9184"/>
    <cellStyle name="20% - Accent6 4 16 2" xfId="31959"/>
    <cellStyle name="20% - Accent6 4 17" xfId="9840"/>
    <cellStyle name="20% - Accent6 4 17 2" xfId="32615"/>
    <cellStyle name="20% - Accent6 4 18" xfId="10496"/>
    <cellStyle name="20% - Accent6 4 18 2" xfId="33271"/>
    <cellStyle name="20% - Accent6 4 19" xfId="11152"/>
    <cellStyle name="20% - Accent6 4 19 2" xfId="33927"/>
    <cellStyle name="20% - Accent6 4 2" xfId="169"/>
    <cellStyle name="20% - Accent6 4 2 10" xfId="2367"/>
    <cellStyle name="20% - Accent6 4 2 10 2" xfId="25142"/>
    <cellStyle name="20% - Accent6 4 2 11" xfId="6631"/>
    <cellStyle name="20% - Accent6 4 2 11 2" xfId="29406"/>
    <cellStyle name="20% - Accent6 4 2 12" xfId="7287"/>
    <cellStyle name="20% - Accent6 4 2 12 2" xfId="30062"/>
    <cellStyle name="20% - Accent6 4 2 13" xfId="7943"/>
    <cellStyle name="20% - Accent6 4 2 13 2" xfId="30718"/>
    <cellStyle name="20% - Accent6 4 2 14" xfId="8599"/>
    <cellStyle name="20% - Accent6 4 2 14 2" xfId="31374"/>
    <cellStyle name="20% - Accent6 4 2 15" xfId="9255"/>
    <cellStyle name="20% - Accent6 4 2 15 2" xfId="32030"/>
    <cellStyle name="20% - Accent6 4 2 16" xfId="9911"/>
    <cellStyle name="20% - Accent6 4 2 16 2" xfId="32686"/>
    <cellStyle name="20% - Accent6 4 2 17" xfId="10567"/>
    <cellStyle name="20% - Accent6 4 2 17 2" xfId="33342"/>
    <cellStyle name="20% - Accent6 4 2 18" xfId="11223"/>
    <cellStyle name="20% - Accent6 4 2 18 2" xfId="33998"/>
    <cellStyle name="20% - Accent6 4 2 19" xfId="11879"/>
    <cellStyle name="20% - Accent6 4 2 19 2" xfId="34654"/>
    <cellStyle name="20% - Accent6 4 2 2" xfId="583"/>
    <cellStyle name="20% - Accent6 4 2 2 10" xfId="6816"/>
    <cellStyle name="20% - Accent6 4 2 2 10 2" xfId="29591"/>
    <cellStyle name="20% - Accent6 4 2 2 11" xfId="7472"/>
    <cellStyle name="20% - Accent6 4 2 2 11 2" xfId="30247"/>
    <cellStyle name="20% - Accent6 4 2 2 12" xfId="8128"/>
    <cellStyle name="20% - Accent6 4 2 2 12 2" xfId="30903"/>
    <cellStyle name="20% - Accent6 4 2 2 13" xfId="8784"/>
    <cellStyle name="20% - Accent6 4 2 2 13 2" xfId="31559"/>
    <cellStyle name="20% - Accent6 4 2 2 14" xfId="9440"/>
    <cellStyle name="20% - Accent6 4 2 2 14 2" xfId="32215"/>
    <cellStyle name="20% - Accent6 4 2 2 15" xfId="10096"/>
    <cellStyle name="20% - Accent6 4 2 2 15 2" xfId="32871"/>
    <cellStyle name="20% - Accent6 4 2 2 16" xfId="10752"/>
    <cellStyle name="20% - Accent6 4 2 2 16 2" xfId="33527"/>
    <cellStyle name="20% - Accent6 4 2 2 17" xfId="11408"/>
    <cellStyle name="20% - Accent6 4 2 2 17 2" xfId="34183"/>
    <cellStyle name="20% - Accent6 4 2 2 18" xfId="12064"/>
    <cellStyle name="20% - Accent6 4 2 2 18 2" xfId="34839"/>
    <cellStyle name="20% - Accent6 4 2 2 19" xfId="12720"/>
    <cellStyle name="20% - Accent6 4 2 2 19 2" xfId="35495"/>
    <cellStyle name="20% - Accent6 4 2 2 2" xfId="912"/>
    <cellStyle name="20% - Accent6 4 2 2 2 10" xfId="8456"/>
    <cellStyle name="20% - Accent6 4 2 2 2 10 2" xfId="31231"/>
    <cellStyle name="20% - Accent6 4 2 2 2 11" xfId="9112"/>
    <cellStyle name="20% - Accent6 4 2 2 2 11 2" xfId="31887"/>
    <cellStyle name="20% - Accent6 4 2 2 2 12" xfId="9768"/>
    <cellStyle name="20% - Accent6 4 2 2 2 12 2" xfId="32543"/>
    <cellStyle name="20% - Accent6 4 2 2 2 13" xfId="10424"/>
    <cellStyle name="20% - Accent6 4 2 2 2 13 2" xfId="33199"/>
    <cellStyle name="20% - Accent6 4 2 2 2 14" xfId="11080"/>
    <cellStyle name="20% - Accent6 4 2 2 2 14 2" xfId="33855"/>
    <cellStyle name="20% - Accent6 4 2 2 2 15" xfId="11736"/>
    <cellStyle name="20% - Accent6 4 2 2 2 15 2" xfId="34511"/>
    <cellStyle name="20% - Accent6 4 2 2 2 16" xfId="12392"/>
    <cellStyle name="20% - Accent6 4 2 2 2 16 2" xfId="35167"/>
    <cellStyle name="20% - Accent6 4 2 2 2 17" xfId="13048"/>
    <cellStyle name="20% - Accent6 4 2 2 2 17 2" xfId="35823"/>
    <cellStyle name="20% - Accent6 4 2 2 2 18" xfId="13704"/>
    <cellStyle name="20% - Accent6 4 2 2 2 18 2" xfId="36479"/>
    <cellStyle name="20% - Accent6 4 2 2 2 19" xfId="14360"/>
    <cellStyle name="20% - Accent6 4 2 2 2 19 2" xfId="37135"/>
    <cellStyle name="20% - Accent6 4 2 2 2 2" xfId="1568"/>
    <cellStyle name="20% - Accent6 4 2 2 2 2 2" xfId="3864"/>
    <cellStyle name="20% - Accent6 4 2 2 2 2 2 2" xfId="26639"/>
    <cellStyle name="20% - Accent6 4 2 2 2 2 3" xfId="24343"/>
    <cellStyle name="20% - Accent6 4 2 2 2 20" xfId="15016"/>
    <cellStyle name="20% - Accent6 4 2 2 2 20 2" xfId="37791"/>
    <cellStyle name="20% - Accent6 4 2 2 2 21" xfId="15672"/>
    <cellStyle name="20% - Accent6 4 2 2 2 21 2" xfId="38447"/>
    <cellStyle name="20% - Accent6 4 2 2 2 22" xfId="16328"/>
    <cellStyle name="20% - Accent6 4 2 2 2 22 2" xfId="39103"/>
    <cellStyle name="20% - Accent6 4 2 2 2 23" xfId="16984"/>
    <cellStyle name="20% - Accent6 4 2 2 2 23 2" xfId="39759"/>
    <cellStyle name="20% - Accent6 4 2 2 2 24" xfId="17640"/>
    <cellStyle name="20% - Accent6 4 2 2 2 24 2" xfId="40415"/>
    <cellStyle name="20% - Accent6 4 2 2 2 25" xfId="18296"/>
    <cellStyle name="20% - Accent6 4 2 2 2 25 2" xfId="41071"/>
    <cellStyle name="20% - Accent6 4 2 2 2 26" xfId="18952"/>
    <cellStyle name="20% - Accent6 4 2 2 2 26 2" xfId="41727"/>
    <cellStyle name="20% - Accent6 4 2 2 2 27" xfId="19608"/>
    <cellStyle name="20% - Accent6 4 2 2 2 27 2" xfId="42383"/>
    <cellStyle name="20% - Accent6 4 2 2 2 28" xfId="20264"/>
    <cellStyle name="20% - Accent6 4 2 2 2 28 2" xfId="43039"/>
    <cellStyle name="20% - Accent6 4 2 2 2 29" xfId="20920"/>
    <cellStyle name="20% - Accent6 4 2 2 2 29 2" xfId="43695"/>
    <cellStyle name="20% - Accent6 4 2 2 2 3" xfId="2224"/>
    <cellStyle name="20% - Accent6 4 2 2 2 3 2" xfId="4520"/>
    <cellStyle name="20% - Accent6 4 2 2 2 3 2 2" xfId="27295"/>
    <cellStyle name="20% - Accent6 4 2 2 2 3 3" xfId="24999"/>
    <cellStyle name="20% - Accent6 4 2 2 2 30" xfId="21576"/>
    <cellStyle name="20% - Accent6 4 2 2 2 30 2" xfId="44351"/>
    <cellStyle name="20% - Accent6 4 2 2 2 31" xfId="22232"/>
    <cellStyle name="20% - Accent6 4 2 2 2 31 2" xfId="45007"/>
    <cellStyle name="20% - Accent6 4 2 2 2 32" xfId="22888"/>
    <cellStyle name="20% - Accent6 4 2 2 2 32 2" xfId="45663"/>
    <cellStyle name="20% - Accent6 4 2 2 2 33" xfId="23687"/>
    <cellStyle name="20% - Accent6 4 2 2 2 4" xfId="5176"/>
    <cellStyle name="20% - Accent6 4 2 2 2 4 2" xfId="27951"/>
    <cellStyle name="20% - Accent6 4 2 2 2 5" xfId="5832"/>
    <cellStyle name="20% - Accent6 4 2 2 2 5 2" xfId="28607"/>
    <cellStyle name="20% - Accent6 4 2 2 2 6" xfId="6488"/>
    <cellStyle name="20% - Accent6 4 2 2 2 6 2" xfId="29263"/>
    <cellStyle name="20% - Accent6 4 2 2 2 7" xfId="3208"/>
    <cellStyle name="20% - Accent6 4 2 2 2 7 2" xfId="25983"/>
    <cellStyle name="20% - Accent6 4 2 2 2 8" xfId="7144"/>
    <cellStyle name="20% - Accent6 4 2 2 2 8 2" xfId="29919"/>
    <cellStyle name="20% - Accent6 4 2 2 2 9" xfId="7800"/>
    <cellStyle name="20% - Accent6 4 2 2 2 9 2" xfId="30575"/>
    <cellStyle name="20% - Accent6 4 2 2 20" xfId="13376"/>
    <cellStyle name="20% - Accent6 4 2 2 20 2" xfId="36151"/>
    <cellStyle name="20% - Accent6 4 2 2 21" xfId="14032"/>
    <cellStyle name="20% - Accent6 4 2 2 21 2" xfId="36807"/>
    <cellStyle name="20% - Accent6 4 2 2 22" xfId="14688"/>
    <cellStyle name="20% - Accent6 4 2 2 22 2" xfId="37463"/>
    <cellStyle name="20% - Accent6 4 2 2 23" xfId="15344"/>
    <cellStyle name="20% - Accent6 4 2 2 23 2" xfId="38119"/>
    <cellStyle name="20% - Accent6 4 2 2 24" xfId="16000"/>
    <cellStyle name="20% - Accent6 4 2 2 24 2" xfId="38775"/>
    <cellStyle name="20% - Accent6 4 2 2 25" xfId="16656"/>
    <cellStyle name="20% - Accent6 4 2 2 25 2" xfId="39431"/>
    <cellStyle name="20% - Accent6 4 2 2 26" xfId="17312"/>
    <cellStyle name="20% - Accent6 4 2 2 26 2" xfId="40087"/>
    <cellStyle name="20% - Accent6 4 2 2 27" xfId="17968"/>
    <cellStyle name="20% - Accent6 4 2 2 27 2" xfId="40743"/>
    <cellStyle name="20% - Accent6 4 2 2 28" xfId="18624"/>
    <cellStyle name="20% - Accent6 4 2 2 28 2" xfId="41399"/>
    <cellStyle name="20% - Accent6 4 2 2 29" xfId="19280"/>
    <cellStyle name="20% - Accent6 4 2 2 29 2" xfId="42055"/>
    <cellStyle name="20% - Accent6 4 2 2 3" xfId="1240"/>
    <cellStyle name="20% - Accent6 4 2 2 3 2" xfId="2880"/>
    <cellStyle name="20% - Accent6 4 2 2 3 2 2" xfId="25655"/>
    <cellStyle name="20% - Accent6 4 2 2 3 3" xfId="24015"/>
    <cellStyle name="20% - Accent6 4 2 2 30" xfId="19936"/>
    <cellStyle name="20% - Accent6 4 2 2 30 2" xfId="42711"/>
    <cellStyle name="20% - Accent6 4 2 2 31" xfId="20592"/>
    <cellStyle name="20% - Accent6 4 2 2 31 2" xfId="43367"/>
    <cellStyle name="20% - Accent6 4 2 2 32" xfId="21248"/>
    <cellStyle name="20% - Accent6 4 2 2 32 2" xfId="44023"/>
    <cellStyle name="20% - Accent6 4 2 2 33" xfId="21904"/>
    <cellStyle name="20% - Accent6 4 2 2 33 2" xfId="44679"/>
    <cellStyle name="20% - Accent6 4 2 2 34" xfId="22560"/>
    <cellStyle name="20% - Accent6 4 2 2 34 2" xfId="45335"/>
    <cellStyle name="20% - Accent6 4 2 2 35" xfId="23359"/>
    <cellStyle name="20% - Accent6 4 2 2 4" xfId="1896"/>
    <cellStyle name="20% - Accent6 4 2 2 4 2" xfId="3536"/>
    <cellStyle name="20% - Accent6 4 2 2 4 2 2" xfId="26311"/>
    <cellStyle name="20% - Accent6 4 2 2 4 3" xfId="24671"/>
    <cellStyle name="20% - Accent6 4 2 2 5" xfId="4192"/>
    <cellStyle name="20% - Accent6 4 2 2 5 2" xfId="26967"/>
    <cellStyle name="20% - Accent6 4 2 2 6" xfId="4848"/>
    <cellStyle name="20% - Accent6 4 2 2 6 2" xfId="27623"/>
    <cellStyle name="20% - Accent6 4 2 2 7" xfId="5504"/>
    <cellStyle name="20% - Accent6 4 2 2 7 2" xfId="28279"/>
    <cellStyle name="20% - Accent6 4 2 2 8" xfId="6160"/>
    <cellStyle name="20% - Accent6 4 2 2 8 2" xfId="28935"/>
    <cellStyle name="20% - Accent6 4 2 2 9" xfId="2552"/>
    <cellStyle name="20% - Accent6 4 2 2 9 2" xfId="25327"/>
    <cellStyle name="20% - Accent6 4 2 20" xfId="12535"/>
    <cellStyle name="20% - Accent6 4 2 20 2" xfId="35310"/>
    <cellStyle name="20% - Accent6 4 2 21" xfId="13191"/>
    <cellStyle name="20% - Accent6 4 2 21 2" xfId="35966"/>
    <cellStyle name="20% - Accent6 4 2 22" xfId="13847"/>
    <cellStyle name="20% - Accent6 4 2 22 2" xfId="36622"/>
    <cellStyle name="20% - Accent6 4 2 23" xfId="14503"/>
    <cellStyle name="20% - Accent6 4 2 23 2" xfId="37278"/>
    <cellStyle name="20% - Accent6 4 2 24" xfId="15159"/>
    <cellStyle name="20% - Accent6 4 2 24 2" xfId="37934"/>
    <cellStyle name="20% - Accent6 4 2 25" xfId="15815"/>
    <cellStyle name="20% - Accent6 4 2 25 2" xfId="38590"/>
    <cellStyle name="20% - Accent6 4 2 26" xfId="16471"/>
    <cellStyle name="20% - Accent6 4 2 26 2" xfId="39246"/>
    <cellStyle name="20% - Accent6 4 2 27" xfId="17127"/>
    <cellStyle name="20% - Accent6 4 2 27 2" xfId="39902"/>
    <cellStyle name="20% - Accent6 4 2 28" xfId="17783"/>
    <cellStyle name="20% - Accent6 4 2 28 2" xfId="40558"/>
    <cellStyle name="20% - Accent6 4 2 29" xfId="18439"/>
    <cellStyle name="20% - Accent6 4 2 29 2" xfId="41214"/>
    <cellStyle name="20% - Accent6 4 2 3" xfId="727"/>
    <cellStyle name="20% - Accent6 4 2 3 10" xfId="8271"/>
    <cellStyle name="20% - Accent6 4 2 3 10 2" xfId="31046"/>
    <cellStyle name="20% - Accent6 4 2 3 11" xfId="8927"/>
    <cellStyle name="20% - Accent6 4 2 3 11 2" xfId="31702"/>
    <cellStyle name="20% - Accent6 4 2 3 12" xfId="9583"/>
    <cellStyle name="20% - Accent6 4 2 3 12 2" xfId="32358"/>
    <cellStyle name="20% - Accent6 4 2 3 13" xfId="10239"/>
    <cellStyle name="20% - Accent6 4 2 3 13 2" xfId="33014"/>
    <cellStyle name="20% - Accent6 4 2 3 14" xfId="10895"/>
    <cellStyle name="20% - Accent6 4 2 3 14 2" xfId="33670"/>
    <cellStyle name="20% - Accent6 4 2 3 15" xfId="11551"/>
    <cellStyle name="20% - Accent6 4 2 3 15 2" xfId="34326"/>
    <cellStyle name="20% - Accent6 4 2 3 16" xfId="12207"/>
    <cellStyle name="20% - Accent6 4 2 3 16 2" xfId="34982"/>
    <cellStyle name="20% - Accent6 4 2 3 17" xfId="12863"/>
    <cellStyle name="20% - Accent6 4 2 3 17 2" xfId="35638"/>
    <cellStyle name="20% - Accent6 4 2 3 18" xfId="13519"/>
    <cellStyle name="20% - Accent6 4 2 3 18 2" xfId="36294"/>
    <cellStyle name="20% - Accent6 4 2 3 19" xfId="14175"/>
    <cellStyle name="20% - Accent6 4 2 3 19 2" xfId="36950"/>
    <cellStyle name="20% - Accent6 4 2 3 2" xfId="1383"/>
    <cellStyle name="20% - Accent6 4 2 3 2 2" xfId="3679"/>
    <cellStyle name="20% - Accent6 4 2 3 2 2 2" xfId="26454"/>
    <cellStyle name="20% - Accent6 4 2 3 2 3" xfId="24158"/>
    <cellStyle name="20% - Accent6 4 2 3 20" xfId="14831"/>
    <cellStyle name="20% - Accent6 4 2 3 20 2" xfId="37606"/>
    <cellStyle name="20% - Accent6 4 2 3 21" xfId="15487"/>
    <cellStyle name="20% - Accent6 4 2 3 21 2" xfId="38262"/>
    <cellStyle name="20% - Accent6 4 2 3 22" xfId="16143"/>
    <cellStyle name="20% - Accent6 4 2 3 22 2" xfId="38918"/>
    <cellStyle name="20% - Accent6 4 2 3 23" xfId="16799"/>
    <cellStyle name="20% - Accent6 4 2 3 23 2" xfId="39574"/>
    <cellStyle name="20% - Accent6 4 2 3 24" xfId="17455"/>
    <cellStyle name="20% - Accent6 4 2 3 24 2" xfId="40230"/>
    <cellStyle name="20% - Accent6 4 2 3 25" xfId="18111"/>
    <cellStyle name="20% - Accent6 4 2 3 25 2" xfId="40886"/>
    <cellStyle name="20% - Accent6 4 2 3 26" xfId="18767"/>
    <cellStyle name="20% - Accent6 4 2 3 26 2" xfId="41542"/>
    <cellStyle name="20% - Accent6 4 2 3 27" xfId="19423"/>
    <cellStyle name="20% - Accent6 4 2 3 27 2" xfId="42198"/>
    <cellStyle name="20% - Accent6 4 2 3 28" xfId="20079"/>
    <cellStyle name="20% - Accent6 4 2 3 28 2" xfId="42854"/>
    <cellStyle name="20% - Accent6 4 2 3 29" xfId="20735"/>
    <cellStyle name="20% - Accent6 4 2 3 29 2" xfId="43510"/>
    <cellStyle name="20% - Accent6 4 2 3 3" xfId="2039"/>
    <cellStyle name="20% - Accent6 4 2 3 3 2" xfId="4335"/>
    <cellStyle name="20% - Accent6 4 2 3 3 2 2" xfId="27110"/>
    <cellStyle name="20% - Accent6 4 2 3 3 3" xfId="24814"/>
    <cellStyle name="20% - Accent6 4 2 3 30" xfId="21391"/>
    <cellStyle name="20% - Accent6 4 2 3 30 2" xfId="44166"/>
    <cellStyle name="20% - Accent6 4 2 3 31" xfId="22047"/>
    <cellStyle name="20% - Accent6 4 2 3 31 2" xfId="44822"/>
    <cellStyle name="20% - Accent6 4 2 3 32" xfId="22703"/>
    <cellStyle name="20% - Accent6 4 2 3 32 2" xfId="45478"/>
    <cellStyle name="20% - Accent6 4 2 3 33" xfId="23502"/>
    <cellStyle name="20% - Accent6 4 2 3 4" xfId="4991"/>
    <cellStyle name="20% - Accent6 4 2 3 4 2" xfId="27766"/>
    <cellStyle name="20% - Accent6 4 2 3 5" xfId="5647"/>
    <cellStyle name="20% - Accent6 4 2 3 5 2" xfId="28422"/>
    <cellStyle name="20% - Accent6 4 2 3 6" xfId="6303"/>
    <cellStyle name="20% - Accent6 4 2 3 6 2" xfId="29078"/>
    <cellStyle name="20% - Accent6 4 2 3 7" xfId="3023"/>
    <cellStyle name="20% - Accent6 4 2 3 7 2" xfId="25798"/>
    <cellStyle name="20% - Accent6 4 2 3 8" xfId="6959"/>
    <cellStyle name="20% - Accent6 4 2 3 8 2" xfId="29734"/>
    <cellStyle name="20% - Accent6 4 2 3 9" xfId="7615"/>
    <cellStyle name="20% - Accent6 4 2 3 9 2" xfId="30390"/>
    <cellStyle name="20% - Accent6 4 2 30" xfId="19095"/>
    <cellStyle name="20% - Accent6 4 2 30 2" xfId="41870"/>
    <cellStyle name="20% - Accent6 4 2 31" xfId="19751"/>
    <cellStyle name="20% - Accent6 4 2 31 2" xfId="42526"/>
    <cellStyle name="20% - Accent6 4 2 32" xfId="20407"/>
    <cellStyle name="20% - Accent6 4 2 32 2" xfId="43182"/>
    <cellStyle name="20% - Accent6 4 2 33" xfId="21063"/>
    <cellStyle name="20% - Accent6 4 2 33 2" xfId="43838"/>
    <cellStyle name="20% - Accent6 4 2 34" xfId="21719"/>
    <cellStyle name="20% - Accent6 4 2 34 2" xfId="44494"/>
    <cellStyle name="20% - Accent6 4 2 35" xfId="22375"/>
    <cellStyle name="20% - Accent6 4 2 35 2" xfId="45150"/>
    <cellStyle name="20% - Accent6 4 2 36" xfId="23031"/>
    <cellStyle name="20% - Accent6 4 2 4" xfId="400"/>
    <cellStyle name="20% - Accent6 4 2 4 2" xfId="2695"/>
    <cellStyle name="20% - Accent6 4 2 4 2 2" xfId="25470"/>
    <cellStyle name="20% - Accent6 4 2 4 3" xfId="23174"/>
    <cellStyle name="20% - Accent6 4 2 5" xfId="1055"/>
    <cellStyle name="20% - Accent6 4 2 5 2" xfId="3351"/>
    <cellStyle name="20% - Accent6 4 2 5 2 2" xfId="26126"/>
    <cellStyle name="20% - Accent6 4 2 5 3" xfId="23830"/>
    <cellStyle name="20% - Accent6 4 2 6" xfId="1711"/>
    <cellStyle name="20% - Accent6 4 2 6 2" xfId="4007"/>
    <cellStyle name="20% - Accent6 4 2 6 2 2" xfId="26782"/>
    <cellStyle name="20% - Accent6 4 2 6 3" xfId="24486"/>
    <cellStyle name="20% - Accent6 4 2 7" xfId="4663"/>
    <cellStyle name="20% - Accent6 4 2 7 2" xfId="27438"/>
    <cellStyle name="20% - Accent6 4 2 8" xfId="5319"/>
    <cellStyle name="20% - Accent6 4 2 8 2" xfId="28094"/>
    <cellStyle name="20% - Accent6 4 2 9" xfId="5975"/>
    <cellStyle name="20% - Accent6 4 2 9 2" xfId="28750"/>
    <cellStyle name="20% - Accent6 4 20" xfId="11808"/>
    <cellStyle name="20% - Accent6 4 20 2" xfId="34583"/>
    <cellStyle name="20% - Accent6 4 21" xfId="12464"/>
    <cellStyle name="20% - Accent6 4 21 2" xfId="35239"/>
    <cellStyle name="20% - Accent6 4 22" xfId="13120"/>
    <cellStyle name="20% - Accent6 4 22 2" xfId="35895"/>
    <cellStyle name="20% - Accent6 4 23" xfId="13776"/>
    <cellStyle name="20% - Accent6 4 23 2" xfId="36551"/>
    <cellStyle name="20% - Accent6 4 24" xfId="14432"/>
    <cellStyle name="20% - Accent6 4 24 2" xfId="37207"/>
    <cellStyle name="20% - Accent6 4 25" xfId="15088"/>
    <cellStyle name="20% - Accent6 4 25 2" xfId="37863"/>
    <cellStyle name="20% - Accent6 4 26" xfId="15744"/>
    <cellStyle name="20% - Accent6 4 26 2" xfId="38519"/>
    <cellStyle name="20% - Accent6 4 27" xfId="16400"/>
    <cellStyle name="20% - Accent6 4 27 2" xfId="39175"/>
    <cellStyle name="20% - Accent6 4 28" xfId="17056"/>
    <cellStyle name="20% - Accent6 4 28 2" xfId="39831"/>
    <cellStyle name="20% - Accent6 4 29" xfId="17712"/>
    <cellStyle name="20% - Accent6 4 29 2" xfId="40487"/>
    <cellStyle name="20% - Accent6 4 3" xfId="513"/>
    <cellStyle name="20% - Accent6 4 3 10" xfId="6745"/>
    <cellStyle name="20% - Accent6 4 3 10 2" xfId="29520"/>
    <cellStyle name="20% - Accent6 4 3 11" xfId="7401"/>
    <cellStyle name="20% - Accent6 4 3 11 2" xfId="30176"/>
    <cellStyle name="20% - Accent6 4 3 12" xfId="8057"/>
    <cellStyle name="20% - Accent6 4 3 12 2" xfId="30832"/>
    <cellStyle name="20% - Accent6 4 3 13" xfId="8713"/>
    <cellStyle name="20% - Accent6 4 3 13 2" xfId="31488"/>
    <cellStyle name="20% - Accent6 4 3 14" xfId="9369"/>
    <cellStyle name="20% - Accent6 4 3 14 2" xfId="32144"/>
    <cellStyle name="20% - Accent6 4 3 15" xfId="10025"/>
    <cellStyle name="20% - Accent6 4 3 15 2" xfId="32800"/>
    <cellStyle name="20% - Accent6 4 3 16" xfId="10681"/>
    <cellStyle name="20% - Accent6 4 3 16 2" xfId="33456"/>
    <cellStyle name="20% - Accent6 4 3 17" xfId="11337"/>
    <cellStyle name="20% - Accent6 4 3 17 2" xfId="34112"/>
    <cellStyle name="20% - Accent6 4 3 18" xfId="11993"/>
    <cellStyle name="20% - Accent6 4 3 18 2" xfId="34768"/>
    <cellStyle name="20% - Accent6 4 3 19" xfId="12649"/>
    <cellStyle name="20% - Accent6 4 3 19 2" xfId="35424"/>
    <cellStyle name="20% - Accent6 4 3 2" xfId="841"/>
    <cellStyle name="20% - Accent6 4 3 2 10" xfId="8385"/>
    <cellStyle name="20% - Accent6 4 3 2 10 2" xfId="31160"/>
    <cellStyle name="20% - Accent6 4 3 2 11" xfId="9041"/>
    <cellStyle name="20% - Accent6 4 3 2 11 2" xfId="31816"/>
    <cellStyle name="20% - Accent6 4 3 2 12" xfId="9697"/>
    <cellStyle name="20% - Accent6 4 3 2 12 2" xfId="32472"/>
    <cellStyle name="20% - Accent6 4 3 2 13" xfId="10353"/>
    <cellStyle name="20% - Accent6 4 3 2 13 2" xfId="33128"/>
    <cellStyle name="20% - Accent6 4 3 2 14" xfId="11009"/>
    <cellStyle name="20% - Accent6 4 3 2 14 2" xfId="33784"/>
    <cellStyle name="20% - Accent6 4 3 2 15" xfId="11665"/>
    <cellStyle name="20% - Accent6 4 3 2 15 2" xfId="34440"/>
    <cellStyle name="20% - Accent6 4 3 2 16" xfId="12321"/>
    <cellStyle name="20% - Accent6 4 3 2 16 2" xfId="35096"/>
    <cellStyle name="20% - Accent6 4 3 2 17" xfId="12977"/>
    <cellStyle name="20% - Accent6 4 3 2 17 2" xfId="35752"/>
    <cellStyle name="20% - Accent6 4 3 2 18" xfId="13633"/>
    <cellStyle name="20% - Accent6 4 3 2 18 2" xfId="36408"/>
    <cellStyle name="20% - Accent6 4 3 2 19" xfId="14289"/>
    <cellStyle name="20% - Accent6 4 3 2 19 2" xfId="37064"/>
    <cellStyle name="20% - Accent6 4 3 2 2" xfId="1497"/>
    <cellStyle name="20% - Accent6 4 3 2 2 2" xfId="3793"/>
    <cellStyle name="20% - Accent6 4 3 2 2 2 2" xfId="26568"/>
    <cellStyle name="20% - Accent6 4 3 2 2 3" xfId="24272"/>
    <cellStyle name="20% - Accent6 4 3 2 20" xfId="14945"/>
    <cellStyle name="20% - Accent6 4 3 2 20 2" xfId="37720"/>
    <cellStyle name="20% - Accent6 4 3 2 21" xfId="15601"/>
    <cellStyle name="20% - Accent6 4 3 2 21 2" xfId="38376"/>
    <cellStyle name="20% - Accent6 4 3 2 22" xfId="16257"/>
    <cellStyle name="20% - Accent6 4 3 2 22 2" xfId="39032"/>
    <cellStyle name="20% - Accent6 4 3 2 23" xfId="16913"/>
    <cellStyle name="20% - Accent6 4 3 2 23 2" xfId="39688"/>
    <cellStyle name="20% - Accent6 4 3 2 24" xfId="17569"/>
    <cellStyle name="20% - Accent6 4 3 2 24 2" xfId="40344"/>
    <cellStyle name="20% - Accent6 4 3 2 25" xfId="18225"/>
    <cellStyle name="20% - Accent6 4 3 2 25 2" xfId="41000"/>
    <cellStyle name="20% - Accent6 4 3 2 26" xfId="18881"/>
    <cellStyle name="20% - Accent6 4 3 2 26 2" xfId="41656"/>
    <cellStyle name="20% - Accent6 4 3 2 27" xfId="19537"/>
    <cellStyle name="20% - Accent6 4 3 2 27 2" xfId="42312"/>
    <cellStyle name="20% - Accent6 4 3 2 28" xfId="20193"/>
    <cellStyle name="20% - Accent6 4 3 2 28 2" xfId="42968"/>
    <cellStyle name="20% - Accent6 4 3 2 29" xfId="20849"/>
    <cellStyle name="20% - Accent6 4 3 2 29 2" xfId="43624"/>
    <cellStyle name="20% - Accent6 4 3 2 3" xfId="2153"/>
    <cellStyle name="20% - Accent6 4 3 2 3 2" xfId="4449"/>
    <cellStyle name="20% - Accent6 4 3 2 3 2 2" xfId="27224"/>
    <cellStyle name="20% - Accent6 4 3 2 3 3" xfId="24928"/>
    <cellStyle name="20% - Accent6 4 3 2 30" xfId="21505"/>
    <cellStyle name="20% - Accent6 4 3 2 30 2" xfId="44280"/>
    <cellStyle name="20% - Accent6 4 3 2 31" xfId="22161"/>
    <cellStyle name="20% - Accent6 4 3 2 31 2" xfId="44936"/>
    <cellStyle name="20% - Accent6 4 3 2 32" xfId="22817"/>
    <cellStyle name="20% - Accent6 4 3 2 32 2" xfId="45592"/>
    <cellStyle name="20% - Accent6 4 3 2 33" xfId="23616"/>
    <cellStyle name="20% - Accent6 4 3 2 4" xfId="5105"/>
    <cellStyle name="20% - Accent6 4 3 2 4 2" xfId="27880"/>
    <cellStyle name="20% - Accent6 4 3 2 5" xfId="5761"/>
    <cellStyle name="20% - Accent6 4 3 2 5 2" xfId="28536"/>
    <cellStyle name="20% - Accent6 4 3 2 6" xfId="6417"/>
    <cellStyle name="20% - Accent6 4 3 2 6 2" xfId="29192"/>
    <cellStyle name="20% - Accent6 4 3 2 7" xfId="3137"/>
    <cellStyle name="20% - Accent6 4 3 2 7 2" xfId="25912"/>
    <cellStyle name="20% - Accent6 4 3 2 8" xfId="7073"/>
    <cellStyle name="20% - Accent6 4 3 2 8 2" xfId="29848"/>
    <cellStyle name="20% - Accent6 4 3 2 9" xfId="7729"/>
    <cellStyle name="20% - Accent6 4 3 2 9 2" xfId="30504"/>
    <cellStyle name="20% - Accent6 4 3 20" xfId="13305"/>
    <cellStyle name="20% - Accent6 4 3 20 2" xfId="36080"/>
    <cellStyle name="20% - Accent6 4 3 21" xfId="13961"/>
    <cellStyle name="20% - Accent6 4 3 21 2" xfId="36736"/>
    <cellStyle name="20% - Accent6 4 3 22" xfId="14617"/>
    <cellStyle name="20% - Accent6 4 3 22 2" xfId="37392"/>
    <cellStyle name="20% - Accent6 4 3 23" xfId="15273"/>
    <cellStyle name="20% - Accent6 4 3 23 2" xfId="38048"/>
    <cellStyle name="20% - Accent6 4 3 24" xfId="15929"/>
    <cellStyle name="20% - Accent6 4 3 24 2" xfId="38704"/>
    <cellStyle name="20% - Accent6 4 3 25" xfId="16585"/>
    <cellStyle name="20% - Accent6 4 3 25 2" xfId="39360"/>
    <cellStyle name="20% - Accent6 4 3 26" xfId="17241"/>
    <cellStyle name="20% - Accent6 4 3 26 2" xfId="40016"/>
    <cellStyle name="20% - Accent6 4 3 27" xfId="17897"/>
    <cellStyle name="20% - Accent6 4 3 27 2" xfId="40672"/>
    <cellStyle name="20% - Accent6 4 3 28" xfId="18553"/>
    <cellStyle name="20% - Accent6 4 3 28 2" xfId="41328"/>
    <cellStyle name="20% - Accent6 4 3 29" xfId="19209"/>
    <cellStyle name="20% - Accent6 4 3 29 2" xfId="41984"/>
    <cellStyle name="20% - Accent6 4 3 3" xfId="1169"/>
    <cellStyle name="20% - Accent6 4 3 3 2" xfId="2809"/>
    <cellStyle name="20% - Accent6 4 3 3 2 2" xfId="25584"/>
    <cellStyle name="20% - Accent6 4 3 3 3" xfId="23944"/>
    <cellStyle name="20% - Accent6 4 3 30" xfId="19865"/>
    <cellStyle name="20% - Accent6 4 3 30 2" xfId="42640"/>
    <cellStyle name="20% - Accent6 4 3 31" xfId="20521"/>
    <cellStyle name="20% - Accent6 4 3 31 2" xfId="43296"/>
    <cellStyle name="20% - Accent6 4 3 32" xfId="21177"/>
    <cellStyle name="20% - Accent6 4 3 32 2" xfId="43952"/>
    <cellStyle name="20% - Accent6 4 3 33" xfId="21833"/>
    <cellStyle name="20% - Accent6 4 3 33 2" xfId="44608"/>
    <cellStyle name="20% - Accent6 4 3 34" xfId="22489"/>
    <cellStyle name="20% - Accent6 4 3 34 2" xfId="45264"/>
    <cellStyle name="20% - Accent6 4 3 35" xfId="23288"/>
    <cellStyle name="20% - Accent6 4 3 4" xfId="1825"/>
    <cellStyle name="20% - Accent6 4 3 4 2" xfId="3465"/>
    <cellStyle name="20% - Accent6 4 3 4 2 2" xfId="26240"/>
    <cellStyle name="20% - Accent6 4 3 4 3" xfId="24600"/>
    <cellStyle name="20% - Accent6 4 3 5" xfId="4121"/>
    <cellStyle name="20% - Accent6 4 3 5 2" xfId="26896"/>
    <cellStyle name="20% - Accent6 4 3 6" xfId="4777"/>
    <cellStyle name="20% - Accent6 4 3 6 2" xfId="27552"/>
    <cellStyle name="20% - Accent6 4 3 7" xfId="5433"/>
    <cellStyle name="20% - Accent6 4 3 7 2" xfId="28208"/>
    <cellStyle name="20% - Accent6 4 3 8" xfId="6089"/>
    <cellStyle name="20% - Accent6 4 3 8 2" xfId="28864"/>
    <cellStyle name="20% - Accent6 4 3 9" xfId="2481"/>
    <cellStyle name="20% - Accent6 4 3 9 2" xfId="25256"/>
    <cellStyle name="20% - Accent6 4 30" xfId="18368"/>
    <cellStyle name="20% - Accent6 4 30 2" xfId="41143"/>
    <cellStyle name="20% - Accent6 4 31" xfId="19024"/>
    <cellStyle name="20% - Accent6 4 31 2" xfId="41799"/>
    <cellStyle name="20% - Accent6 4 32" xfId="19680"/>
    <cellStyle name="20% - Accent6 4 32 2" xfId="42455"/>
    <cellStyle name="20% - Accent6 4 33" xfId="20336"/>
    <cellStyle name="20% - Accent6 4 33 2" xfId="43111"/>
    <cellStyle name="20% - Accent6 4 34" xfId="20992"/>
    <cellStyle name="20% - Accent6 4 34 2" xfId="43767"/>
    <cellStyle name="20% - Accent6 4 35" xfId="21648"/>
    <cellStyle name="20% - Accent6 4 35 2" xfId="44423"/>
    <cellStyle name="20% - Accent6 4 36" xfId="22304"/>
    <cellStyle name="20% - Accent6 4 36 2" xfId="45079"/>
    <cellStyle name="20% - Accent6 4 37" xfId="243"/>
    <cellStyle name="20% - Accent6 4 38" xfId="22960"/>
    <cellStyle name="20% - Accent6 4 4" xfId="656"/>
    <cellStyle name="20% - Accent6 4 4 10" xfId="8200"/>
    <cellStyle name="20% - Accent6 4 4 10 2" xfId="30975"/>
    <cellStyle name="20% - Accent6 4 4 11" xfId="8856"/>
    <cellStyle name="20% - Accent6 4 4 11 2" xfId="31631"/>
    <cellStyle name="20% - Accent6 4 4 12" xfId="9512"/>
    <cellStyle name="20% - Accent6 4 4 12 2" xfId="32287"/>
    <cellStyle name="20% - Accent6 4 4 13" xfId="10168"/>
    <cellStyle name="20% - Accent6 4 4 13 2" xfId="32943"/>
    <cellStyle name="20% - Accent6 4 4 14" xfId="10824"/>
    <cellStyle name="20% - Accent6 4 4 14 2" xfId="33599"/>
    <cellStyle name="20% - Accent6 4 4 15" xfId="11480"/>
    <cellStyle name="20% - Accent6 4 4 15 2" xfId="34255"/>
    <cellStyle name="20% - Accent6 4 4 16" xfId="12136"/>
    <cellStyle name="20% - Accent6 4 4 16 2" xfId="34911"/>
    <cellStyle name="20% - Accent6 4 4 17" xfId="12792"/>
    <cellStyle name="20% - Accent6 4 4 17 2" xfId="35567"/>
    <cellStyle name="20% - Accent6 4 4 18" xfId="13448"/>
    <cellStyle name="20% - Accent6 4 4 18 2" xfId="36223"/>
    <cellStyle name="20% - Accent6 4 4 19" xfId="14104"/>
    <cellStyle name="20% - Accent6 4 4 19 2" xfId="36879"/>
    <cellStyle name="20% - Accent6 4 4 2" xfId="1312"/>
    <cellStyle name="20% - Accent6 4 4 2 2" xfId="3608"/>
    <cellStyle name="20% - Accent6 4 4 2 2 2" xfId="26383"/>
    <cellStyle name="20% - Accent6 4 4 2 3" xfId="24087"/>
    <cellStyle name="20% - Accent6 4 4 20" xfId="14760"/>
    <cellStyle name="20% - Accent6 4 4 20 2" xfId="37535"/>
    <cellStyle name="20% - Accent6 4 4 21" xfId="15416"/>
    <cellStyle name="20% - Accent6 4 4 21 2" xfId="38191"/>
    <cellStyle name="20% - Accent6 4 4 22" xfId="16072"/>
    <cellStyle name="20% - Accent6 4 4 22 2" xfId="38847"/>
    <cellStyle name="20% - Accent6 4 4 23" xfId="16728"/>
    <cellStyle name="20% - Accent6 4 4 23 2" xfId="39503"/>
    <cellStyle name="20% - Accent6 4 4 24" xfId="17384"/>
    <cellStyle name="20% - Accent6 4 4 24 2" xfId="40159"/>
    <cellStyle name="20% - Accent6 4 4 25" xfId="18040"/>
    <cellStyle name="20% - Accent6 4 4 25 2" xfId="40815"/>
    <cellStyle name="20% - Accent6 4 4 26" xfId="18696"/>
    <cellStyle name="20% - Accent6 4 4 26 2" xfId="41471"/>
    <cellStyle name="20% - Accent6 4 4 27" xfId="19352"/>
    <cellStyle name="20% - Accent6 4 4 27 2" xfId="42127"/>
    <cellStyle name="20% - Accent6 4 4 28" xfId="20008"/>
    <cellStyle name="20% - Accent6 4 4 28 2" xfId="42783"/>
    <cellStyle name="20% - Accent6 4 4 29" xfId="20664"/>
    <cellStyle name="20% - Accent6 4 4 29 2" xfId="43439"/>
    <cellStyle name="20% - Accent6 4 4 3" xfId="1968"/>
    <cellStyle name="20% - Accent6 4 4 3 2" xfId="4264"/>
    <cellStyle name="20% - Accent6 4 4 3 2 2" xfId="27039"/>
    <cellStyle name="20% - Accent6 4 4 3 3" xfId="24743"/>
    <cellStyle name="20% - Accent6 4 4 30" xfId="21320"/>
    <cellStyle name="20% - Accent6 4 4 30 2" xfId="44095"/>
    <cellStyle name="20% - Accent6 4 4 31" xfId="21976"/>
    <cellStyle name="20% - Accent6 4 4 31 2" xfId="44751"/>
    <cellStyle name="20% - Accent6 4 4 32" xfId="22632"/>
    <cellStyle name="20% - Accent6 4 4 32 2" xfId="45407"/>
    <cellStyle name="20% - Accent6 4 4 33" xfId="23431"/>
    <cellStyle name="20% - Accent6 4 4 4" xfId="4920"/>
    <cellStyle name="20% - Accent6 4 4 4 2" xfId="27695"/>
    <cellStyle name="20% - Accent6 4 4 5" xfId="5576"/>
    <cellStyle name="20% - Accent6 4 4 5 2" xfId="28351"/>
    <cellStyle name="20% - Accent6 4 4 6" xfId="6232"/>
    <cellStyle name="20% - Accent6 4 4 6 2" xfId="29007"/>
    <cellStyle name="20% - Accent6 4 4 7" xfId="2952"/>
    <cellStyle name="20% - Accent6 4 4 7 2" xfId="25727"/>
    <cellStyle name="20% - Accent6 4 4 8" xfId="6888"/>
    <cellStyle name="20% - Accent6 4 4 8 2" xfId="29663"/>
    <cellStyle name="20% - Accent6 4 4 9" xfId="7544"/>
    <cellStyle name="20% - Accent6 4 4 9 2" xfId="30319"/>
    <cellStyle name="20% - Accent6 4 5" xfId="329"/>
    <cellStyle name="20% - Accent6 4 5 2" xfId="2624"/>
    <cellStyle name="20% - Accent6 4 5 2 2" xfId="25399"/>
    <cellStyle name="20% - Accent6 4 5 3" xfId="23103"/>
    <cellStyle name="20% - Accent6 4 6" xfId="984"/>
    <cellStyle name="20% - Accent6 4 6 2" xfId="3280"/>
    <cellStyle name="20% - Accent6 4 6 2 2" xfId="26055"/>
    <cellStyle name="20% - Accent6 4 6 3" xfId="23759"/>
    <cellStyle name="20% - Accent6 4 7" xfId="1640"/>
    <cellStyle name="20% - Accent6 4 7 2" xfId="3936"/>
    <cellStyle name="20% - Accent6 4 7 2 2" xfId="26711"/>
    <cellStyle name="20% - Accent6 4 7 3" xfId="24415"/>
    <cellStyle name="20% - Accent6 4 8" xfId="4592"/>
    <cellStyle name="20% - Accent6 4 8 2" xfId="27367"/>
    <cellStyle name="20% - Accent6 4 9" xfId="5248"/>
    <cellStyle name="20% - Accent6 4 9 2" xfId="28023"/>
    <cellStyle name="20% - Accent6 40" xfId="20291"/>
    <cellStyle name="20% - Accent6 40 2" xfId="43066"/>
    <cellStyle name="20% - Accent6 41" xfId="20947"/>
    <cellStyle name="20% - Accent6 41 2" xfId="43722"/>
    <cellStyle name="20% - Accent6 42" xfId="21603"/>
    <cellStyle name="20% - Accent6 42 2" xfId="44378"/>
    <cellStyle name="20% - Accent6 43" xfId="22259"/>
    <cellStyle name="20% - Accent6 43 2" xfId="45034"/>
    <cellStyle name="20% - Accent6 44" xfId="198"/>
    <cellStyle name="20% - Accent6 45" xfId="22915"/>
    <cellStyle name="20% - Accent6 5" xfId="112"/>
    <cellStyle name="20% - Accent6 5 10" xfId="5918"/>
    <cellStyle name="20% - Accent6 5 10 2" xfId="28693"/>
    <cellStyle name="20% - Accent6 5 11" xfId="2310"/>
    <cellStyle name="20% - Accent6 5 11 2" xfId="25085"/>
    <cellStyle name="20% - Accent6 5 12" xfId="6574"/>
    <cellStyle name="20% - Accent6 5 12 2" xfId="29349"/>
    <cellStyle name="20% - Accent6 5 13" xfId="7230"/>
    <cellStyle name="20% - Accent6 5 13 2" xfId="30005"/>
    <cellStyle name="20% - Accent6 5 14" xfId="7886"/>
    <cellStyle name="20% - Accent6 5 14 2" xfId="30661"/>
    <cellStyle name="20% - Accent6 5 15" xfId="8542"/>
    <cellStyle name="20% - Accent6 5 15 2" xfId="31317"/>
    <cellStyle name="20% - Accent6 5 16" xfId="9198"/>
    <cellStyle name="20% - Accent6 5 16 2" xfId="31973"/>
    <cellStyle name="20% - Accent6 5 17" xfId="9854"/>
    <cellStyle name="20% - Accent6 5 17 2" xfId="32629"/>
    <cellStyle name="20% - Accent6 5 18" xfId="10510"/>
    <cellStyle name="20% - Accent6 5 18 2" xfId="33285"/>
    <cellStyle name="20% - Accent6 5 19" xfId="11166"/>
    <cellStyle name="20% - Accent6 5 19 2" xfId="33941"/>
    <cellStyle name="20% - Accent6 5 2" xfId="183"/>
    <cellStyle name="20% - Accent6 5 2 10" xfId="2381"/>
    <cellStyle name="20% - Accent6 5 2 10 2" xfId="25156"/>
    <cellStyle name="20% - Accent6 5 2 11" xfId="6645"/>
    <cellStyle name="20% - Accent6 5 2 11 2" xfId="29420"/>
    <cellStyle name="20% - Accent6 5 2 12" xfId="7301"/>
    <cellStyle name="20% - Accent6 5 2 12 2" xfId="30076"/>
    <cellStyle name="20% - Accent6 5 2 13" xfId="7957"/>
    <cellStyle name="20% - Accent6 5 2 13 2" xfId="30732"/>
    <cellStyle name="20% - Accent6 5 2 14" xfId="8613"/>
    <cellStyle name="20% - Accent6 5 2 14 2" xfId="31388"/>
    <cellStyle name="20% - Accent6 5 2 15" xfId="9269"/>
    <cellStyle name="20% - Accent6 5 2 15 2" xfId="32044"/>
    <cellStyle name="20% - Accent6 5 2 16" xfId="9925"/>
    <cellStyle name="20% - Accent6 5 2 16 2" xfId="32700"/>
    <cellStyle name="20% - Accent6 5 2 17" xfId="10581"/>
    <cellStyle name="20% - Accent6 5 2 17 2" xfId="33356"/>
    <cellStyle name="20% - Accent6 5 2 18" xfId="11237"/>
    <cellStyle name="20% - Accent6 5 2 18 2" xfId="34012"/>
    <cellStyle name="20% - Accent6 5 2 19" xfId="11893"/>
    <cellStyle name="20% - Accent6 5 2 19 2" xfId="34668"/>
    <cellStyle name="20% - Accent6 5 2 2" xfId="597"/>
    <cellStyle name="20% - Accent6 5 2 2 10" xfId="6830"/>
    <cellStyle name="20% - Accent6 5 2 2 10 2" xfId="29605"/>
    <cellStyle name="20% - Accent6 5 2 2 11" xfId="7486"/>
    <cellStyle name="20% - Accent6 5 2 2 11 2" xfId="30261"/>
    <cellStyle name="20% - Accent6 5 2 2 12" xfId="8142"/>
    <cellStyle name="20% - Accent6 5 2 2 12 2" xfId="30917"/>
    <cellStyle name="20% - Accent6 5 2 2 13" xfId="8798"/>
    <cellStyle name="20% - Accent6 5 2 2 13 2" xfId="31573"/>
    <cellStyle name="20% - Accent6 5 2 2 14" xfId="9454"/>
    <cellStyle name="20% - Accent6 5 2 2 14 2" xfId="32229"/>
    <cellStyle name="20% - Accent6 5 2 2 15" xfId="10110"/>
    <cellStyle name="20% - Accent6 5 2 2 15 2" xfId="32885"/>
    <cellStyle name="20% - Accent6 5 2 2 16" xfId="10766"/>
    <cellStyle name="20% - Accent6 5 2 2 16 2" xfId="33541"/>
    <cellStyle name="20% - Accent6 5 2 2 17" xfId="11422"/>
    <cellStyle name="20% - Accent6 5 2 2 17 2" xfId="34197"/>
    <cellStyle name="20% - Accent6 5 2 2 18" xfId="12078"/>
    <cellStyle name="20% - Accent6 5 2 2 18 2" xfId="34853"/>
    <cellStyle name="20% - Accent6 5 2 2 19" xfId="12734"/>
    <cellStyle name="20% - Accent6 5 2 2 19 2" xfId="35509"/>
    <cellStyle name="20% - Accent6 5 2 2 2" xfId="926"/>
    <cellStyle name="20% - Accent6 5 2 2 2 10" xfId="8470"/>
    <cellStyle name="20% - Accent6 5 2 2 2 10 2" xfId="31245"/>
    <cellStyle name="20% - Accent6 5 2 2 2 11" xfId="9126"/>
    <cellStyle name="20% - Accent6 5 2 2 2 11 2" xfId="31901"/>
    <cellStyle name="20% - Accent6 5 2 2 2 12" xfId="9782"/>
    <cellStyle name="20% - Accent6 5 2 2 2 12 2" xfId="32557"/>
    <cellStyle name="20% - Accent6 5 2 2 2 13" xfId="10438"/>
    <cellStyle name="20% - Accent6 5 2 2 2 13 2" xfId="33213"/>
    <cellStyle name="20% - Accent6 5 2 2 2 14" xfId="11094"/>
    <cellStyle name="20% - Accent6 5 2 2 2 14 2" xfId="33869"/>
    <cellStyle name="20% - Accent6 5 2 2 2 15" xfId="11750"/>
    <cellStyle name="20% - Accent6 5 2 2 2 15 2" xfId="34525"/>
    <cellStyle name="20% - Accent6 5 2 2 2 16" xfId="12406"/>
    <cellStyle name="20% - Accent6 5 2 2 2 16 2" xfId="35181"/>
    <cellStyle name="20% - Accent6 5 2 2 2 17" xfId="13062"/>
    <cellStyle name="20% - Accent6 5 2 2 2 17 2" xfId="35837"/>
    <cellStyle name="20% - Accent6 5 2 2 2 18" xfId="13718"/>
    <cellStyle name="20% - Accent6 5 2 2 2 18 2" xfId="36493"/>
    <cellStyle name="20% - Accent6 5 2 2 2 19" xfId="14374"/>
    <cellStyle name="20% - Accent6 5 2 2 2 19 2" xfId="37149"/>
    <cellStyle name="20% - Accent6 5 2 2 2 2" xfId="1582"/>
    <cellStyle name="20% - Accent6 5 2 2 2 2 2" xfId="3878"/>
    <cellStyle name="20% - Accent6 5 2 2 2 2 2 2" xfId="26653"/>
    <cellStyle name="20% - Accent6 5 2 2 2 2 3" xfId="24357"/>
    <cellStyle name="20% - Accent6 5 2 2 2 20" xfId="15030"/>
    <cellStyle name="20% - Accent6 5 2 2 2 20 2" xfId="37805"/>
    <cellStyle name="20% - Accent6 5 2 2 2 21" xfId="15686"/>
    <cellStyle name="20% - Accent6 5 2 2 2 21 2" xfId="38461"/>
    <cellStyle name="20% - Accent6 5 2 2 2 22" xfId="16342"/>
    <cellStyle name="20% - Accent6 5 2 2 2 22 2" xfId="39117"/>
    <cellStyle name="20% - Accent6 5 2 2 2 23" xfId="16998"/>
    <cellStyle name="20% - Accent6 5 2 2 2 23 2" xfId="39773"/>
    <cellStyle name="20% - Accent6 5 2 2 2 24" xfId="17654"/>
    <cellStyle name="20% - Accent6 5 2 2 2 24 2" xfId="40429"/>
    <cellStyle name="20% - Accent6 5 2 2 2 25" xfId="18310"/>
    <cellStyle name="20% - Accent6 5 2 2 2 25 2" xfId="41085"/>
    <cellStyle name="20% - Accent6 5 2 2 2 26" xfId="18966"/>
    <cellStyle name="20% - Accent6 5 2 2 2 26 2" xfId="41741"/>
    <cellStyle name="20% - Accent6 5 2 2 2 27" xfId="19622"/>
    <cellStyle name="20% - Accent6 5 2 2 2 27 2" xfId="42397"/>
    <cellStyle name="20% - Accent6 5 2 2 2 28" xfId="20278"/>
    <cellStyle name="20% - Accent6 5 2 2 2 28 2" xfId="43053"/>
    <cellStyle name="20% - Accent6 5 2 2 2 29" xfId="20934"/>
    <cellStyle name="20% - Accent6 5 2 2 2 29 2" xfId="43709"/>
    <cellStyle name="20% - Accent6 5 2 2 2 3" xfId="2238"/>
    <cellStyle name="20% - Accent6 5 2 2 2 3 2" xfId="4534"/>
    <cellStyle name="20% - Accent6 5 2 2 2 3 2 2" xfId="27309"/>
    <cellStyle name="20% - Accent6 5 2 2 2 3 3" xfId="25013"/>
    <cellStyle name="20% - Accent6 5 2 2 2 30" xfId="21590"/>
    <cellStyle name="20% - Accent6 5 2 2 2 30 2" xfId="44365"/>
    <cellStyle name="20% - Accent6 5 2 2 2 31" xfId="22246"/>
    <cellStyle name="20% - Accent6 5 2 2 2 31 2" xfId="45021"/>
    <cellStyle name="20% - Accent6 5 2 2 2 32" xfId="22902"/>
    <cellStyle name="20% - Accent6 5 2 2 2 32 2" xfId="45677"/>
    <cellStyle name="20% - Accent6 5 2 2 2 33" xfId="23701"/>
    <cellStyle name="20% - Accent6 5 2 2 2 4" xfId="5190"/>
    <cellStyle name="20% - Accent6 5 2 2 2 4 2" xfId="27965"/>
    <cellStyle name="20% - Accent6 5 2 2 2 5" xfId="5846"/>
    <cellStyle name="20% - Accent6 5 2 2 2 5 2" xfId="28621"/>
    <cellStyle name="20% - Accent6 5 2 2 2 6" xfId="6502"/>
    <cellStyle name="20% - Accent6 5 2 2 2 6 2" xfId="29277"/>
    <cellStyle name="20% - Accent6 5 2 2 2 7" xfId="3222"/>
    <cellStyle name="20% - Accent6 5 2 2 2 7 2" xfId="25997"/>
    <cellStyle name="20% - Accent6 5 2 2 2 8" xfId="7158"/>
    <cellStyle name="20% - Accent6 5 2 2 2 8 2" xfId="29933"/>
    <cellStyle name="20% - Accent6 5 2 2 2 9" xfId="7814"/>
    <cellStyle name="20% - Accent6 5 2 2 2 9 2" xfId="30589"/>
    <cellStyle name="20% - Accent6 5 2 2 20" xfId="13390"/>
    <cellStyle name="20% - Accent6 5 2 2 20 2" xfId="36165"/>
    <cellStyle name="20% - Accent6 5 2 2 21" xfId="14046"/>
    <cellStyle name="20% - Accent6 5 2 2 21 2" xfId="36821"/>
    <cellStyle name="20% - Accent6 5 2 2 22" xfId="14702"/>
    <cellStyle name="20% - Accent6 5 2 2 22 2" xfId="37477"/>
    <cellStyle name="20% - Accent6 5 2 2 23" xfId="15358"/>
    <cellStyle name="20% - Accent6 5 2 2 23 2" xfId="38133"/>
    <cellStyle name="20% - Accent6 5 2 2 24" xfId="16014"/>
    <cellStyle name="20% - Accent6 5 2 2 24 2" xfId="38789"/>
    <cellStyle name="20% - Accent6 5 2 2 25" xfId="16670"/>
    <cellStyle name="20% - Accent6 5 2 2 25 2" xfId="39445"/>
    <cellStyle name="20% - Accent6 5 2 2 26" xfId="17326"/>
    <cellStyle name="20% - Accent6 5 2 2 26 2" xfId="40101"/>
    <cellStyle name="20% - Accent6 5 2 2 27" xfId="17982"/>
    <cellStyle name="20% - Accent6 5 2 2 27 2" xfId="40757"/>
    <cellStyle name="20% - Accent6 5 2 2 28" xfId="18638"/>
    <cellStyle name="20% - Accent6 5 2 2 28 2" xfId="41413"/>
    <cellStyle name="20% - Accent6 5 2 2 29" xfId="19294"/>
    <cellStyle name="20% - Accent6 5 2 2 29 2" xfId="42069"/>
    <cellStyle name="20% - Accent6 5 2 2 3" xfId="1254"/>
    <cellStyle name="20% - Accent6 5 2 2 3 2" xfId="2894"/>
    <cellStyle name="20% - Accent6 5 2 2 3 2 2" xfId="25669"/>
    <cellStyle name="20% - Accent6 5 2 2 3 3" xfId="24029"/>
    <cellStyle name="20% - Accent6 5 2 2 30" xfId="19950"/>
    <cellStyle name="20% - Accent6 5 2 2 30 2" xfId="42725"/>
    <cellStyle name="20% - Accent6 5 2 2 31" xfId="20606"/>
    <cellStyle name="20% - Accent6 5 2 2 31 2" xfId="43381"/>
    <cellStyle name="20% - Accent6 5 2 2 32" xfId="21262"/>
    <cellStyle name="20% - Accent6 5 2 2 32 2" xfId="44037"/>
    <cellStyle name="20% - Accent6 5 2 2 33" xfId="21918"/>
    <cellStyle name="20% - Accent6 5 2 2 33 2" xfId="44693"/>
    <cellStyle name="20% - Accent6 5 2 2 34" xfId="22574"/>
    <cellStyle name="20% - Accent6 5 2 2 34 2" xfId="45349"/>
    <cellStyle name="20% - Accent6 5 2 2 35" xfId="23373"/>
    <cellStyle name="20% - Accent6 5 2 2 4" xfId="1910"/>
    <cellStyle name="20% - Accent6 5 2 2 4 2" xfId="3550"/>
    <cellStyle name="20% - Accent6 5 2 2 4 2 2" xfId="26325"/>
    <cellStyle name="20% - Accent6 5 2 2 4 3" xfId="24685"/>
    <cellStyle name="20% - Accent6 5 2 2 5" xfId="4206"/>
    <cellStyle name="20% - Accent6 5 2 2 5 2" xfId="26981"/>
    <cellStyle name="20% - Accent6 5 2 2 6" xfId="4862"/>
    <cellStyle name="20% - Accent6 5 2 2 6 2" xfId="27637"/>
    <cellStyle name="20% - Accent6 5 2 2 7" xfId="5518"/>
    <cellStyle name="20% - Accent6 5 2 2 7 2" xfId="28293"/>
    <cellStyle name="20% - Accent6 5 2 2 8" xfId="6174"/>
    <cellStyle name="20% - Accent6 5 2 2 8 2" xfId="28949"/>
    <cellStyle name="20% - Accent6 5 2 2 9" xfId="2566"/>
    <cellStyle name="20% - Accent6 5 2 2 9 2" xfId="25341"/>
    <cellStyle name="20% - Accent6 5 2 20" xfId="12549"/>
    <cellStyle name="20% - Accent6 5 2 20 2" xfId="35324"/>
    <cellStyle name="20% - Accent6 5 2 21" xfId="13205"/>
    <cellStyle name="20% - Accent6 5 2 21 2" xfId="35980"/>
    <cellStyle name="20% - Accent6 5 2 22" xfId="13861"/>
    <cellStyle name="20% - Accent6 5 2 22 2" xfId="36636"/>
    <cellStyle name="20% - Accent6 5 2 23" xfId="14517"/>
    <cellStyle name="20% - Accent6 5 2 23 2" xfId="37292"/>
    <cellStyle name="20% - Accent6 5 2 24" xfId="15173"/>
    <cellStyle name="20% - Accent6 5 2 24 2" xfId="37948"/>
    <cellStyle name="20% - Accent6 5 2 25" xfId="15829"/>
    <cellStyle name="20% - Accent6 5 2 25 2" xfId="38604"/>
    <cellStyle name="20% - Accent6 5 2 26" xfId="16485"/>
    <cellStyle name="20% - Accent6 5 2 26 2" xfId="39260"/>
    <cellStyle name="20% - Accent6 5 2 27" xfId="17141"/>
    <cellStyle name="20% - Accent6 5 2 27 2" xfId="39916"/>
    <cellStyle name="20% - Accent6 5 2 28" xfId="17797"/>
    <cellStyle name="20% - Accent6 5 2 28 2" xfId="40572"/>
    <cellStyle name="20% - Accent6 5 2 29" xfId="18453"/>
    <cellStyle name="20% - Accent6 5 2 29 2" xfId="41228"/>
    <cellStyle name="20% - Accent6 5 2 3" xfId="741"/>
    <cellStyle name="20% - Accent6 5 2 3 10" xfId="8285"/>
    <cellStyle name="20% - Accent6 5 2 3 10 2" xfId="31060"/>
    <cellStyle name="20% - Accent6 5 2 3 11" xfId="8941"/>
    <cellStyle name="20% - Accent6 5 2 3 11 2" xfId="31716"/>
    <cellStyle name="20% - Accent6 5 2 3 12" xfId="9597"/>
    <cellStyle name="20% - Accent6 5 2 3 12 2" xfId="32372"/>
    <cellStyle name="20% - Accent6 5 2 3 13" xfId="10253"/>
    <cellStyle name="20% - Accent6 5 2 3 13 2" xfId="33028"/>
    <cellStyle name="20% - Accent6 5 2 3 14" xfId="10909"/>
    <cellStyle name="20% - Accent6 5 2 3 14 2" xfId="33684"/>
    <cellStyle name="20% - Accent6 5 2 3 15" xfId="11565"/>
    <cellStyle name="20% - Accent6 5 2 3 15 2" xfId="34340"/>
    <cellStyle name="20% - Accent6 5 2 3 16" xfId="12221"/>
    <cellStyle name="20% - Accent6 5 2 3 16 2" xfId="34996"/>
    <cellStyle name="20% - Accent6 5 2 3 17" xfId="12877"/>
    <cellStyle name="20% - Accent6 5 2 3 17 2" xfId="35652"/>
    <cellStyle name="20% - Accent6 5 2 3 18" xfId="13533"/>
    <cellStyle name="20% - Accent6 5 2 3 18 2" xfId="36308"/>
    <cellStyle name="20% - Accent6 5 2 3 19" xfId="14189"/>
    <cellStyle name="20% - Accent6 5 2 3 19 2" xfId="36964"/>
    <cellStyle name="20% - Accent6 5 2 3 2" xfId="1397"/>
    <cellStyle name="20% - Accent6 5 2 3 2 2" xfId="3693"/>
    <cellStyle name="20% - Accent6 5 2 3 2 2 2" xfId="26468"/>
    <cellStyle name="20% - Accent6 5 2 3 2 3" xfId="24172"/>
    <cellStyle name="20% - Accent6 5 2 3 20" xfId="14845"/>
    <cellStyle name="20% - Accent6 5 2 3 20 2" xfId="37620"/>
    <cellStyle name="20% - Accent6 5 2 3 21" xfId="15501"/>
    <cellStyle name="20% - Accent6 5 2 3 21 2" xfId="38276"/>
    <cellStyle name="20% - Accent6 5 2 3 22" xfId="16157"/>
    <cellStyle name="20% - Accent6 5 2 3 22 2" xfId="38932"/>
    <cellStyle name="20% - Accent6 5 2 3 23" xfId="16813"/>
    <cellStyle name="20% - Accent6 5 2 3 23 2" xfId="39588"/>
    <cellStyle name="20% - Accent6 5 2 3 24" xfId="17469"/>
    <cellStyle name="20% - Accent6 5 2 3 24 2" xfId="40244"/>
    <cellStyle name="20% - Accent6 5 2 3 25" xfId="18125"/>
    <cellStyle name="20% - Accent6 5 2 3 25 2" xfId="40900"/>
    <cellStyle name="20% - Accent6 5 2 3 26" xfId="18781"/>
    <cellStyle name="20% - Accent6 5 2 3 26 2" xfId="41556"/>
    <cellStyle name="20% - Accent6 5 2 3 27" xfId="19437"/>
    <cellStyle name="20% - Accent6 5 2 3 27 2" xfId="42212"/>
    <cellStyle name="20% - Accent6 5 2 3 28" xfId="20093"/>
    <cellStyle name="20% - Accent6 5 2 3 28 2" xfId="42868"/>
    <cellStyle name="20% - Accent6 5 2 3 29" xfId="20749"/>
    <cellStyle name="20% - Accent6 5 2 3 29 2" xfId="43524"/>
    <cellStyle name="20% - Accent6 5 2 3 3" xfId="2053"/>
    <cellStyle name="20% - Accent6 5 2 3 3 2" xfId="4349"/>
    <cellStyle name="20% - Accent6 5 2 3 3 2 2" xfId="27124"/>
    <cellStyle name="20% - Accent6 5 2 3 3 3" xfId="24828"/>
    <cellStyle name="20% - Accent6 5 2 3 30" xfId="21405"/>
    <cellStyle name="20% - Accent6 5 2 3 30 2" xfId="44180"/>
    <cellStyle name="20% - Accent6 5 2 3 31" xfId="22061"/>
    <cellStyle name="20% - Accent6 5 2 3 31 2" xfId="44836"/>
    <cellStyle name="20% - Accent6 5 2 3 32" xfId="22717"/>
    <cellStyle name="20% - Accent6 5 2 3 32 2" xfId="45492"/>
    <cellStyle name="20% - Accent6 5 2 3 33" xfId="23516"/>
    <cellStyle name="20% - Accent6 5 2 3 4" xfId="5005"/>
    <cellStyle name="20% - Accent6 5 2 3 4 2" xfId="27780"/>
    <cellStyle name="20% - Accent6 5 2 3 5" xfId="5661"/>
    <cellStyle name="20% - Accent6 5 2 3 5 2" xfId="28436"/>
    <cellStyle name="20% - Accent6 5 2 3 6" xfId="6317"/>
    <cellStyle name="20% - Accent6 5 2 3 6 2" xfId="29092"/>
    <cellStyle name="20% - Accent6 5 2 3 7" xfId="3037"/>
    <cellStyle name="20% - Accent6 5 2 3 7 2" xfId="25812"/>
    <cellStyle name="20% - Accent6 5 2 3 8" xfId="6973"/>
    <cellStyle name="20% - Accent6 5 2 3 8 2" xfId="29748"/>
    <cellStyle name="20% - Accent6 5 2 3 9" xfId="7629"/>
    <cellStyle name="20% - Accent6 5 2 3 9 2" xfId="30404"/>
    <cellStyle name="20% - Accent6 5 2 30" xfId="19109"/>
    <cellStyle name="20% - Accent6 5 2 30 2" xfId="41884"/>
    <cellStyle name="20% - Accent6 5 2 31" xfId="19765"/>
    <cellStyle name="20% - Accent6 5 2 31 2" xfId="42540"/>
    <cellStyle name="20% - Accent6 5 2 32" xfId="20421"/>
    <cellStyle name="20% - Accent6 5 2 32 2" xfId="43196"/>
    <cellStyle name="20% - Accent6 5 2 33" xfId="21077"/>
    <cellStyle name="20% - Accent6 5 2 33 2" xfId="43852"/>
    <cellStyle name="20% - Accent6 5 2 34" xfId="21733"/>
    <cellStyle name="20% - Accent6 5 2 34 2" xfId="44508"/>
    <cellStyle name="20% - Accent6 5 2 35" xfId="22389"/>
    <cellStyle name="20% - Accent6 5 2 35 2" xfId="45164"/>
    <cellStyle name="20% - Accent6 5 2 36" xfId="23045"/>
    <cellStyle name="20% - Accent6 5 2 4" xfId="414"/>
    <cellStyle name="20% - Accent6 5 2 4 2" xfId="2709"/>
    <cellStyle name="20% - Accent6 5 2 4 2 2" xfId="25484"/>
    <cellStyle name="20% - Accent6 5 2 4 3" xfId="23188"/>
    <cellStyle name="20% - Accent6 5 2 5" xfId="1069"/>
    <cellStyle name="20% - Accent6 5 2 5 2" xfId="3365"/>
    <cellStyle name="20% - Accent6 5 2 5 2 2" xfId="26140"/>
    <cellStyle name="20% - Accent6 5 2 5 3" xfId="23844"/>
    <cellStyle name="20% - Accent6 5 2 6" xfId="1725"/>
    <cellStyle name="20% - Accent6 5 2 6 2" xfId="4021"/>
    <cellStyle name="20% - Accent6 5 2 6 2 2" xfId="26796"/>
    <cellStyle name="20% - Accent6 5 2 6 3" xfId="24500"/>
    <cellStyle name="20% - Accent6 5 2 7" xfId="4677"/>
    <cellStyle name="20% - Accent6 5 2 7 2" xfId="27452"/>
    <cellStyle name="20% - Accent6 5 2 8" xfId="5333"/>
    <cellStyle name="20% - Accent6 5 2 8 2" xfId="28108"/>
    <cellStyle name="20% - Accent6 5 2 9" xfId="5989"/>
    <cellStyle name="20% - Accent6 5 2 9 2" xfId="28764"/>
    <cellStyle name="20% - Accent6 5 20" xfId="11822"/>
    <cellStyle name="20% - Accent6 5 20 2" xfId="34597"/>
    <cellStyle name="20% - Accent6 5 21" xfId="12478"/>
    <cellStyle name="20% - Accent6 5 21 2" xfId="35253"/>
    <cellStyle name="20% - Accent6 5 22" xfId="13134"/>
    <cellStyle name="20% - Accent6 5 22 2" xfId="35909"/>
    <cellStyle name="20% - Accent6 5 23" xfId="13790"/>
    <cellStyle name="20% - Accent6 5 23 2" xfId="36565"/>
    <cellStyle name="20% - Accent6 5 24" xfId="14446"/>
    <cellStyle name="20% - Accent6 5 24 2" xfId="37221"/>
    <cellStyle name="20% - Accent6 5 25" xfId="15102"/>
    <cellStyle name="20% - Accent6 5 25 2" xfId="37877"/>
    <cellStyle name="20% - Accent6 5 26" xfId="15758"/>
    <cellStyle name="20% - Accent6 5 26 2" xfId="38533"/>
    <cellStyle name="20% - Accent6 5 27" xfId="16414"/>
    <cellStyle name="20% - Accent6 5 27 2" xfId="39189"/>
    <cellStyle name="20% - Accent6 5 28" xfId="17070"/>
    <cellStyle name="20% - Accent6 5 28 2" xfId="39845"/>
    <cellStyle name="20% - Accent6 5 29" xfId="17726"/>
    <cellStyle name="20% - Accent6 5 29 2" xfId="40501"/>
    <cellStyle name="20% - Accent6 5 3" xfId="527"/>
    <cellStyle name="20% - Accent6 5 3 10" xfId="6759"/>
    <cellStyle name="20% - Accent6 5 3 10 2" xfId="29534"/>
    <cellStyle name="20% - Accent6 5 3 11" xfId="7415"/>
    <cellStyle name="20% - Accent6 5 3 11 2" xfId="30190"/>
    <cellStyle name="20% - Accent6 5 3 12" xfId="8071"/>
    <cellStyle name="20% - Accent6 5 3 12 2" xfId="30846"/>
    <cellStyle name="20% - Accent6 5 3 13" xfId="8727"/>
    <cellStyle name="20% - Accent6 5 3 13 2" xfId="31502"/>
    <cellStyle name="20% - Accent6 5 3 14" xfId="9383"/>
    <cellStyle name="20% - Accent6 5 3 14 2" xfId="32158"/>
    <cellStyle name="20% - Accent6 5 3 15" xfId="10039"/>
    <cellStyle name="20% - Accent6 5 3 15 2" xfId="32814"/>
    <cellStyle name="20% - Accent6 5 3 16" xfId="10695"/>
    <cellStyle name="20% - Accent6 5 3 16 2" xfId="33470"/>
    <cellStyle name="20% - Accent6 5 3 17" xfId="11351"/>
    <cellStyle name="20% - Accent6 5 3 17 2" xfId="34126"/>
    <cellStyle name="20% - Accent6 5 3 18" xfId="12007"/>
    <cellStyle name="20% - Accent6 5 3 18 2" xfId="34782"/>
    <cellStyle name="20% - Accent6 5 3 19" xfId="12663"/>
    <cellStyle name="20% - Accent6 5 3 19 2" xfId="35438"/>
    <cellStyle name="20% - Accent6 5 3 2" xfId="855"/>
    <cellStyle name="20% - Accent6 5 3 2 10" xfId="8399"/>
    <cellStyle name="20% - Accent6 5 3 2 10 2" xfId="31174"/>
    <cellStyle name="20% - Accent6 5 3 2 11" xfId="9055"/>
    <cellStyle name="20% - Accent6 5 3 2 11 2" xfId="31830"/>
    <cellStyle name="20% - Accent6 5 3 2 12" xfId="9711"/>
    <cellStyle name="20% - Accent6 5 3 2 12 2" xfId="32486"/>
    <cellStyle name="20% - Accent6 5 3 2 13" xfId="10367"/>
    <cellStyle name="20% - Accent6 5 3 2 13 2" xfId="33142"/>
    <cellStyle name="20% - Accent6 5 3 2 14" xfId="11023"/>
    <cellStyle name="20% - Accent6 5 3 2 14 2" xfId="33798"/>
    <cellStyle name="20% - Accent6 5 3 2 15" xfId="11679"/>
    <cellStyle name="20% - Accent6 5 3 2 15 2" xfId="34454"/>
    <cellStyle name="20% - Accent6 5 3 2 16" xfId="12335"/>
    <cellStyle name="20% - Accent6 5 3 2 16 2" xfId="35110"/>
    <cellStyle name="20% - Accent6 5 3 2 17" xfId="12991"/>
    <cellStyle name="20% - Accent6 5 3 2 17 2" xfId="35766"/>
    <cellStyle name="20% - Accent6 5 3 2 18" xfId="13647"/>
    <cellStyle name="20% - Accent6 5 3 2 18 2" xfId="36422"/>
    <cellStyle name="20% - Accent6 5 3 2 19" xfId="14303"/>
    <cellStyle name="20% - Accent6 5 3 2 19 2" xfId="37078"/>
    <cellStyle name="20% - Accent6 5 3 2 2" xfId="1511"/>
    <cellStyle name="20% - Accent6 5 3 2 2 2" xfId="3807"/>
    <cellStyle name="20% - Accent6 5 3 2 2 2 2" xfId="26582"/>
    <cellStyle name="20% - Accent6 5 3 2 2 3" xfId="24286"/>
    <cellStyle name="20% - Accent6 5 3 2 20" xfId="14959"/>
    <cellStyle name="20% - Accent6 5 3 2 20 2" xfId="37734"/>
    <cellStyle name="20% - Accent6 5 3 2 21" xfId="15615"/>
    <cellStyle name="20% - Accent6 5 3 2 21 2" xfId="38390"/>
    <cellStyle name="20% - Accent6 5 3 2 22" xfId="16271"/>
    <cellStyle name="20% - Accent6 5 3 2 22 2" xfId="39046"/>
    <cellStyle name="20% - Accent6 5 3 2 23" xfId="16927"/>
    <cellStyle name="20% - Accent6 5 3 2 23 2" xfId="39702"/>
    <cellStyle name="20% - Accent6 5 3 2 24" xfId="17583"/>
    <cellStyle name="20% - Accent6 5 3 2 24 2" xfId="40358"/>
    <cellStyle name="20% - Accent6 5 3 2 25" xfId="18239"/>
    <cellStyle name="20% - Accent6 5 3 2 25 2" xfId="41014"/>
    <cellStyle name="20% - Accent6 5 3 2 26" xfId="18895"/>
    <cellStyle name="20% - Accent6 5 3 2 26 2" xfId="41670"/>
    <cellStyle name="20% - Accent6 5 3 2 27" xfId="19551"/>
    <cellStyle name="20% - Accent6 5 3 2 27 2" xfId="42326"/>
    <cellStyle name="20% - Accent6 5 3 2 28" xfId="20207"/>
    <cellStyle name="20% - Accent6 5 3 2 28 2" xfId="42982"/>
    <cellStyle name="20% - Accent6 5 3 2 29" xfId="20863"/>
    <cellStyle name="20% - Accent6 5 3 2 29 2" xfId="43638"/>
    <cellStyle name="20% - Accent6 5 3 2 3" xfId="2167"/>
    <cellStyle name="20% - Accent6 5 3 2 3 2" xfId="4463"/>
    <cellStyle name="20% - Accent6 5 3 2 3 2 2" xfId="27238"/>
    <cellStyle name="20% - Accent6 5 3 2 3 3" xfId="24942"/>
    <cellStyle name="20% - Accent6 5 3 2 30" xfId="21519"/>
    <cellStyle name="20% - Accent6 5 3 2 30 2" xfId="44294"/>
    <cellStyle name="20% - Accent6 5 3 2 31" xfId="22175"/>
    <cellStyle name="20% - Accent6 5 3 2 31 2" xfId="44950"/>
    <cellStyle name="20% - Accent6 5 3 2 32" xfId="22831"/>
    <cellStyle name="20% - Accent6 5 3 2 32 2" xfId="45606"/>
    <cellStyle name="20% - Accent6 5 3 2 33" xfId="23630"/>
    <cellStyle name="20% - Accent6 5 3 2 4" xfId="5119"/>
    <cellStyle name="20% - Accent6 5 3 2 4 2" xfId="27894"/>
    <cellStyle name="20% - Accent6 5 3 2 5" xfId="5775"/>
    <cellStyle name="20% - Accent6 5 3 2 5 2" xfId="28550"/>
    <cellStyle name="20% - Accent6 5 3 2 6" xfId="6431"/>
    <cellStyle name="20% - Accent6 5 3 2 6 2" xfId="29206"/>
    <cellStyle name="20% - Accent6 5 3 2 7" xfId="3151"/>
    <cellStyle name="20% - Accent6 5 3 2 7 2" xfId="25926"/>
    <cellStyle name="20% - Accent6 5 3 2 8" xfId="7087"/>
    <cellStyle name="20% - Accent6 5 3 2 8 2" xfId="29862"/>
    <cellStyle name="20% - Accent6 5 3 2 9" xfId="7743"/>
    <cellStyle name="20% - Accent6 5 3 2 9 2" xfId="30518"/>
    <cellStyle name="20% - Accent6 5 3 20" xfId="13319"/>
    <cellStyle name="20% - Accent6 5 3 20 2" xfId="36094"/>
    <cellStyle name="20% - Accent6 5 3 21" xfId="13975"/>
    <cellStyle name="20% - Accent6 5 3 21 2" xfId="36750"/>
    <cellStyle name="20% - Accent6 5 3 22" xfId="14631"/>
    <cellStyle name="20% - Accent6 5 3 22 2" xfId="37406"/>
    <cellStyle name="20% - Accent6 5 3 23" xfId="15287"/>
    <cellStyle name="20% - Accent6 5 3 23 2" xfId="38062"/>
    <cellStyle name="20% - Accent6 5 3 24" xfId="15943"/>
    <cellStyle name="20% - Accent6 5 3 24 2" xfId="38718"/>
    <cellStyle name="20% - Accent6 5 3 25" xfId="16599"/>
    <cellStyle name="20% - Accent6 5 3 25 2" xfId="39374"/>
    <cellStyle name="20% - Accent6 5 3 26" xfId="17255"/>
    <cellStyle name="20% - Accent6 5 3 26 2" xfId="40030"/>
    <cellStyle name="20% - Accent6 5 3 27" xfId="17911"/>
    <cellStyle name="20% - Accent6 5 3 27 2" xfId="40686"/>
    <cellStyle name="20% - Accent6 5 3 28" xfId="18567"/>
    <cellStyle name="20% - Accent6 5 3 28 2" xfId="41342"/>
    <cellStyle name="20% - Accent6 5 3 29" xfId="19223"/>
    <cellStyle name="20% - Accent6 5 3 29 2" xfId="41998"/>
    <cellStyle name="20% - Accent6 5 3 3" xfId="1183"/>
    <cellStyle name="20% - Accent6 5 3 3 2" xfId="2823"/>
    <cellStyle name="20% - Accent6 5 3 3 2 2" xfId="25598"/>
    <cellStyle name="20% - Accent6 5 3 3 3" xfId="23958"/>
    <cellStyle name="20% - Accent6 5 3 30" xfId="19879"/>
    <cellStyle name="20% - Accent6 5 3 30 2" xfId="42654"/>
    <cellStyle name="20% - Accent6 5 3 31" xfId="20535"/>
    <cellStyle name="20% - Accent6 5 3 31 2" xfId="43310"/>
    <cellStyle name="20% - Accent6 5 3 32" xfId="21191"/>
    <cellStyle name="20% - Accent6 5 3 32 2" xfId="43966"/>
    <cellStyle name="20% - Accent6 5 3 33" xfId="21847"/>
    <cellStyle name="20% - Accent6 5 3 33 2" xfId="44622"/>
    <cellStyle name="20% - Accent6 5 3 34" xfId="22503"/>
    <cellStyle name="20% - Accent6 5 3 34 2" xfId="45278"/>
    <cellStyle name="20% - Accent6 5 3 35" xfId="23302"/>
    <cellStyle name="20% - Accent6 5 3 4" xfId="1839"/>
    <cellStyle name="20% - Accent6 5 3 4 2" xfId="3479"/>
    <cellStyle name="20% - Accent6 5 3 4 2 2" xfId="26254"/>
    <cellStyle name="20% - Accent6 5 3 4 3" xfId="24614"/>
    <cellStyle name="20% - Accent6 5 3 5" xfId="4135"/>
    <cellStyle name="20% - Accent6 5 3 5 2" xfId="26910"/>
    <cellStyle name="20% - Accent6 5 3 6" xfId="4791"/>
    <cellStyle name="20% - Accent6 5 3 6 2" xfId="27566"/>
    <cellStyle name="20% - Accent6 5 3 7" xfId="5447"/>
    <cellStyle name="20% - Accent6 5 3 7 2" xfId="28222"/>
    <cellStyle name="20% - Accent6 5 3 8" xfId="6103"/>
    <cellStyle name="20% - Accent6 5 3 8 2" xfId="28878"/>
    <cellStyle name="20% - Accent6 5 3 9" xfId="2495"/>
    <cellStyle name="20% - Accent6 5 3 9 2" xfId="25270"/>
    <cellStyle name="20% - Accent6 5 30" xfId="18382"/>
    <cellStyle name="20% - Accent6 5 30 2" xfId="41157"/>
    <cellStyle name="20% - Accent6 5 31" xfId="19038"/>
    <cellStyle name="20% - Accent6 5 31 2" xfId="41813"/>
    <cellStyle name="20% - Accent6 5 32" xfId="19694"/>
    <cellStyle name="20% - Accent6 5 32 2" xfId="42469"/>
    <cellStyle name="20% - Accent6 5 33" xfId="20350"/>
    <cellStyle name="20% - Accent6 5 33 2" xfId="43125"/>
    <cellStyle name="20% - Accent6 5 34" xfId="21006"/>
    <cellStyle name="20% - Accent6 5 34 2" xfId="43781"/>
    <cellStyle name="20% - Accent6 5 35" xfId="21662"/>
    <cellStyle name="20% - Accent6 5 35 2" xfId="44437"/>
    <cellStyle name="20% - Accent6 5 36" xfId="22318"/>
    <cellStyle name="20% - Accent6 5 36 2" xfId="45093"/>
    <cellStyle name="20% - Accent6 5 37" xfId="257"/>
    <cellStyle name="20% - Accent6 5 38" xfId="22974"/>
    <cellStyle name="20% - Accent6 5 4" xfId="670"/>
    <cellStyle name="20% - Accent6 5 4 10" xfId="8214"/>
    <cellStyle name="20% - Accent6 5 4 10 2" xfId="30989"/>
    <cellStyle name="20% - Accent6 5 4 11" xfId="8870"/>
    <cellStyle name="20% - Accent6 5 4 11 2" xfId="31645"/>
    <cellStyle name="20% - Accent6 5 4 12" xfId="9526"/>
    <cellStyle name="20% - Accent6 5 4 12 2" xfId="32301"/>
    <cellStyle name="20% - Accent6 5 4 13" xfId="10182"/>
    <cellStyle name="20% - Accent6 5 4 13 2" xfId="32957"/>
    <cellStyle name="20% - Accent6 5 4 14" xfId="10838"/>
    <cellStyle name="20% - Accent6 5 4 14 2" xfId="33613"/>
    <cellStyle name="20% - Accent6 5 4 15" xfId="11494"/>
    <cellStyle name="20% - Accent6 5 4 15 2" xfId="34269"/>
    <cellStyle name="20% - Accent6 5 4 16" xfId="12150"/>
    <cellStyle name="20% - Accent6 5 4 16 2" xfId="34925"/>
    <cellStyle name="20% - Accent6 5 4 17" xfId="12806"/>
    <cellStyle name="20% - Accent6 5 4 17 2" xfId="35581"/>
    <cellStyle name="20% - Accent6 5 4 18" xfId="13462"/>
    <cellStyle name="20% - Accent6 5 4 18 2" xfId="36237"/>
    <cellStyle name="20% - Accent6 5 4 19" xfId="14118"/>
    <cellStyle name="20% - Accent6 5 4 19 2" xfId="36893"/>
    <cellStyle name="20% - Accent6 5 4 2" xfId="1326"/>
    <cellStyle name="20% - Accent6 5 4 2 2" xfId="3622"/>
    <cellStyle name="20% - Accent6 5 4 2 2 2" xfId="26397"/>
    <cellStyle name="20% - Accent6 5 4 2 3" xfId="24101"/>
    <cellStyle name="20% - Accent6 5 4 20" xfId="14774"/>
    <cellStyle name="20% - Accent6 5 4 20 2" xfId="37549"/>
    <cellStyle name="20% - Accent6 5 4 21" xfId="15430"/>
    <cellStyle name="20% - Accent6 5 4 21 2" xfId="38205"/>
    <cellStyle name="20% - Accent6 5 4 22" xfId="16086"/>
    <cellStyle name="20% - Accent6 5 4 22 2" xfId="38861"/>
    <cellStyle name="20% - Accent6 5 4 23" xfId="16742"/>
    <cellStyle name="20% - Accent6 5 4 23 2" xfId="39517"/>
    <cellStyle name="20% - Accent6 5 4 24" xfId="17398"/>
    <cellStyle name="20% - Accent6 5 4 24 2" xfId="40173"/>
    <cellStyle name="20% - Accent6 5 4 25" xfId="18054"/>
    <cellStyle name="20% - Accent6 5 4 25 2" xfId="40829"/>
    <cellStyle name="20% - Accent6 5 4 26" xfId="18710"/>
    <cellStyle name="20% - Accent6 5 4 26 2" xfId="41485"/>
    <cellStyle name="20% - Accent6 5 4 27" xfId="19366"/>
    <cellStyle name="20% - Accent6 5 4 27 2" xfId="42141"/>
    <cellStyle name="20% - Accent6 5 4 28" xfId="20022"/>
    <cellStyle name="20% - Accent6 5 4 28 2" xfId="42797"/>
    <cellStyle name="20% - Accent6 5 4 29" xfId="20678"/>
    <cellStyle name="20% - Accent6 5 4 29 2" xfId="43453"/>
    <cellStyle name="20% - Accent6 5 4 3" xfId="1982"/>
    <cellStyle name="20% - Accent6 5 4 3 2" xfId="4278"/>
    <cellStyle name="20% - Accent6 5 4 3 2 2" xfId="27053"/>
    <cellStyle name="20% - Accent6 5 4 3 3" xfId="24757"/>
    <cellStyle name="20% - Accent6 5 4 30" xfId="21334"/>
    <cellStyle name="20% - Accent6 5 4 30 2" xfId="44109"/>
    <cellStyle name="20% - Accent6 5 4 31" xfId="21990"/>
    <cellStyle name="20% - Accent6 5 4 31 2" xfId="44765"/>
    <cellStyle name="20% - Accent6 5 4 32" xfId="22646"/>
    <cellStyle name="20% - Accent6 5 4 32 2" xfId="45421"/>
    <cellStyle name="20% - Accent6 5 4 33" xfId="23445"/>
    <cellStyle name="20% - Accent6 5 4 4" xfId="4934"/>
    <cellStyle name="20% - Accent6 5 4 4 2" xfId="27709"/>
    <cellStyle name="20% - Accent6 5 4 5" xfId="5590"/>
    <cellStyle name="20% - Accent6 5 4 5 2" xfId="28365"/>
    <cellStyle name="20% - Accent6 5 4 6" xfId="6246"/>
    <cellStyle name="20% - Accent6 5 4 6 2" xfId="29021"/>
    <cellStyle name="20% - Accent6 5 4 7" xfId="2966"/>
    <cellStyle name="20% - Accent6 5 4 7 2" xfId="25741"/>
    <cellStyle name="20% - Accent6 5 4 8" xfId="6902"/>
    <cellStyle name="20% - Accent6 5 4 8 2" xfId="29677"/>
    <cellStyle name="20% - Accent6 5 4 9" xfId="7558"/>
    <cellStyle name="20% - Accent6 5 4 9 2" xfId="30333"/>
    <cellStyle name="20% - Accent6 5 5" xfId="343"/>
    <cellStyle name="20% - Accent6 5 5 2" xfId="2638"/>
    <cellStyle name="20% - Accent6 5 5 2 2" xfId="25413"/>
    <cellStyle name="20% - Accent6 5 5 3" xfId="23117"/>
    <cellStyle name="20% - Accent6 5 6" xfId="998"/>
    <cellStyle name="20% - Accent6 5 6 2" xfId="3294"/>
    <cellStyle name="20% - Accent6 5 6 2 2" xfId="26069"/>
    <cellStyle name="20% - Accent6 5 6 3" xfId="23773"/>
    <cellStyle name="20% - Accent6 5 7" xfId="1654"/>
    <cellStyle name="20% - Accent6 5 7 2" xfId="3950"/>
    <cellStyle name="20% - Accent6 5 7 2 2" xfId="26725"/>
    <cellStyle name="20% - Accent6 5 7 3" xfId="24429"/>
    <cellStyle name="20% - Accent6 5 8" xfId="4606"/>
    <cellStyle name="20% - Accent6 5 8 2" xfId="27381"/>
    <cellStyle name="20% - Accent6 5 9" xfId="5262"/>
    <cellStyle name="20% - Accent6 5 9 2" xfId="28037"/>
    <cellStyle name="20% - Accent6 6" xfId="125"/>
    <cellStyle name="20% - Accent6 6 10" xfId="2323"/>
    <cellStyle name="20% - Accent6 6 10 2" xfId="25098"/>
    <cellStyle name="20% - Accent6 6 11" xfId="6587"/>
    <cellStyle name="20% - Accent6 6 11 2" xfId="29362"/>
    <cellStyle name="20% - Accent6 6 12" xfId="7243"/>
    <cellStyle name="20% - Accent6 6 12 2" xfId="30018"/>
    <cellStyle name="20% - Accent6 6 13" xfId="7899"/>
    <cellStyle name="20% - Accent6 6 13 2" xfId="30674"/>
    <cellStyle name="20% - Accent6 6 14" xfId="8555"/>
    <cellStyle name="20% - Accent6 6 14 2" xfId="31330"/>
    <cellStyle name="20% - Accent6 6 15" xfId="9211"/>
    <cellStyle name="20% - Accent6 6 15 2" xfId="31986"/>
    <cellStyle name="20% - Accent6 6 16" xfId="9867"/>
    <cellStyle name="20% - Accent6 6 16 2" xfId="32642"/>
    <cellStyle name="20% - Accent6 6 17" xfId="10523"/>
    <cellStyle name="20% - Accent6 6 17 2" xfId="33298"/>
    <cellStyle name="20% - Accent6 6 18" xfId="11179"/>
    <cellStyle name="20% - Accent6 6 18 2" xfId="33954"/>
    <cellStyle name="20% - Accent6 6 19" xfId="11835"/>
    <cellStyle name="20% - Accent6 6 19 2" xfId="34610"/>
    <cellStyle name="20% - Accent6 6 2" xfId="539"/>
    <cellStyle name="20% - Accent6 6 2 10" xfId="6772"/>
    <cellStyle name="20% - Accent6 6 2 10 2" xfId="29547"/>
    <cellStyle name="20% - Accent6 6 2 11" xfId="7428"/>
    <cellStyle name="20% - Accent6 6 2 11 2" xfId="30203"/>
    <cellStyle name="20% - Accent6 6 2 12" xfId="8084"/>
    <cellStyle name="20% - Accent6 6 2 12 2" xfId="30859"/>
    <cellStyle name="20% - Accent6 6 2 13" xfId="8740"/>
    <cellStyle name="20% - Accent6 6 2 13 2" xfId="31515"/>
    <cellStyle name="20% - Accent6 6 2 14" xfId="9396"/>
    <cellStyle name="20% - Accent6 6 2 14 2" xfId="32171"/>
    <cellStyle name="20% - Accent6 6 2 15" xfId="10052"/>
    <cellStyle name="20% - Accent6 6 2 15 2" xfId="32827"/>
    <cellStyle name="20% - Accent6 6 2 16" xfId="10708"/>
    <cellStyle name="20% - Accent6 6 2 16 2" xfId="33483"/>
    <cellStyle name="20% - Accent6 6 2 17" xfId="11364"/>
    <cellStyle name="20% - Accent6 6 2 17 2" xfId="34139"/>
    <cellStyle name="20% - Accent6 6 2 18" xfId="12020"/>
    <cellStyle name="20% - Accent6 6 2 18 2" xfId="34795"/>
    <cellStyle name="20% - Accent6 6 2 19" xfId="12676"/>
    <cellStyle name="20% - Accent6 6 2 19 2" xfId="35451"/>
    <cellStyle name="20% - Accent6 6 2 2" xfId="868"/>
    <cellStyle name="20% - Accent6 6 2 2 10" xfId="8412"/>
    <cellStyle name="20% - Accent6 6 2 2 10 2" xfId="31187"/>
    <cellStyle name="20% - Accent6 6 2 2 11" xfId="9068"/>
    <cellStyle name="20% - Accent6 6 2 2 11 2" xfId="31843"/>
    <cellStyle name="20% - Accent6 6 2 2 12" xfId="9724"/>
    <cellStyle name="20% - Accent6 6 2 2 12 2" xfId="32499"/>
    <cellStyle name="20% - Accent6 6 2 2 13" xfId="10380"/>
    <cellStyle name="20% - Accent6 6 2 2 13 2" xfId="33155"/>
    <cellStyle name="20% - Accent6 6 2 2 14" xfId="11036"/>
    <cellStyle name="20% - Accent6 6 2 2 14 2" xfId="33811"/>
    <cellStyle name="20% - Accent6 6 2 2 15" xfId="11692"/>
    <cellStyle name="20% - Accent6 6 2 2 15 2" xfId="34467"/>
    <cellStyle name="20% - Accent6 6 2 2 16" xfId="12348"/>
    <cellStyle name="20% - Accent6 6 2 2 16 2" xfId="35123"/>
    <cellStyle name="20% - Accent6 6 2 2 17" xfId="13004"/>
    <cellStyle name="20% - Accent6 6 2 2 17 2" xfId="35779"/>
    <cellStyle name="20% - Accent6 6 2 2 18" xfId="13660"/>
    <cellStyle name="20% - Accent6 6 2 2 18 2" xfId="36435"/>
    <cellStyle name="20% - Accent6 6 2 2 19" xfId="14316"/>
    <cellStyle name="20% - Accent6 6 2 2 19 2" xfId="37091"/>
    <cellStyle name="20% - Accent6 6 2 2 2" xfId="1524"/>
    <cellStyle name="20% - Accent6 6 2 2 2 2" xfId="3820"/>
    <cellStyle name="20% - Accent6 6 2 2 2 2 2" xfId="26595"/>
    <cellStyle name="20% - Accent6 6 2 2 2 3" xfId="24299"/>
    <cellStyle name="20% - Accent6 6 2 2 20" xfId="14972"/>
    <cellStyle name="20% - Accent6 6 2 2 20 2" xfId="37747"/>
    <cellStyle name="20% - Accent6 6 2 2 21" xfId="15628"/>
    <cellStyle name="20% - Accent6 6 2 2 21 2" xfId="38403"/>
    <cellStyle name="20% - Accent6 6 2 2 22" xfId="16284"/>
    <cellStyle name="20% - Accent6 6 2 2 22 2" xfId="39059"/>
    <cellStyle name="20% - Accent6 6 2 2 23" xfId="16940"/>
    <cellStyle name="20% - Accent6 6 2 2 23 2" xfId="39715"/>
    <cellStyle name="20% - Accent6 6 2 2 24" xfId="17596"/>
    <cellStyle name="20% - Accent6 6 2 2 24 2" xfId="40371"/>
    <cellStyle name="20% - Accent6 6 2 2 25" xfId="18252"/>
    <cellStyle name="20% - Accent6 6 2 2 25 2" xfId="41027"/>
    <cellStyle name="20% - Accent6 6 2 2 26" xfId="18908"/>
    <cellStyle name="20% - Accent6 6 2 2 26 2" xfId="41683"/>
    <cellStyle name="20% - Accent6 6 2 2 27" xfId="19564"/>
    <cellStyle name="20% - Accent6 6 2 2 27 2" xfId="42339"/>
    <cellStyle name="20% - Accent6 6 2 2 28" xfId="20220"/>
    <cellStyle name="20% - Accent6 6 2 2 28 2" xfId="42995"/>
    <cellStyle name="20% - Accent6 6 2 2 29" xfId="20876"/>
    <cellStyle name="20% - Accent6 6 2 2 29 2" xfId="43651"/>
    <cellStyle name="20% - Accent6 6 2 2 3" xfId="2180"/>
    <cellStyle name="20% - Accent6 6 2 2 3 2" xfId="4476"/>
    <cellStyle name="20% - Accent6 6 2 2 3 2 2" xfId="27251"/>
    <cellStyle name="20% - Accent6 6 2 2 3 3" xfId="24955"/>
    <cellStyle name="20% - Accent6 6 2 2 30" xfId="21532"/>
    <cellStyle name="20% - Accent6 6 2 2 30 2" xfId="44307"/>
    <cellStyle name="20% - Accent6 6 2 2 31" xfId="22188"/>
    <cellStyle name="20% - Accent6 6 2 2 31 2" xfId="44963"/>
    <cellStyle name="20% - Accent6 6 2 2 32" xfId="22844"/>
    <cellStyle name="20% - Accent6 6 2 2 32 2" xfId="45619"/>
    <cellStyle name="20% - Accent6 6 2 2 33" xfId="23643"/>
    <cellStyle name="20% - Accent6 6 2 2 4" xfId="5132"/>
    <cellStyle name="20% - Accent6 6 2 2 4 2" xfId="27907"/>
    <cellStyle name="20% - Accent6 6 2 2 5" xfId="5788"/>
    <cellStyle name="20% - Accent6 6 2 2 5 2" xfId="28563"/>
    <cellStyle name="20% - Accent6 6 2 2 6" xfId="6444"/>
    <cellStyle name="20% - Accent6 6 2 2 6 2" xfId="29219"/>
    <cellStyle name="20% - Accent6 6 2 2 7" xfId="3164"/>
    <cellStyle name="20% - Accent6 6 2 2 7 2" xfId="25939"/>
    <cellStyle name="20% - Accent6 6 2 2 8" xfId="7100"/>
    <cellStyle name="20% - Accent6 6 2 2 8 2" xfId="29875"/>
    <cellStyle name="20% - Accent6 6 2 2 9" xfId="7756"/>
    <cellStyle name="20% - Accent6 6 2 2 9 2" xfId="30531"/>
    <cellStyle name="20% - Accent6 6 2 20" xfId="13332"/>
    <cellStyle name="20% - Accent6 6 2 20 2" xfId="36107"/>
    <cellStyle name="20% - Accent6 6 2 21" xfId="13988"/>
    <cellStyle name="20% - Accent6 6 2 21 2" xfId="36763"/>
    <cellStyle name="20% - Accent6 6 2 22" xfId="14644"/>
    <cellStyle name="20% - Accent6 6 2 22 2" xfId="37419"/>
    <cellStyle name="20% - Accent6 6 2 23" xfId="15300"/>
    <cellStyle name="20% - Accent6 6 2 23 2" xfId="38075"/>
    <cellStyle name="20% - Accent6 6 2 24" xfId="15956"/>
    <cellStyle name="20% - Accent6 6 2 24 2" xfId="38731"/>
    <cellStyle name="20% - Accent6 6 2 25" xfId="16612"/>
    <cellStyle name="20% - Accent6 6 2 25 2" xfId="39387"/>
    <cellStyle name="20% - Accent6 6 2 26" xfId="17268"/>
    <cellStyle name="20% - Accent6 6 2 26 2" xfId="40043"/>
    <cellStyle name="20% - Accent6 6 2 27" xfId="17924"/>
    <cellStyle name="20% - Accent6 6 2 27 2" xfId="40699"/>
    <cellStyle name="20% - Accent6 6 2 28" xfId="18580"/>
    <cellStyle name="20% - Accent6 6 2 28 2" xfId="41355"/>
    <cellStyle name="20% - Accent6 6 2 29" xfId="19236"/>
    <cellStyle name="20% - Accent6 6 2 29 2" xfId="42011"/>
    <cellStyle name="20% - Accent6 6 2 3" xfId="1196"/>
    <cellStyle name="20% - Accent6 6 2 3 2" xfId="2836"/>
    <cellStyle name="20% - Accent6 6 2 3 2 2" xfId="25611"/>
    <cellStyle name="20% - Accent6 6 2 3 3" xfId="23971"/>
    <cellStyle name="20% - Accent6 6 2 30" xfId="19892"/>
    <cellStyle name="20% - Accent6 6 2 30 2" xfId="42667"/>
    <cellStyle name="20% - Accent6 6 2 31" xfId="20548"/>
    <cellStyle name="20% - Accent6 6 2 31 2" xfId="43323"/>
    <cellStyle name="20% - Accent6 6 2 32" xfId="21204"/>
    <cellStyle name="20% - Accent6 6 2 32 2" xfId="43979"/>
    <cellStyle name="20% - Accent6 6 2 33" xfId="21860"/>
    <cellStyle name="20% - Accent6 6 2 33 2" xfId="44635"/>
    <cellStyle name="20% - Accent6 6 2 34" xfId="22516"/>
    <cellStyle name="20% - Accent6 6 2 34 2" xfId="45291"/>
    <cellStyle name="20% - Accent6 6 2 35" xfId="23315"/>
    <cellStyle name="20% - Accent6 6 2 4" xfId="1852"/>
    <cellStyle name="20% - Accent6 6 2 4 2" xfId="3492"/>
    <cellStyle name="20% - Accent6 6 2 4 2 2" xfId="26267"/>
    <cellStyle name="20% - Accent6 6 2 4 3" xfId="24627"/>
    <cellStyle name="20% - Accent6 6 2 5" xfId="4148"/>
    <cellStyle name="20% - Accent6 6 2 5 2" xfId="26923"/>
    <cellStyle name="20% - Accent6 6 2 6" xfId="4804"/>
    <cellStyle name="20% - Accent6 6 2 6 2" xfId="27579"/>
    <cellStyle name="20% - Accent6 6 2 7" xfId="5460"/>
    <cellStyle name="20% - Accent6 6 2 7 2" xfId="28235"/>
    <cellStyle name="20% - Accent6 6 2 8" xfId="6116"/>
    <cellStyle name="20% - Accent6 6 2 8 2" xfId="28891"/>
    <cellStyle name="20% - Accent6 6 2 9" xfId="2508"/>
    <cellStyle name="20% - Accent6 6 2 9 2" xfId="25283"/>
    <cellStyle name="20% - Accent6 6 20" xfId="12491"/>
    <cellStyle name="20% - Accent6 6 20 2" xfId="35266"/>
    <cellStyle name="20% - Accent6 6 21" xfId="13147"/>
    <cellStyle name="20% - Accent6 6 21 2" xfId="35922"/>
    <cellStyle name="20% - Accent6 6 22" xfId="13803"/>
    <cellStyle name="20% - Accent6 6 22 2" xfId="36578"/>
    <cellStyle name="20% - Accent6 6 23" xfId="14459"/>
    <cellStyle name="20% - Accent6 6 23 2" xfId="37234"/>
    <cellStyle name="20% - Accent6 6 24" xfId="15115"/>
    <cellStyle name="20% - Accent6 6 24 2" xfId="37890"/>
    <cellStyle name="20% - Accent6 6 25" xfId="15771"/>
    <cellStyle name="20% - Accent6 6 25 2" xfId="38546"/>
    <cellStyle name="20% - Accent6 6 26" xfId="16427"/>
    <cellStyle name="20% - Accent6 6 26 2" xfId="39202"/>
    <cellStyle name="20% - Accent6 6 27" xfId="17083"/>
    <cellStyle name="20% - Accent6 6 27 2" xfId="39858"/>
    <cellStyle name="20% - Accent6 6 28" xfId="17739"/>
    <cellStyle name="20% - Accent6 6 28 2" xfId="40514"/>
    <cellStyle name="20% - Accent6 6 29" xfId="18395"/>
    <cellStyle name="20% - Accent6 6 29 2" xfId="41170"/>
    <cellStyle name="20% - Accent6 6 3" xfId="683"/>
    <cellStyle name="20% - Accent6 6 3 10" xfId="8227"/>
    <cellStyle name="20% - Accent6 6 3 10 2" xfId="31002"/>
    <cellStyle name="20% - Accent6 6 3 11" xfId="8883"/>
    <cellStyle name="20% - Accent6 6 3 11 2" xfId="31658"/>
    <cellStyle name="20% - Accent6 6 3 12" xfId="9539"/>
    <cellStyle name="20% - Accent6 6 3 12 2" xfId="32314"/>
    <cellStyle name="20% - Accent6 6 3 13" xfId="10195"/>
    <cellStyle name="20% - Accent6 6 3 13 2" xfId="32970"/>
    <cellStyle name="20% - Accent6 6 3 14" xfId="10851"/>
    <cellStyle name="20% - Accent6 6 3 14 2" xfId="33626"/>
    <cellStyle name="20% - Accent6 6 3 15" xfId="11507"/>
    <cellStyle name="20% - Accent6 6 3 15 2" xfId="34282"/>
    <cellStyle name="20% - Accent6 6 3 16" xfId="12163"/>
    <cellStyle name="20% - Accent6 6 3 16 2" xfId="34938"/>
    <cellStyle name="20% - Accent6 6 3 17" xfId="12819"/>
    <cellStyle name="20% - Accent6 6 3 17 2" xfId="35594"/>
    <cellStyle name="20% - Accent6 6 3 18" xfId="13475"/>
    <cellStyle name="20% - Accent6 6 3 18 2" xfId="36250"/>
    <cellStyle name="20% - Accent6 6 3 19" xfId="14131"/>
    <cellStyle name="20% - Accent6 6 3 19 2" xfId="36906"/>
    <cellStyle name="20% - Accent6 6 3 2" xfId="1339"/>
    <cellStyle name="20% - Accent6 6 3 2 2" xfId="3635"/>
    <cellStyle name="20% - Accent6 6 3 2 2 2" xfId="26410"/>
    <cellStyle name="20% - Accent6 6 3 2 3" xfId="24114"/>
    <cellStyle name="20% - Accent6 6 3 20" xfId="14787"/>
    <cellStyle name="20% - Accent6 6 3 20 2" xfId="37562"/>
    <cellStyle name="20% - Accent6 6 3 21" xfId="15443"/>
    <cellStyle name="20% - Accent6 6 3 21 2" xfId="38218"/>
    <cellStyle name="20% - Accent6 6 3 22" xfId="16099"/>
    <cellStyle name="20% - Accent6 6 3 22 2" xfId="38874"/>
    <cellStyle name="20% - Accent6 6 3 23" xfId="16755"/>
    <cellStyle name="20% - Accent6 6 3 23 2" xfId="39530"/>
    <cellStyle name="20% - Accent6 6 3 24" xfId="17411"/>
    <cellStyle name="20% - Accent6 6 3 24 2" xfId="40186"/>
    <cellStyle name="20% - Accent6 6 3 25" xfId="18067"/>
    <cellStyle name="20% - Accent6 6 3 25 2" xfId="40842"/>
    <cellStyle name="20% - Accent6 6 3 26" xfId="18723"/>
    <cellStyle name="20% - Accent6 6 3 26 2" xfId="41498"/>
    <cellStyle name="20% - Accent6 6 3 27" xfId="19379"/>
    <cellStyle name="20% - Accent6 6 3 27 2" xfId="42154"/>
    <cellStyle name="20% - Accent6 6 3 28" xfId="20035"/>
    <cellStyle name="20% - Accent6 6 3 28 2" xfId="42810"/>
    <cellStyle name="20% - Accent6 6 3 29" xfId="20691"/>
    <cellStyle name="20% - Accent6 6 3 29 2" xfId="43466"/>
    <cellStyle name="20% - Accent6 6 3 3" xfId="1995"/>
    <cellStyle name="20% - Accent6 6 3 3 2" xfId="4291"/>
    <cellStyle name="20% - Accent6 6 3 3 2 2" xfId="27066"/>
    <cellStyle name="20% - Accent6 6 3 3 3" xfId="24770"/>
    <cellStyle name="20% - Accent6 6 3 30" xfId="21347"/>
    <cellStyle name="20% - Accent6 6 3 30 2" xfId="44122"/>
    <cellStyle name="20% - Accent6 6 3 31" xfId="22003"/>
    <cellStyle name="20% - Accent6 6 3 31 2" xfId="44778"/>
    <cellStyle name="20% - Accent6 6 3 32" xfId="22659"/>
    <cellStyle name="20% - Accent6 6 3 32 2" xfId="45434"/>
    <cellStyle name="20% - Accent6 6 3 33" xfId="23458"/>
    <cellStyle name="20% - Accent6 6 3 4" xfId="4947"/>
    <cellStyle name="20% - Accent6 6 3 4 2" xfId="27722"/>
    <cellStyle name="20% - Accent6 6 3 5" xfId="5603"/>
    <cellStyle name="20% - Accent6 6 3 5 2" xfId="28378"/>
    <cellStyle name="20% - Accent6 6 3 6" xfId="6259"/>
    <cellStyle name="20% - Accent6 6 3 6 2" xfId="29034"/>
    <cellStyle name="20% - Accent6 6 3 7" xfId="2979"/>
    <cellStyle name="20% - Accent6 6 3 7 2" xfId="25754"/>
    <cellStyle name="20% - Accent6 6 3 8" xfId="6915"/>
    <cellStyle name="20% - Accent6 6 3 8 2" xfId="29690"/>
    <cellStyle name="20% - Accent6 6 3 9" xfId="7571"/>
    <cellStyle name="20% - Accent6 6 3 9 2" xfId="30346"/>
    <cellStyle name="20% - Accent6 6 30" xfId="19051"/>
    <cellStyle name="20% - Accent6 6 30 2" xfId="41826"/>
    <cellStyle name="20% - Accent6 6 31" xfId="19707"/>
    <cellStyle name="20% - Accent6 6 31 2" xfId="42482"/>
    <cellStyle name="20% - Accent6 6 32" xfId="20363"/>
    <cellStyle name="20% - Accent6 6 32 2" xfId="43138"/>
    <cellStyle name="20% - Accent6 6 33" xfId="21019"/>
    <cellStyle name="20% - Accent6 6 33 2" xfId="43794"/>
    <cellStyle name="20% - Accent6 6 34" xfId="21675"/>
    <cellStyle name="20% - Accent6 6 34 2" xfId="44450"/>
    <cellStyle name="20% - Accent6 6 35" xfId="22331"/>
    <cellStyle name="20% - Accent6 6 35 2" xfId="45106"/>
    <cellStyle name="20% - Accent6 6 36" xfId="270"/>
    <cellStyle name="20% - Accent6 6 37" xfId="22987"/>
    <cellStyle name="20% - Accent6 6 4" xfId="356"/>
    <cellStyle name="20% - Accent6 6 4 2" xfId="2651"/>
    <cellStyle name="20% - Accent6 6 4 2 2" xfId="25426"/>
    <cellStyle name="20% - Accent6 6 4 3" xfId="23130"/>
    <cellStyle name="20% - Accent6 6 5" xfId="1011"/>
    <cellStyle name="20% - Accent6 6 5 2" xfId="3307"/>
    <cellStyle name="20% - Accent6 6 5 2 2" xfId="26082"/>
    <cellStyle name="20% - Accent6 6 5 3" xfId="23786"/>
    <cellStyle name="20% - Accent6 6 6" xfId="1667"/>
    <cellStyle name="20% - Accent6 6 6 2" xfId="3963"/>
    <cellStyle name="20% - Accent6 6 6 2 2" xfId="26738"/>
    <cellStyle name="20% - Accent6 6 6 3" xfId="24442"/>
    <cellStyle name="20% - Accent6 6 7" xfId="4619"/>
    <cellStyle name="20% - Accent6 6 7 2" xfId="27394"/>
    <cellStyle name="20% - Accent6 6 8" xfId="5275"/>
    <cellStyle name="20% - Accent6 6 8 2" xfId="28050"/>
    <cellStyle name="20% - Accent6 6 9" xfId="5931"/>
    <cellStyle name="20% - Accent6 6 9 2" xfId="28706"/>
    <cellStyle name="20% - Accent6 7" xfId="429"/>
    <cellStyle name="20% - Accent6 7 10" xfId="6660"/>
    <cellStyle name="20% - Accent6 7 10 2" xfId="29435"/>
    <cellStyle name="20% - Accent6 7 11" xfId="7316"/>
    <cellStyle name="20% - Accent6 7 11 2" xfId="30091"/>
    <cellStyle name="20% - Accent6 7 12" xfId="7972"/>
    <cellStyle name="20% - Accent6 7 12 2" xfId="30747"/>
    <cellStyle name="20% - Accent6 7 13" xfId="8628"/>
    <cellStyle name="20% - Accent6 7 13 2" xfId="31403"/>
    <cellStyle name="20% - Accent6 7 14" xfId="9284"/>
    <cellStyle name="20% - Accent6 7 14 2" xfId="32059"/>
    <cellStyle name="20% - Accent6 7 15" xfId="9940"/>
    <cellStyle name="20% - Accent6 7 15 2" xfId="32715"/>
    <cellStyle name="20% - Accent6 7 16" xfId="10596"/>
    <cellStyle name="20% - Accent6 7 16 2" xfId="33371"/>
    <cellStyle name="20% - Accent6 7 17" xfId="11252"/>
    <cellStyle name="20% - Accent6 7 17 2" xfId="34027"/>
    <cellStyle name="20% - Accent6 7 18" xfId="11908"/>
    <cellStyle name="20% - Accent6 7 18 2" xfId="34683"/>
    <cellStyle name="20% - Accent6 7 19" xfId="12564"/>
    <cellStyle name="20% - Accent6 7 19 2" xfId="35339"/>
    <cellStyle name="20% - Accent6 7 2" xfId="756"/>
    <cellStyle name="20% - Accent6 7 2 10" xfId="8300"/>
    <cellStyle name="20% - Accent6 7 2 10 2" xfId="31075"/>
    <cellStyle name="20% - Accent6 7 2 11" xfId="8956"/>
    <cellStyle name="20% - Accent6 7 2 11 2" xfId="31731"/>
    <cellStyle name="20% - Accent6 7 2 12" xfId="9612"/>
    <cellStyle name="20% - Accent6 7 2 12 2" xfId="32387"/>
    <cellStyle name="20% - Accent6 7 2 13" xfId="10268"/>
    <cellStyle name="20% - Accent6 7 2 13 2" xfId="33043"/>
    <cellStyle name="20% - Accent6 7 2 14" xfId="10924"/>
    <cellStyle name="20% - Accent6 7 2 14 2" xfId="33699"/>
    <cellStyle name="20% - Accent6 7 2 15" xfId="11580"/>
    <cellStyle name="20% - Accent6 7 2 15 2" xfId="34355"/>
    <cellStyle name="20% - Accent6 7 2 16" xfId="12236"/>
    <cellStyle name="20% - Accent6 7 2 16 2" xfId="35011"/>
    <cellStyle name="20% - Accent6 7 2 17" xfId="12892"/>
    <cellStyle name="20% - Accent6 7 2 17 2" xfId="35667"/>
    <cellStyle name="20% - Accent6 7 2 18" xfId="13548"/>
    <cellStyle name="20% - Accent6 7 2 18 2" xfId="36323"/>
    <cellStyle name="20% - Accent6 7 2 19" xfId="14204"/>
    <cellStyle name="20% - Accent6 7 2 19 2" xfId="36979"/>
    <cellStyle name="20% - Accent6 7 2 2" xfId="1412"/>
    <cellStyle name="20% - Accent6 7 2 2 2" xfId="3708"/>
    <cellStyle name="20% - Accent6 7 2 2 2 2" xfId="26483"/>
    <cellStyle name="20% - Accent6 7 2 2 3" xfId="24187"/>
    <cellStyle name="20% - Accent6 7 2 20" xfId="14860"/>
    <cellStyle name="20% - Accent6 7 2 20 2" xfId="37635"/>
    <cellStyle name="20% - Accent6 7 2 21" xfId="15516"/>
    <cellStyle name="20% - Accent6 7 2 21 2" xfId="38291"/>
    <cellStyle name="20% - Accent6 7 2 22" xfId="16172"/>
    <cellStyle name="20% - Accent6 7 2 22 2" xfId="38947"/>
    <cellStyle name="20% - Accent6 7 2 23" xfId="16828"/>
    <cellStyle name="20% - Accent6 7 2 23 2" xfId="39603"/>
    <cellStyle name="20% - Accent6 7 2 24" xfId="17484"/>
    <cellStyle name="20% - Accent6 7 2 24 2" xfId="40259"/>
    <cellStyle name="20% - Accent6 7 2 25" xfId="18140"/>
    <cellStyle name="20% - Accent6 7 2 25 2" xfId="40915"/>
    <cellStyle name="20% - Accent6 7 2 26" xfId="18796"/>
    <cellStyle name="20% - Accent6 7 2 26 2" xfId="41571"/>
    <cellStyle name="20% - Accent6 7 2 27" xfId="19452"/>
    <cellStyle name="20% - Accent6 7 2 27 2" xfId="42227"/>
    <cellStyle name="20% - Accent6 7 2 28" xfId="20108"/>
    <cellStyle name="20% - Accent6 7 2 28 2" xfId="42883"/>
    <cellStyle name="20% - Accent6 7 2 29" xfId="20764"/>
    <cellStyle name="20% - Accent6 7 2 29 2" xfId="43539"/>
    <cellStyle name="20% - Accent6 7 2 3" xfId="2068"/>
    <cellStyle name="20% - Accent6 7 2 3 2" xfId="4364"/>
    <cellStyle name="20% - Accent6 7 2 3 2 2" xfId="27139"/>
    <cellStyle name="20% - Accent6 7 2 3 3" xfId="24843"/>
    <cellStyle name="20% - Accent6 7 2 30" xfId="21420"/>
    <cellStyle name="20% - Accent6 7 2 30 2" xfId="44195"/>
    <cellStyle name="20% - Accent6 7 2 31" xfId="22076"/>
    <cellStyle name="20% - Accent6 7 2 31 2" xfId="44851"/>
    <cellStyle name="20% - Accent6 7 2 32" xfId="22732"/>
    <cellStyle name="20% - Accent6 7 2 32 2" xfId="45507"/>
    <cellStyle name="20% - Accent6 7 2 33" xfId="23531"/>
    <cellStyle name="20% - Accent6 7 2 4" xfId="5020"/>
    <cellStyle name="20% - Accent6 7 2 4 2" xfId="27795"/>
    <cellStyle name="20% - Accent6 7 2 5" xfId="5676"/>
    <cellStyle name="20% - Accent6 7 2 5 2" xfId="28451"/>
    <cellStyle name="20% - Accent6 7 2 6" xfId="6332"/>
    <cellStyle name="20% - Accent6 7 2 6 2" xfId="29107"/>
    <cellStyle name="20% - Accent6 7 2 7" xfId="3052"/>
    <cellStyle name="20% - Accent6 7 2 7 2" xfId="25827"/>
    <cellStyle name="20% - Accent6 7 2 8" xfId="6988"/>
    <cellStyle name="20% - Accent6 7 2 8 2" xfId="29763"/>
    <cellStyle name="20% - Accent6 7 2 9" xfId="7644"/>
    <cellStyle name="20% - Accent6 7 2 9 2" xfId="30419"/>
    <cellStyle name="20% - Accent6 7 20" xfId="13220"/>
    <cellStyle name="20% - Accent6 7 20 2" xfId="35995"/>
    <cellStyle name="20% - Accent6 7 21" xfId="13876"/>
    <cellStyle name="20% - Accent6 7 21 2" xfId="36651"/>
    <cellStyle name="20% - Accent6 7 22" xfId="14532"/>
    <cellStyle name="20% - Accent6 7 22 2" xfId="37307"/>
    <cellStyle name="20% - Accent6 7 23" xfId="15188"/>
    <cellStyle name="20% - Accent6 7 23 2" xfId="37963"/>
    <cellStyle name="20% - Accent6 7 24" xfId="15844"/>
    <cellStyle name="20% - Accent6 7 24 2" xfId="38619"/>
    <cellStyle name="20% - Accent6 7 25" xfId="16500"/>
    <cellStyle name="20% - Accent6 7 25 2" xfId="39275"/>
    <cellStyle name="20% - Accent6 7 26" xfId="17156"/>
    <cellStyle name="20% - Accent6 7 26 2" xfId="39931"/>
    <cellStyle name="20% - Accent6 7 27" xfId="17812"/>
    <cellStyle name="20% - Accent6 7 27 2" xfId="40587"/>
    <cellStyle name="20% - Accent6 7 28" xfId="18468"/>
    <cellStyle name="20% - Accent6 7 28 2" xfId="41243"/>
    <cellStyle name="20% - Accent6 7 29" xfId="19124"/>
    <cellStyle name="20% - Accent6 7 29 2" xfId="41899"/>
    <cellStyle name="20% - Accent6 7 3" xfId="1084"/>
    <cellStyle name="20% - Accent6 7 3 2" xfId="2724"/>
    <cellStyle name="20% - Accent6 7 3 2 2" xfId="25499"/>
    <cellStyle name="20% - Accent6 7 3 3" xfId="23859"/>
    <cellStyle name="20% - Accent6 7 30" xfId="19780"/>
    <cellStyle name="20% - Accent6 7 30 2" xfId="42555"/>
    <cellStyle name="20% - Accent6 7 31" xfId="20436"/>
    <cellStyle name="20% - Accent6 7 31 2" xfId="43211"/>
    <cellStyle name="20% - Accent6 7 32" xfId="21092"/>
    <cellStyle name="20% - Accent6 7 32 2" xfId="43867"/>
    <cellStyle name="20% - Accent6 7 33" xfId="21748"/>
    <cellStyle name="20% - Accent6 7 33 2" xfId="44523"/>
    <cellStyle name="20% - Accent6 7 34" xfId="22404"/>
    <cellStyle name="20% - Accent6 7 34 2" xfId="45179"/>
    <cellStyle name="20% - Accent6 7 35" xfId="23203"/>
    <cellStyle name="20% - Accent6 7 4" xfId="1740"/>
    <cellStyle name="20% - Accent6 7 4 2" xfId="3380"/>
    <cellStyle name="20% - Accent6 7 4 2 2" xfId="26155"/>
    <cellStyle name="20% - Accent6 7 4 3" xfId="24515"/>
    <cellStyle name="20% - Accent6 7 5" xfId="4036"/>
    <cellStyle name="20% - Accent6 7 5 2" xfId="26811"/>
    <cellStyle name="20% - Accent6 7 6" xfId="4692"/>
    <cellStyle name="20% - Accent6 7 6 2" xfId="27467"/>
    <cellStyle name="20% - Accent6 7 7" xfId="5348"/>
    <cellStyle name="20% - Accent6 7 7 2" xfId="28123"/>
    <cellStyle name="20% - Accent6 7 8" xfId="6004"/>
    <cellStyle name="20% - Accent6 7 8 2" xfId="28779"/>
    <cellStyle name="20% - Accent6 7 9" xfId="2396"/>
    <cellStyle name="20% - Accent6 7 9 2" xfId="25171"/>
    <cellStyle name="20% - Accent6 8" xfId="443"/>
    <cellStyle name="20% - Accent6 8 10" xfId="6674"/>
    <cellStyle name="20% - Accent6 8 10 2" xfId="29449"/>
    <cellStyle name="20% - Accent6 8 11" xfId="7330"/>
    <cellStyle name="20% - Accent6 8 11 2" xfId="30105"/>
    <cellStyle name="20% - Accent6 8 12" xfId="7986"/>
    <cellStyle name="20% - Accent6 8 12 2" xfId="30761"/>
    <cellStyle name="20% - Accent6 8 13" xfId="8642"/>
    <cellStyle name="20% - Accent6 8 13 2" xfId="31417"/>
    <cellStyle name="20% - Accent6 8 14" xfId="9298"/>
    <cellStyle name="20% - Accent6 8 14 2" xfId="32073"/>
    <cellStyle name="20% - Accent6 8 15" xfId="9954"/>
    <cellStyle name="20% - Accent6 8 15 2" xfId="32729"/>
    <cellStyle name="20% - Accent6 8 16" xfId="10610"/>
    <cellStyle name="20% - Accent6 8 16 2" xfId="33385"/>
    <cellStyle name="20% - Accent6 8 17" xfId="11266"/>
    <cellStyle name="20% - Accent6 8 17 2" xfId="34041"/>
    <cellStyle name="20% - Accent6 8 18" xfId="11922"/>
    <cellStyle name="20% - Accent6 8 18 2" xfId="34697"/>
    <cellStyle name="20% - Accent6 8 19" xfId="12578"/>
    <cellStyle name="20% - Accent6 8 19 2" xfId="35353"/>
    <cellStyle name="20% - Accent6 8 2" xfId="770"/>
    <cellStyle name="20% - Accent6 8 2 10" xfId="8314"/>
    <cellStyle name="20% - Accent6 8 2 10 2" xfId="31089"/>
    <cellStyle name="20% - Accent6 8 2 11" xfId="8970"/>
    <cellStyle name="20% - Accent6 8 2 11 2" xfId="31745"/>
    <cellStyle name="20% - Accent6 8 2 12" xfId="9626"/>
    <cellStyle name="20% - Accent6 8 2 12 2" xfId="32401"/>
    <cellStyle name="20% - Accent6 8 2 13" xfId="10282"/>
    <cellStyle name="20% - Accent6 8 2 13 2" xfId="33057"/>
    <cellStyle name="20% - Accent6 8 2 14" xfId="10938"/>
    <cellStyle name="20% - Accent6 8 2 14 2" xfId="33713"/>
    <cellStyle name="20% - Accent6 8 2 15" xfId="11594"/>
    <cellStyle name="20% - Accent6 8 2 15 2" xfId="34369"/>
    <cellStyle name="20% - Accent6 8 2 16" xfId="12250"/>
    <cellStyle name="20% - Accent6 8 2 16 2" xfId="35025"/>
    <cellStyle name="20% - Accent6 8 2 17" xfId="12906"/>
    <cellStyle name="20% - Accent6 8 2 17 2" xfId="35681"/>
    <cellStyle name="20% - Accent6 8 2 18" xfId="13562"/>
    <cellStyle name="20% - Accent6 8 2 18 2" xfId="36337"/>
    <cellStyle name="20% - Accent6 8 2 19" xfId="14218"/>
    <cellStyle name="20% - Accent6 8 2 19 2" xfId="36993"/>
    <cellStyle name="20% - Accent6 8 2 2" xfId="1426"/>
    <cellStyle name="20% - Accent6 8 2 2 2" xfId="3722"/>
    <cellStyle name="20% - Accent6 8 2 2 2 2" xfId="26497"/>
    <cellStyle name="20% - Accent6 8 2 2 3" xfId="24201"/>
    <cellStyle name="20% - Accent6 8 2 20" xfId="14874"/>
    <cellStyle name="20% - Accent6 8 2 20 2" xfId="37649"/>
    <cellStyle name="20% - Accent6 8 2 21" xfId="15530"/>
    <cellStyle name="20% - Accent6 8 2 21 2" xfId="38305"/>
    <cellStyle name="20% - Accent6 8 2 22" xfId="16186"/>
    <cellStyle name="20% - Accent6 8 2 22 2" xfId="38961"/>
    <cellStyle name="20% - Accent6 8 2 23" xfId="16842"/>
    <cellStyle name="20% - Accent6 8 2 23 2" xfId="39617"/>
    <cellStyle name="20% - Accent6 8 2 24" xfId="17498"/>
    <cellStyle name="20% - Accent6 8 2 24 2" xfId="40273"/>
    <cellStyle name="20% - Accent6 8 2 25" xfId="18154"/>
    <cellStyle name="20% - Accent6 8 2 25 2" xfId="40929"/>
    <cellStyle name="20% - Accent6 8 2 26" xfId="18810"/>
    <cellStyle name="20% - Accent6 8 2 26 2" xfId="41585"/>
    <cellStyle name="20% - Accent6 8 2 27" xfId="19466"/>
    <cellStyle name="20% - Accent6 8 2 27 2" xfId="42241"/>
    <cellStyle name="20% - Accent6 8 2 28" xfId="20122"/>
    <cellStyle name="20% - Accent6 8 2 28 2" xfId="42897"/>
    <cellStyle name="20% - Accent6 8 2 29" xfId="20778"/>
    <cellStyle name="20% - Accent6 8 2 29 2" xfId="43553"/>
    <cellStyle name="20% - Accent6 8 2 3" xfId="2082"/>
    <cellStyle name="20% - Accent6 8 2 3 2" xfId="4378"/>
    <cellStyle name="20% - Accent6 8 2 3 2 2" xfId="27153"/>
    <cellStyle name="20% - Accent6 8 2 3 3" xfId="24857"/>
    <cellStyle name="20% - Accent6 8 2 30" xfId="21434"/>
    <cellStyle name="20% - Accent6 8 2 30 2" xfId="44209"/>
    <cellStyle name="20% - Accent6 8 2 31" xfId="22090"/>
    <cellStyle name="20% - Accent6 8 2 31 2" xfId="44865"/>
    <cellStyle name="20% - Accent6 8 2 32" xfId="22746"/>
    <cellStyle name="20% - Accent6 8 2 32 2" xfId="45521"/>
    <cellStyle name="20% - Accent6 8 2 33" xfId="23545"/>
    <cellStyle name="20% - Accent6 8 2 4" xfId="5034"/>
    <cellStyle name="20% - Accent6 8 2 4 2" xfId="27809"/>
    <cellStyle name="20% - Accent6 8 2 5" xfId="5690"/>
    <cellStyle name="20% - Accent6 8 2 5 2" xfId="28465"/>
    <cellStyle name="20% - Accent6 8 2 6" xfId="6346"/>
    <cellStyle name="20% - Accent6 8 2 6 2" xfId="29121"/>
    <cellStyle name="20% - Accent6 8 2 7" xfId="3066"/>
    <cellStyle name="20% - Accent6 8 2 7 2" xfId="25841"/>
    <cellStyle name="20% - Accent6 8 2 8" xfId="7002"/>
    <cellStyle name="20% - Accent6 8 2 8 2" xfId="29777"/>
    <cellStyle name="20% - Accent6 8 2 9" xfId="7658"/>
    <cellStyle name="20% - Accent6 8 2 9 2" xfId="30433"/>
    <cellStyle name="20% - Accent6 8 20" xfId="13234"/>
    <cellStyle name="20% - Accent6 8 20 2" xfId="36009"/>
    <cellStyle name="20% - Accent6 8 21" xfId="13890"/>
    <cellStyle name="20% - Accent6 8 21 2" xfId="36665"/>
    <cellStyle name="20% - Accent6 8 22" xfId="14546"/>
    <cellStyle name="20% - Accent6 8 22 2" xfId="37321"/>
    <cellStyle name="20% - Accent6 8 23" xfId="15202"/>
    <cellStyle name="20% - Accent6 8 23 2" xfId="37977"/>
    <cellStyle name="20% - Accent6 8 24" xfId="15858"/>
    <cellStyle name="20% - Accent6 8 24 2" xfId="38633"/>
    <cellStyle name="20% - Accent6 8 25" xfId="16514"/>
    <cellStyle name="20% - Accent6 8 25 2" xfId="39289"/>
    <cellStyle name="20% - Accent6 8 26" xfId="17170"/>
    <cellStyle name="20% - Accent6 8 26 2" xfId="39945"/>
    <cellStyle name="20% - Accent6 8 27" xfId="17826"/>
    <cellStyle name="20% - Accent6 8 27 2" xfId="40601"/>
    <cellStyle name="20% - Accent6 8 28" xfId="18482"/>
    <cellStyle name="20% - Accent6 8 28 2" xfId="41257"/>
    <cellStyle name="20% - Accent6 8 29" xfId="19138"/>
    <cellStyle name="20% - Accent6 8 29 2" xfId="41913"/>
    <cellStyle name="20% - Accent6 8 3" xfId="1098"/>
    <cellStyle name="20% - Accent6 8 3 2" xfId="2738"/>
    <cellStyle name="20% - Accent6 8 3 2 2" xfId="25513"/>
    <cellStyle name="20% - Accent6 8 3 3" xfId="23873"/>
    <cellStyle name="20% - Accent6 8 30" xfId="19794"/>
    <cellStyle name="20% - Accent6 8 30 2" xfId="42569"/>
    <cellStyle name="20% - Accent6 8 31" xfId="20450"/>
    <cellStyle name="20% - Accent6 8 31 2" xfId="43225"/>
    <cellStyle name="20% - Accent6 8 32" xfId="21106"/>
    <cellStyle name="20% - Accent6 8 32 2" xfId="43881"/>
    <cellStyle name="20% - Accent6 8 33" xfId="21762"/>
    <cellStyle name="20% - Accent6 8 33 2" xfId="44537"/>
    <cellStyle name="20% - Accent6 8 34" xfId="22418"/>
    <cellStyle name="20% - Accent6 8 34 2" xfId="45193"/>
    <cellStyle name="20% - Accent6 8 35" xfId="23217"/>
    <cellStyle name="20% - Accent6 8 4" xfId="1754"/>
    <cellStyle name="20% - Accent6 8 4 2" xfId="3394"/>
    <cellStyle name="20% - Accent6 8 4 2 2" xfId="26169"/>
    <cellStyle name="20% - Accent6 8 4 3" xfId="24529"/>
    <cellStyle name="20% - Accent6 8 5" xfId="4050"/>
    <cellStyle name="20% - Accent6 8 5 2" xfId="26825"/>
    <cellStyle name="20% - Accent6 8 6" xfId="4706"/>
    <cellStyle name="20% - Accent6 8 6 2" xfId="27481"/>
    <cellStyle name="20% - Accent6 8 7" xfId="5362"/>
    <cellStyle name="20% - Accent6 8 7 2" xfId="28137"/>
    <cellStyle name="20% - Accent6 8 8" xfId="6018"/>
    <cellStyle name="20% - Accent6 8 8 2" xfId="28793"/>
    <cellStyle name="20% - Accent6 8 9" xfId="2410"/>
    <cellStyle name="20% - Accent6 8 9 2" xfId="25185"/>
    <cellStyle name="20% - Accent6 9" xfId="457"/>
    <cellStyle name="20% - Accent6 9 10" xfId="6688"/>
    <cellStyle name="20% - Accent6 9 10 2" xfId="29463"/>
    <cellStyle name="20% - Accent6 9 11" xfId="7344"/>
    <cellStyle name="20% - Accent6 9 11 2" xfId="30119"/>
    <cellStyle name="20% - Accent6 9 12" xfId="8000"/>
    <cellStyle name="20% - Accent6 9 12 2" xfId="30775"/>
    <cellStyle name="20% - Accent6 9 13" xfId="8656"/>
    <cellStyle name="20% - Accent6 9 13 2" xfId="31431"/>
    <cellStyle name="20% - Accent6 9 14" xfId="9312"/>
    <cellStyle name="20% - Accent6 9 14 2" xfId="32087"/>
    <cellStyle name="20% - Accent6 9 15" xfId="9968"/>
    <cellStyle name="20% - Accent6 9 15 2" xfId="32743"/>
    <cellStyle name="20% - Accent6 9 16" xfId="10624"/>
    <cellStyle name="20% - Accent6 9 16 2" xfId="33399"/>
    <cellStyle name="20% - Accent6 9 17" xfId="11280"/>
    <cellStyle name="20% - Accent6 9 17 2" xfId="34055"/>
    <cellStyle name="20% - Accent6 9 18" xfId="11936"/>
    <cellStyle name="20% - Accent6 9 18 2" xfId="34711"/>
    <cellStyle name="20% - Accent6 9 19" xfId="12592"/>
    <cellStyle name="20% - Accent6 9 19 2" xfId="35367"/>
    <cellStyle name="20% - Accent6 9 2" xfId="784"/>
    <cellStyle name="20% - Accent6 9 2 10" xfId="8328"/>
    <cellStyle name="20% - Accent6 9 2 10 2" xfId="31103"/>
    <cellStyle name="20% - Accent6 9 2 11" xfId="8984"/>
    <cellStyle name="20% - Accent6 9 2 11 2" xfId="31759"/>
    <cellStyle name="20% - Accent6 9 2 12" xfId="9640"/>
    <cellStyle name="20% - Accent6 9 2 12 2" xfId="32415"/>
    <cellStyle name="20% - Accent6 9 2 13" xfId="10296"/>
    <cellStyle name="20% - Accent6 9 2 13 2" xfId="33071"/>
    <cellStyle name="20% - Accent6 9 2 14" xfId="10952"/>
    <cellStyle name="20% - Accent6 9 2 14 2" xfId="33727"/>
    <cellStyle name="20% - Accent6 9 2 15" xfId="11608"/>
    <cellStyle name="20% - Accent6 9 2 15 2" xfId="34383"/>
    <cellStyle name="20% - Accent6 9 2 16" xfId="12264"/>
    <cellStyle name="20% - Accent6 9 2 16 2" xfId="35039"/>
    <cellStyle name="20% - Accent6 9 2 17" xfId="12920"/>
    <cellStyle name="20% - Accent6 9 2 17 2" xfId="35695"/>
    <cellStyle name="20% - Accent6 9 2 18" xfId="13576"/>
    <cellStyle name="20% - Accent6 9 2 18 2" xfId="36351"/>
    <cellStyle name="20% - Accent6 9 2 19" xfId="14232"/>
    <cellStyle name="20% - Accent6 9 2 19 2" xfId="37007"/>
    <cellStyle name="20% - Accent6 9 2 2" xfId="1440"/>
    <cellStyle name="20% - Accent6 9 2 2 2" xfId="3736"/>
    <cellStyle name="20% - Accent6 9 2 2 2 2" xfId="26511"/>
    <cellStyle name="20% - Accent6 9 2 2 3" xfId="24215"/>
    <cellStyle name="20% - Accent6 9 2 20" xfId="14888"/>
    <cellStyle name="20% - Accent6 9 2 20 2" xfId="37663"/>
    <cellStyle name="20% - Accent6 9 2 21" xfId="15544"/>
    <cellStyle name="20% - Accent6 9 2 21 2" xfId="38319"/>
    <cellStyle name="20% - Accent6 9 2 22" xfId="16200"/>
    <cellStyle name="20% - Accent6 9 2 22 2" xfId="38975"/>
    <cellStyle name="20% - Accent6 9 2 23" xfId="16856"/>
    <cellStyle name="20% - Accent6 9 2 23 2" xfId="39631"/>
    <cellStyle name="20% - Accent6 9 2 24" xfId="17512"/>
    <cellStyle name="20% - Accent6 9 2 24 2" xfId="40287"/>
    <cellStyle name="20% - Accent6 9 2 25" xfId="18168"/>
    <cellStyle name="20% - Accent6 9 2 25 2" xfId="40943"/>
    <cellStyle name="20% - Accent6 9 2 26" xfId="18824"/>
    <cellStyle name="20% - Accent6 9 2 26 2" xfId="41599"/>
    <cellStyle name="20% - Accent6 9 2 27" xfId="19480"/>
    <cellStyle name="20% - Accent6 9 2 27 2" xfId="42255"/>
    <cellStyle name="20% - Accent6 9 2 28" xfId="20136"/>
    <cellStyle name="20% - Accent6 9 2 28 2" xfId="42911"/>
    <cellStyle name="20% - Accent6 9 2 29" xfId="20792"/>
    <cellStyle name="20% - Accent6 9 2 29 2" xfId="43567"/>
    <cellStyle name="20% - Accent6 9 2 3" xfId="2096"/>
    <cellStyle name="20% - Accent6 9 2 3 2" xfId="4392"/>
    <cellStyle name="20% - Accent6 9 2 3 2 2" xfId="27167"/>
    <cellStyle name="20% - Accent6 9 2 3 3" xfId="24871"/>
    <cellStyle name="20% - Accent6 9 2 30" xfId="21448"/>
    <cellStyle name="20% - Accent6 9 2 30 2" xfId="44223"/>
    <cellStyle name="20% - Accent6 9 2 31" xfId="22104"/>
    <cellStyle name="20% - Accent6 9 2 31 2" xfId="44879"/>
    <cellStyle name="20% - Accent6 9 2 32" xfId="22760"/>
    <cellStyle name="20% - Accent6 9 2 32 2" xfId="45535"/>
    <cellStyle name="20% - Accent6 9 2 33" xfId="23559"/>
    <cellStyle name="20% - Accent6 9 2 4" xfId="5048"/>
    <cellStyle name="20% - Accent6 9 2 4 2" xfId="27823"/>
    <cellStyle name="20% - Accent6 9 2 5" xfId="5704"/>
    <cellStyle name="20% - Accent6 9 2 5 2" xfId="28479"/>
    <cellStyle name="20% - Accent6 9 2 6" xfId="6360"/>
    <cellStyle name="20% - Accent6 9 2 6 2" xfId="29135"/>
    <cellStyle name="20% - Accent6 9 2 7" xfId="3080"/>
    <cellStyle name="20% - Accent6 9 2 7 2" xfId="25855"/>
    <cellStyle name="20% - Accent6 9 2 8" xfId="7016"/>
    <cellStyle name="20% - Accent6 9 2 8 2" xfId="29791"/>
    <cellStyle name="20% - Accent6 9 2 9" xfId="7672"/>
    <cellStyle name="20% - Accent6 9 2 9 2" xfId="30447"/>
    <cellStyle name="20% - Accent6 9 20" xfId="13248"/>
    <cellStyle name="20% - Accent6 9 20 2" xfId="36023"/>
    <cellStyle name="20% - Accent6 9 21" xfId="13904"/>
    <cellStyle name="20% - Accent6 9 21 2" xfId="36679"/>
    <cellStyle name="20% - Accent6 9 22" xfId="14560"/>
    <cellStyle name="20% - Accent6 9 22 2" xfId="37335"/>
    <cellStyle name="20% - Accent6 9 23" xfId="15216"/>
    <cellStyle name="20% - Accent6 9 23 2" xfId="37991"/>
    <cellStyle name="20% - Accent6 9 24" xfId="15872"/>
    <cellStyle name="20% - Accent6 9 24 2" xfId="38647"/>
    <cellStyle name="20% - Accent6 9 25" xfId="16528"/>
    <cellStyle name="20% - Accent6 9 25 2" xfId="39303"/>
    <cellStyle name="20% - Accent6 9 26" xfId="17184"/>
    <cellStyle name="20% - Accent6 9 26 2" xfId="39959"/>
    <cellStyle name="20% - Accent6 9 27" xfId="17840"/>
    <cellStyle name="20% - Accent6 9 27 2" xfId="40615"/>
    <cellStyle name="20% - Accent6 9 28" xfId="18496"/>
    <cellStyle name="20% - Accent6 9 28 2" xfId="41271"/>
    <cellStyle name="20% - Accent6 9 29" xfId="19152"/>
    <cellStyle name="20% - Accent6 9 29 2" xfId="41927"/>
    <cellStyle name="20% - Accent6 9 3" xfId="1112"/>
    <cellStyle name="20% - Accent6 9 3 2" xfId="2752"/>
    <cellStyle name="20% - Accent6 9 3 2 2" xfId="25527"/>
    <cellStyle name="20% - Accent6 9 3 3" xfId="23887"/>
    <cellStyle name="20% - Accent6 9 30" xfId="19808"/>
    <cellStyle name="20% - Accent6 9 30 2" xfId="42583"/>
    <cellStyle name="20% - Accent6 9 31" xfId="20464"/>
    <cellStyle name="20% - Accent6 9 31 2" xfId="43239"/>
    <cellStyle name="20% - Accent6 9 32" xfId="21120"/>
    <cellStyle name="20% - Accent6 9 32 2" xfId="43895"/>
    <cellStyle name="20% - Accent6 9 33" xfId="21776"/>
    <cellStyle name="20% - Accent6 9 33 2" xfId="44551"/>
    <cellStyle name="20% - Accent6 9 34" xfId="22432"/>
    <cellStyle name="20% - Accent6 9 34 2" xfId="45207"/>
    <cellStyle name="20% - Accent6 9 35" xfId="23231"/>
    <cellStyle name="20% - Accent6 9 4" xfId="1768"/>
    <cellStyle name="20% - Accent6 9 4 2" xfId="3408"/>
    <cellStyle name="20% - Accent6 9 4 2 2" xfId="26183"/>
    <cellStyle name="20% - Accent6 9 4 3" xfId="24543"/>
    <cellStyle name="20% - Accent6 9 5" xfId="4064"/>
    <cellStyle name="20% - Accent6 9 5 2" xfId="26839"/>
    <cellStyle name="20% - Accent6 9 6" xfId="4720"/>
    <cellStyle name="20% - Accent6 9 6 2" xfId="27495"/>
    <cellStyle name="20% - Accent6 9 7" xfId="5376"/>
    <cellStyle name="20% - Accent6 9 7 2" xfId="28151"/>
    <cellStyle name="20% - Accent6 9 8" xfId="6032"/>
    <cellStyle name="20% - Accent6 9 8 2" xfId="28807"/>
    <cellStyle name="20% - Accent6 9 9" xfId="2424"/>
    <cellStyle name="20% - Accent6 9 9 2" xfId="25199"/>
    <cellStyle name="40% - Accent1" xfId="23" builtinId="31" customBuiltin="1"/>
    <cellStyle name="40% - Accent1 10" xfId="460"/>
    <cellStyle name="40% - Accent1 10 10" xfId="6691"/>
    <cellStyle name="40% - Accent1 10 10 2" xfId="29466"/>
    <cellStyle name="40% - Accent1 10 11" xfId="7347"/>
    <cellStyle name="40% - Accent1 10 11 2" xfId="30122"/>
    <cellStyle name="40% - Accent1 10 12" xfId="8003"/>
    <cellStyle name="40% - Accent1 10 12 2" xfId="30778"/>
    <cellStyle name="40% - Accent1 10 13" xfId="8659"/>
    <cellStyle name="40% - Accent1 10 13 2" xfId="31434"/>
    <cellStyle name="40% - Accent1 10 14" xfId="9315"/>
    <cellStyle name="40% - Accent1 10 14 2" xfId="32090"/>
    <cellStyle name="40% - Accent1 10 15" xfId="9971"/>
    <cellStyle name="40% - Accent1 10 15 2" xfId="32746"/>
    <cellStyle name="40% - Accent1 10 16" xfId="10627"/>
    <cellStyle name="40% - Accent1 10 16 2" xfId="33402"/>
    <cellStyle name="40% - Accent1 10 17" xfId="11283"/>
    <cellStyle name="40% - Accent1 10 17 2" xfId="34058"/>
    <cellStyle name="40% - Accent1 10 18" xfId="11939"/>
    <cellStyle name="40% - Accent1 10 18 2" xfId="34714"/>
    <cellStyle name="40% - Accent1 10 19" xfId="12595"/>
    <cellStyle name="40% - Accent1 10 19 2" xfId="35370"/>
    <cellStyle name="40% - Accent1 10 2" xfId="787"/>
    <cellStyle name="40% - Accent1 10 2 10" xfId="8331"/>
    <cellStyle name="40% - Accent1 10 2 10 2" xfId="31106"/>
    <cellStyle name="40% - Accent1 10 2 11" xfId="8987"/>
    <cellStyle name="40% - Accent1 10 2 11 2" xfId="31762"/>
    <cellStyle name="40% - Accent1 10 2 12" xfId="9643"/>
    <cellStyle name="40% - Accent1 10 2 12 2" xfId="32418"/>
    <cellStyle name="40% - Accent1 10 2 13" xfId="10299"/>
    <cellStyle name="40% - Accent1 10 2 13 2" xfId="33074"/>
    <cellStyle name="40% - Accent1 10 2 14" xfId="10955"/>
    <cellStyle name="40% - Accent1 10 2 14 2" xfId="33730"/>
    <cellStyle name="40% - Accent1 10 2 15" xfId="11611"/>
    <cellStyle name="40% - Accent1 10 2 15 2" xfId="34386"/>
    <cellStyle name="40% - Accent1 10 2 16" xfId="12267"/>
    <cellStyle name="40% - Accent1 10 2 16 2" xfId="35042"/>
    <cellStyle name="40% - Accent1 10 2 17" xfId="12923"/>
    <cellStyle name="40% - Accent1 10 2 17 2" xfId="35698"/>
    <cellStyle name="40% - Accent1 10 2 18" xfId="13579"/>
    <cellStyle name="40% - Accent1 10 2 18 2" xfId="36354"/>
    <cellStyle name="40% - Accent1 10 2 19" xfId="14235"/>
    <cellStyle name="40% - Accent1 10 2 19 2" xfId="37010"/>
    <cellStyle name="40% - Accent1 10 2 2" xfId="1443"/>
    <cellStyle name="40% - Accent1 10 2 2 2" xfId="3739"/>
    <cellStyle name="40% - Accent1 10 2 2 2 2" xfId="26514"/>
    <cellStyle name="40% - Accent1 10 2 2 3" xfId="24218"/>
    <cellStyle name="40% - Accent1 10 2 20" xfId="14891"/>
    <cellStyle name="40% - Accent1 10 2 20 2" xfId="37666"/>
    <cellStyle name="40% - Accent1 10 2 21" xfId="15547"/>
    <cellStyle name="40% - Accent1 10 2 21 2" xfId="38322"/>
    <cellStyle name="40% - Accent1 10 2 22" xfId="16203"/>
    <cellStyle name="40% - Accent1 10 2 22 2" xfId="38978"/>
    <cellStyle name="40% - Accent1 10 2 23" xfId="16859"/>
    <cellStyle name="40% - Accent1 10 2 23 2" xfId="39634"/>
    <cellStyle name="40% - Accent1 10 2 24" xfId="17515"/>
    <cellStyle name="40% - Accent1 10 2 24 2" xfId="40290"/>
    <cellStyle name="40% - Accent1 10 2 25" xfId="18171"/>
    <cellStyle name="40% - Accent1 10 2 25 2" xfId="40946"/>
    <cellStyle name="40% - Accent1 10 2 26" xfId="18827"/>
    <cellStyle name="40% - Accent1 10 2 26 2" xfId="41602"/>
    <cellStyle name="40% - Accent1 10 2 27" xfId="19483"/>
    <cellStyle name="40% - Accent1 10 2 27 2" xfId="42258"/>
    <cellStyle name="40% - Accent1 10 2 28" xfId="20139"/>
    <cellStyle name="40% - Accent1 10 2 28 2" xfId="42914"/>
    <cellStyle name="40% - Accent1 10 2 29" xfId="20795"/>
    <cellStyle name="40% - Accent1 10 2 29 2" xfId="43570"/>
    <cellStyle name="40% - Accent1 10 2 3" xfId="2099"/>
    <cellStyle name="40% - Accent1 10 2 3 2" xfId="4395"/>
    <cellStyle name="40% - Accent1 10 2 3 2 2" xfId="27170"/>
    <cellStyle name="40% - Accent1 10 2 3 3" xfId="24874"/>
    <cellStyle name="40% - Accent1 10 2 30" xfId="21451"/>
    <cellStyle name="40% - Accent1 10 2 30 2" xfId="44226"/>
    <cellStyle name="40% - Accent1 10 2 31" xfId="22107"/>
    <cellStyle name="40% - Accent1 10 2 31 2" xfId="44882"/>
    <cellStyle name="40% - Accent1 10 2 32" xfId="22763"/>
    <cellStyle name="40% - Accent1 10 2 32 2" xfId="45538"/>
    <cellStyle name="40% - Accent1 10 2 33" xfId="23562"/>
    <cellStyle name="40% - Accent1 10 2 4" xfId="5051"/>
    <cellStyle name="40% - Accent1 10 2 4 2" xfId="27826"/>
    <cellStyle name="40% - Accent1 10 2 5" xfId="5707"/>
    <cellStyle name="40% - Accent1 10 2 5 2" xfId="28482"/>
    <cellStyle name="40% - Accent1 10 2 6" xfId="6363"/>
    <cellStyle name="40% - Accent1 10 2 6 2" xfId="29138"/>
    <cellStyle name="40% - Accent1 10 2 7" xfId="3083"/>
    <cellStyle name="40% - Accent1 10 2 7 2" xfId="25858"/>
    <cellStyle name="40% - Accent1 10 2 8" xfId="7019"/>
    <cellStyle name="40% - Accent1 10 2 8 2" xfId="29794"/>
    <cellStyle name="40% - Accent1 10 2 9" xfId="7675"/>
    <cellStyle name="40% - Accent1 10 2 9 2" xfId="30450"/>
    <cellStyle name="40% - Accent1 10 20" xfId="13251"/>
    <cellStyle name="40% - Accent1 10 20 2" xfId="36026"/>
    <cellStyle name="40% - Accent1 10 21" xfId="13907"/>
    <cellStyle name="40% - Accent1 10 21 2" xfId="36682"/>
    <cellStyle name="40% - Accent1 10 22" xfId="14563"/>
    <cellStyle name="40% - Accent1 10 22 2" xfId="37338"/>
    <cellStyle name="40% - Accent1 10 23" xfId="15219"/>
    <cellStyle name="40% - Accent1 10 23 2" xfId="37994"/>
    <cellStyle name="40% - Accent1 10 24" xfId="15875"/>
    <cellStyle name="40% - Accent1 10 24 2" xfId="38650"/>
    <cellStyle name="40% - Accent1 10 25" xfId="16531"/>
    <cellStyle name="40% - Accent1 10 25 2" xfId="39306"/>
    <cellStyle name="40% - Accent1 10 26" xfId="17187"/>
    <cellStyle name="40% - Accent1 10 26 2" xfId="39962"/>
    <cellStyle name="40% - Accent1 10 27" xfId="17843"/>
    <cellStyle name="40% - Accent1 10 27 2" xfId="40618"/>
    <cellStyle name="40% - Accent1 10 28" xfId="18499"/>
    <cellStyle name="40% - Accent1 10 28 2" xfId="41274"/>
    <cellStyle name="40% - Accent1 10 29" xfId="19155"/>
    <cellStyle name="40% - Accent1 10 29 2" xfId="41930"/>
    <cellStyle name="40% - Accent1 10 3" xfId="1115"/>
    <cellStyle name="40% - Accent1 10 3 2" xfId="2755"/>
    <cellStyle name="40% - Accent1 10 3 2 2" xfId="25530"/>
    <cellStyle name="40% - Accent1 10 3 3" xfId="23890"/>
    <cellStyle name="40% - Accent1 10 30" xfId="19811"/>
    <cellStyle name="40% - Accent1 10 30 2" xfId="42586"/>
    <cellStyle name="40% - Accent1 10 31" xfId="20467"/>
    <cellStyle name="40% - Accent1 10 31 2" xfId="43242"/>
    <cellStyle name="40% - Accent1 10 32" xfId="21123"/>
    <cellStyle name="40% - Accent1 10 32 2" xfId="43898"/>
    <cellStyle name="40% - Accent1 10 33" xfId="21779"/>
    <cellStyle name="40% - Accent1 10 33 2" xfId="44554"/>
    <cellStyle name="40% - Accent1 10 34" xfId="22435"/>
    <cellStyle name="40% - Accent1 10 34 2" xfId="45210"/>
    <cellStyle name="40% - Accent1 10 35" xfId="23234"/>
    <cellStyle name="40% - Accent1 10 4" xfId="1771"/>
    <cellStyle name="40% - Accent1 10 4 2" xfId="3411"/>
    <cellStyle name="40% - Accent1 10 4 2 2" xfId="26186"/>
    <cellStyle name="40% - Accent1 10 4 3" xfId="24546"/>
    <cellStyle name="40% - Accent1 10 5" xfId="4067"/>
    <cellStyle name="40% - Accent1 10 5 2" xfId="26842"/>
    <cellStyle name="40% - Accent1 10 6" xfId="4723"/>
    <cellStyle name="40% - Accent1 10 6 2" xfId="27498"/>
    <cellStyle name="40% - Accent1 10 7" xfId="5379"/>
    <cellStyle name="40% - Accent1 10 7 2" xfId="28154"/>
    <cellStyle name="40% - Accent1 10 8" xfId="6035"/>
    <cellStyle name="40% - Accent1 10 8 2" xfId="28810"/>
    <cellStyle name="40% - Accent1 10 9" xfId="2427"/>
    <cellStyle name="40% - Accent1 10 9 2" xfId="25202"/>
    <cellStyle name="40% - Accent1 11" xfId="602"/>
    <cellStyle name="40% - Accent1 11 10" xfId="8146"/>
    <cellStyle name="40% - Accent1 11 10 2" xfId="30921"/>
    <cellStyle name="40% - Accent1 11 11" xfId="8802"/>
    <cellStyle name="40% - Accent1 11 11 2" xfId="31577"/>
    <cellStyle name="40% - Accent1 11 12" xfId="9458"/>
    <cellStyle name="40% - Accent1 11 12 2" xfId="32233"/>
    <cellStyle name="40% - Accent1 11 13" xfId="10114"/>
    <cellStyle name="40% - Accent1 11 13 2" xfId="32889"/>
    <cellStyle name="40% - Accent1 11 14" xfId="10770"/>
    <cellStyle name="40% - Accent1 11 14 2" xfId="33545"/>
    <cellStyle name="40% - Accent1 11 15" xfId="11426"/>
    <cellStyle name="40% - Accent1 11 15 2" xfId="34201"/>
    <cellStyle name="40% - Accent1 11 16" xfId="12082"/>
    <cellStyle name="40% - Accent1 11 16 2" xfId="34857"/>
    <cellStyle name="40% - Accent1 11 17" xfId="12738"/>
    <cellStyle name="40% - Accent1 11 17 2" xfId="35513"/>
    <cellStyle name="40% - Accent1 11 18" xfId="13394"/>
    <cellStyle name="40% - Accent1 11 18 2" xfId="36169"/>
    <cellStyle name="40% - Accent1 11 19" xfId="14050"/>
    <cellStyle name="40% - Accent1 11 19 2" xfId="36825"/>
    <cellStyle name="40% - Accent1 11 2" xfId="1258"/>
    <cellStyle name="40% - Accent1 11 2 2" xfId="3554"/>
    <cellStyle name="40% - Accent1 11 2 2 2" xfId="26329"/>
    <cellStyle name="40% - Accent1 11 2 3" xfId="24033"/>
    <cellStyle name="40% - Accent1 11 20" xfId="14706"/>
    <cellStyle name="40% - Accent1 11 20 2" xfId="37481"/>
    <cellStyle name="40% - Accent1 11 21" xfId="15362"/>
    <cellStyle name="40% - Accent1 11 21 2" xfId="38137"/>
    <cellStyle name="40% - Accent1 11 22" xfId="16018"/>
    <cellStyle name="40% - Accent1 11 22 2" xfId="38793"/>
    <cellStyle name="40% - Accent1 11 23" xfId="16674"/>
    <cellStyle name="40% - Accent1 11 23 2" xfId="39449"/>
    <cellStyle name="40% - Accent1 11 24" xfId="17330"/>
    <cellStyle name="40% - Accent1 11 24 2" xfId="40105"/>
    <cellStyle name="40% - Accent1 11 25" xfId="17986"/>
    <cellStyle name="40% - Accent1 11 25 2" xfId="40761"/>
    <cellStyle name="40% - Accent1 11 26" xfId="18642"/>
    <cellStyle name="40% - Accent1 11 26 2" xfId="41417"/>
    <cellStyle name="40% - Accent1 11 27" xfId="19298"/>
    <cellStyle name="40% - Accent1 11 27 2" xfId="42073"/>
    <cellStyle name="40% - Accent1 11 28" xfId="19954"/>
    <cellStyle name="40% - Accent1 11 28 2" xfId="42729"/>
    <cellStyle name="40% - Accent1 11 29" xfId="20610"/>
    <cellStyle name="40% - Accent1 11 29 2" xfId="43385"/>
    <cellStyle name="40% - Accent1 11 3" xfId="1914"/>
    <cellStyle name="40% - Accent1 11 3 2" xfId="4210"/>
    <cellStyle name="40% - Accent1 11 3 2 2" xfId="26985"/>
    <cellStyle name="40% - Accent1 11 3 3" xfId="24689"/>
    <cellStyle name="40% - Accent1 11 30" xfId="21266"/>
    <cellStyle name="40% - Accent1 11 30 2" xfId="44041"/>
    <cellStyle name="40% - Accent1 11 31" xfId="21922"/>
    <cellStyle name="40% - Accent1 11 31 2" xfId="44697"/>
    <cellStyle name="40% - Accent1 11 32" xfId="22578"/>
    <cellStyle name="40% - Accent1 11 32 2" xfId="45353"/>
    <cellStyle name="40% - Accent1 11 33" xfId="23377"/>
    <cellStyle name="40% - Accent1 11 4" xfId="4866"/>
    <cellStyle name="40% - Accent1 11 4 2" xfId="27641"/>
    <cellStyle name="40% - Accent1 11 5" xfId="5522"/>
    <cellStyle name="40% - Accent1 11 5 2" xfId="28297"/>
    <cellStyle name="40% - Accent1 11 6" xfId="6178"/>
    <cellStyle name="40% - Accent1 11 6 2" xfId="28953"/>
    <cellStyle name="40% - Accent1 11 7" xfId="2898"/>
    <cellStyle name="40% - Accent1 11 7 2" xfId="25673"/>
    <cellStyle name="40% - Accent1 11 8" xfId="6834"/>
    <cellStyle name="40% - Accent1 11 8 2" xfId="29609"/>
    <cellStyle name="40% - Accent1 11 9" xfId="7490"/>
    <cellStyle name="40% - Accent1 11 9 2" xfId="30265"/>
    <cellStyle name="40% - Accent1 12" xfId="275"/>
    <cellStyle name="40% - Accent1 12 2" xfId="2570"/>
    <cellStyle name="40% - Accent1 12 2 2" xfId="25345"/>
    <cellStyle name="40% - Accent1 12 3" xfId="23049"/>
    <cellStyle name="40% - Accent1 13" xfId="930"/>
    <cellStyle name="40% - Accent1 13 2" xfId="3226"/>
    <cellStyle name="40% - Accent1 13 2 2" xfId="26001"/>
    <cellStyle name="40% - Accent1 13 3" xfId="23705"/>
    <cellStyle name="40% - Accent1 14" xfId="1586"/>
    <cellStyle name="40% - Accent1 14 2" xfId="3882"/>
    <cellStyle name="40% - Accent1 14 2 2" xfId="26657"/>
    <cellStyle name="40% - Accent1 14 3" xfId="24361"/>
    <cellStyle name="40% - Accent1 15" xfId="4538"/>
    <cellStyle name="40% - Accent1 15 2" xfId="27313"/>
    <cellStyle name="40% - Accent1 16" xfId="5194"/>
    <cellStyle name="40% - Accent1 16 2" xfId="27969"/>
    <cellStyle name="40% - Accent1 17" xfId="5850"/>
    <cellStyle name="40% - Accent1 17 2" xfId="28625"/>
    <cellStyle name="40% - Accent1 18" xfId="2242"/>
    <cellStyle name="40% - Accent1 18 2" xfId="25017"/>
    <cellStyle name="40% - Accent1 19" xfId="6506"/>
    <cellStyle name="40% - Accent1 19 2" xfId="29281"/>
    <cellStyle name="40% - Accent1 2" xfId="70"/>
    <cellStyle name="40% - Accent1 2 10" xfId="5866"/>
    <cellStyle name="40% - Accent1 2 10 2" xfId="28641"/>
    <cellStyle name="40% - Accent1 2 11" xfId="2258"/>
    <cellStyle name="40% - Accent1 2 11 2" xfId="25033"/>
    <cellStyle name="40% - Accent1 2 12" xfId="6522"/>
    <cellStyle name="40% - Accent1 2 12 2" xfId="29297"/>
    <cellStyle name="40% - Accent1 2 13" xfId="7178"/>
    <cellStyle name="40% - Accent1 2 13 2" xfId="29953"/>
    <cellStyle name="40% - Accent1 2 14" xfId="7834"/>
    <cellStyle name="40% - Accent1 2 14 2" xfId="30609"/>
    <cellStyle name="40% - Accent1 2 15" xfId="8490"/>
    <cellStyle name="40% - Accent1 2 15 2" xfId="31265"/>
    <cellStyle name="40% - Accent1 2 16" xfId="9146"/>
    <cellStyle name="40% - Accent1 2 16 2" xfId="31921"/>
    <cellStyle name="40% - Accent1 2 17" xfId="9802"/>
    <cellStyle name="40% - Accent1 2 17 2" xfId="32577"/>
    <cellStyle name="40% - Accent1 2 18" xfId="10458"/>
    <cellStyle name="40% - Accent1 2 18 2" xfId="33233"/>
    <cellStyle name="40% - Accent1 2 19" xfId="11114"/>
    <cellStyle name="40% - Accent1 2 19 2" xfId="33889"/>
    <cellStyle name="40% - Accent1 2 2" xfId="146"/>
    <cellStyle name="40% - Accent1 2 2 10" xfId="2344"/>
    <cellStyle name="40% - Accent1 2 2 10 2" xfId="25119"/>
    <cellStyle name="40% - Accent1 2 2 11" xfId="6608"/>
    <cellStyle name="40% - Accent1 2 2 11 2" xfId="29383"/>
    <cellStyle name="40% - Accent1 2 2 12" xfId="7264"/>
    <cellStyle name="40% - Accent1 2 2 12 2" xfId="30039"/>
    <cellStyle name="40% - Accent1 2 2 13" xfId="7920"/>
    <cellStyle name="40% - Accent1 2 2 13 2" xfId="30695"/>
    <cellStyle name="40% - Accent1 2 2 14" xfId="8576"/>
    <cellStyle name="40% - Accent1 2 2 14 2" xfId="31351"/>
    <cellStyle name="40% - Accent1 2 2 15" xfId="9232"/>
    <cellStyle name="40% - Accent1 2 2 15 2" xfId="32007"/>
    <cellStyle name="40% - Accent1 2 2 16" xfId="9888"/>
    <cellStyle name="40% - Accent1 2 2 16 2" xfId="32663"/>
    <cellStyle name="40% - Accent1 2 2 17" xfId="10544"/>
    <cellStyle name="40% - Accent1 2 2 17 2" xfId="33319"/>
    <cellStyle name="40% - Accent1 2 2 18" xfId="11200"/>
    <cellStyle name="40% - Accent1 2 2 18 2" xfId="33975"/>
    <cellStyle name="40% - Accent1 2 2 19" xfId="11856"/>
    <cellStyle name="40% - Accent1 2 2 19 2" xfId="34631"/>
    <cellStyle name="40% - Accent1 2 2 2" xfId="560"/>
    <cellStyle name="40% - Accent1 2 2 2 10" xfId="6793"/>
    <cellStyle name="40% - Accent1 2 2 2 10 2" xfId="29568"/>
    <cellStyle name="40% - Accent1 2 2 2 11" xfId="7449"/>
    <cellStyle name="40% - Accent1 2 2 2 11 2" xfId="30224"/>
    <cellStyle name="40% - Accent1 2 2 2 12" xfId="8105"/>
    <cellStyle name="40% - Accent1 2 2 2 12 2" xfId="30880"/>
    <cellStyle name="40% - Accent1 2 2 2 13" xfId="8761"/>
    <cellStyle name="40% - Accent1 2 2 2 13 2" xfId="31536"/>
    <cellStyle name="40% - Accent1 2 2 2 14" xfId="9417"/>
    <cellStyle name="40% - Accent1 2 2 2 14 2" xfId="32192"/>
    <cellStyle name="40% - Accent1 2 2 2 15" xfId="10073"/>
    <cellStyle name="40% - Accent1 2 2 2 15 2" xfId="32848"/>
    <cellStyle name="40% - Accent1 2 2 2 16" xfId="10729"/>
    <cellStyle name="40% - Accent1 2 2 2 16 2" xfId="33504"/>
    <cellStyle name="40% - Accent1 2 2 2 17" xfId="11385"/>
    <cellStyle name="40% - Accent1 2 2 2 17 2" xfId="34160"/>
    <cellStyle name="40% - Accent1 2 2 2 18" xfId="12041"/>
    <cellStyle name="40% - Accent1 2 2 2 18 2" xfId="34816"/>
    <cellStyle name="40% - Accent1 2 2 2 19" xfId="12697"/>
    <cellStyle name="40% - Accent1 2 2 2 19 2" xfId="35472"/>
    <cellStyle name="40% - Accent1 2 2 2 2" xfId="889"/>
    <cellStyle name="40% - Accent1 2 2 2 2 10" xfId="8433"/>
    <cellStyle name="40% - Accent1 2 2 2 2 10 2" xfId="31208"/>
    <cellStyle name="40% - Accent1 2 2 2 2 11" xfId="9089"/>
    <cellStyle name="40% - Accent1 2 2 2 2 11 2" xfId="31864"/>
    <cellStyle name="40% - Accent1 2 2 2 2 12" xfId="9745"/>
    <cellStyle name="40% - Accent1 2 2 2 2 12 2" xfId="32520"/>
    <cellStyle name="40% - Accent1 2 2 2 2 13" xfId="10401"/>
    <cellStyle name="40% - Accent1 2 2 2 2 13 2" xfId="33176"/>
    <cellStyle name="40% - Accent1 2 2 2 2 14" xfId="11057"/>
    <cellStyle name="40% - Accent1 2 2 2 2 14 2" xfId="33832"/>
    <cellStyle name="40% - Accent1 2 2 2 2 15" xfId="11713"/>
    <cellStyle name="40% - Accent1 2 2 2 2 15 2" xfId="34488"/>
    <cellStyle name="40% - Accent1 2 2 2 2 16" xfId="12369"/>
    <cellStyle name="40% - Accent1 2 2 2 2 16 2" xfId="35144"/>
    <cellStyle name="40% - Accent1 2 2 2 2 17" xfId="13025"/>
    <cellStyle name="40% - Accent1 2 2 2 2 17 2" xfId="35800"/>
    <cellStyle name="40% - Accent1 2 2 2 2 18" xfId="13681"/>
    <cellStyle name="40% - Accent1 2 2 2 2 18 2" xfId="36456"/>
    <cellStyle name="40% - Accent1 2 2 2 2 19" xfId="14337"/>
    <cellStyle name="40% - Accent1 2 2 2 2 19 2" xfId="37112"/>
    <cellStyle name="40% - Accent1 2 2 2 2 2" xfId="1545"/>
    <cellStyle name="40% - Accent1 2 2 2 2 2 2" xfId="3841"/>
    <cellStyle name="40% - Accent1 2 2 2 2 2 2 2" xfId="26616"/>
    <cellStyle name="40% - Accent1 2 2 2 2 2 3" xfId="24320"/>
    <cellStyle name="40% - Accent1 2 2 2 2 20" xfId="14993"/>
    <cellStyle name="40% - Accent1 2 2 2 2 20 2" xfId="37768"/>
    <cellStyle name="40% - Accent1 2 2 2 2 21" xfId="15649"/>
    <cellStyle name="40% - Accent1 2 2 2 2 21 2" xfId="38424"/>
    <cellStyle name="40% - Accent1 2 2 2 2 22" xfId="16305"/>
    <cellStyle name="40% - Accent1 2 2 2 2 22 2" xfId="39080"/>
    <cellStyle name="40% - Accent1 2 2 2 2 23" xfId="16961"/>
    <cellStyle name="40% - Accent1 2 2 2 2 23 2" xfId="39736"/>
    <cellStyle name="40% - Accent1 2 2 2 2 24" xfId="17617"/>
    <cellStyle name="40% - Accent1 2 2 2 2 24 2" xfId="40392"/>
    <cellStyle name="40% - Accent1 2 2 2 2 25" xfId="18273"/>
    <cellStyle name="40% - Accent1 2 2 2 2 25 2" xfId="41048"/>
    <cellStyle name="40% - Accent1 2 2 2 2 26" xfId="18929"/>
    <cellStyle name="40% - Accent1 2 2 2 2 26 2" xfId="41704"/>
    <cellStyle name="40% - Accent1 2 2 2 2 27" xfId="19585"/>
    <cellStyle name="40% - Accent1 2 2 2 2 27 2" xfId="42360"/>
    <cellStyle name="40% - Accent1 2 2 2 2 28" xfId="20241"/>
    <cellStyle name="40% - Accent1 2 2 2 2 28 2" xfId="43016"/>
    <cellStyle name="40% - Accent1 2 2 2 2 29" xfId="20897"/>
    <cellStyle name="40% - Accent1 2 2 2 2 29 2" xfId="43672"/>
    <cellStyle name="40% - Accent1 2 2 2 2 3" xfId="2201"/>
    <cellStyle name="40% - Accent1 2 2 2 2 3 2" xfId="4497"/>
    <cellStyle name="40% - Accent1 2 2 2 2 3 2 2" xfId="27272"/>
    <cellStyle name="40% - Accent1 2 2 2 2 3 3" xfId="24976"/>
    <cellStyle name="40% - Accent1 2 2 2 2 30" xfId="21553"/>
    <cellStyle name="40% - Accent1 2 2 2 2 30 2" xfId="44328"/>
    <cellStyle name="40% - Accent1 2 2 2 2 31" xfId="22209"/>
    <cellStyle name="40% - Accent1 2 2 2 2 31 2" xfId="44984"/>
    <cellStyle name="40% - Accent1 2 2 2 2 32" xfId="22865"/>
    <cellStyle name="40% - Accent1 2 2 2 2 32 2" xfId="45640"/>
    <cellStyle name="40% - Accent1 2 2 2 2 33" xfId="23664"/>
    <cellStyle name="40% - Accent1 2 2 2 2 4" xfId="5153"/>
    <cellStyle name="40% - Accent1 2 2 2 2 4 2" xfId="27928"/>
    <cellStyle name="40% - Accent1 2 2 2 2 5" xfId="5809"/>
    <cellStyle name="40% - Accent1 2 2 2 2 5 2" xfId="28584"/>
    <cellStyle name="40% - Accent1 2 2 2 2 6" xfId="6465"/>
    <cellStyle name="40% - Accent1 2 2 2 2 6 2" xfId="29240"/>
    <cellStyle name="40% - Accent1 2 2 2 2 7" xfId="3185"/>
    <cellStyle name="40% - Accent1 2 2 2 2 7 2" xfId="25960"/>
    <cellStyle name="40% - Accent1 2 2 2 2 8" xfId="7121"/>
    <cellStyle name="40% - Accent1 2 2 2 2 8 2" xfId="29896"/>
    <cellStyle name="40% - Accent1 2 2 2 2 9" xfId="7777"/>
    <cellStyle name="40% - Accent1 2 2 2 2 9 2" xfId="30552"/>
    <cellStyle name="40% - Accent1 2 2 2 20" xfId="13353"/>
    <cellStyle name="40% - Accent1 2 2 2 20 2" xfId="36128"/>
    <cellStyle name="40% - Accent1 2 2 2 21" xfId="14009"/>
    <cellStyle name="40% - Accent1 2 2 2 21 2" xfId="36784"/>
    <cellStyle name="40% - Accent1 2 2 2 22" xfId="14665"/>
    <cellStyle name="40% - Accent1 2 2 2 22 2" xfId="37440"/>
    <cellStyle name="40% - Accent1 2 2 2 23" xfId="15321"/>
    <cellStyle name="40% - Accent1 2 2 2 23 2" xfId="38096"/>
    <cellStyle name="40% - Accent1 2 2 2 24" xfId="15977"/>
    <cellStyle name="40% - Accent1 2 2 2 24 2" xfId="38752"/>
    <cellStyle name="40% - Accent1 2 2 2 25" xfId="16633"/>
    <cellStyle name="40% - Accent1 2 2 2 25 2" xfId="39408"/>
    <cellStyle name="40% - Accent1 2 2 2 26" xfId="17289"/>
    <cellStyle name="40% - Accent1 2 2 2 26 2" xfId="40064"/>
    <cellStyle name="40% - Accent1 2 2 2 27" xfId="17945"/>
    <cellStyle name="40% - Accent1 2 2 2 27 2" xfId="40720"/>
    <cellStyle name="40% - Accent1 2 2 2 28" xfId="18601"/>
    <cellStyle name="40% - Accent1 2 2 2 28 2" xfId="41376"/>
    <cellStyle name="40% - Accent1 2 2 2 29" xfId="19257"/>
    <cellStyle name="40% - Accent1 2 2 2 29 2" xfId="42032"/>
    <cellStyle name="40% - Accent1 2 2 2 3" xfId="1217"/>
    <cellStyle name="40% - Accent1 2 2 2 3 2" xfId="2857"/>
    <cellStyle name="40% - Accent1 2 2 2 3 2 2" xfId="25632"/>
    <cellStyle name="40% - Accent1 2 2 2 3 3" xfId="23992"/>
    <cellStyle name="40% - Accent1 2 2 2 30" xfId="19913"/>
    <cellStyle name="40% - Accent1 2 2 2 30 2" xfId="42688"/>
    <cellStyle name="40% - Accent1 2 2 2 31" xfId="20569"/>
    <cellStyle name="40% - Accent1 2 2 2 31 2" xfId="43344"/>
    <cellStyle name="40% - Accent1 2 2 2 32" xfId="21225"/>
    <cellStyle name="40% - Accent1 2 2 2 32 2" xfId="44000"/>
    <cellStyle name="40% - Accent1 2 2 2 33" xfId="21881"/>
    <cellStyle name="40% - Accent1 2 2 2 33 2" xfId="44656"/>
    <cellStyle name="40% - Accent1 2 2 2 34" xfId="22537"/>
    <cellStyle name="40% - Accent1 2 2 2 34 2" xfId="45312"/>
    <cellStyle name="40% - Accent1 2 2 2 35" xfId="23336"/>
    <cellStyle name="40% - Accent1 2 2 2 4" xfId="1873"/>
    <cellStyle name="40% - Accent1 2 2 2 4 2" xfId="3513"/>
    <cellStyle name="40% - Accent1 2 2 2 4 2 2" xfId="26288"/>
    <cellStyle name="40% - Accent1 2 2 2 4 3" xfId="24648"/>
    <cellStyle name="40% - Accent1 2 2 2 5" xfId="4169"/>
    <cellStyle name="40% - Accent1 2 2 2 5 2" xfId="26944"/>
    <cellStyle name="40% - Accent1 2 2 2 6" xfId="4825"/>
    <cellStyle name="40% - Accent1 2 2 2 6 2" xfId="27600"/>
    <cellStyle name="40% - Accent1 2 2 2 7" xfId="5481"/>
    <cellStyle name="40% - Accent1 2 2 2 7 2" xfId="28256"/>
    <cellStyle name="40% - Accent1 2 2 2 8" xfId="6137"/>
    <cellStyle name="40% - Accent1 2 2 2 8 2" xfId="28912"/>
    <cellStyle name="40% - Accent1 2 2 2 9" xfId="2529"/>
    <cellStyle name="40% - Accent1 2 2 2 9 2" xfId="25304"/>
    <cellStyle name="40% - Accent1 2 2 20" xfId="12512"/>
    <cellStyle name="40% - Accent1 2 2 20 2" xfId="35287"/>
    <cellStyle name="40% - Accent1 2 2 21" xfId="13168"/>
    <cellStyle name="40% - Accent1 2 2 21 2" xfId="35943"/>
    <cellStyle name="40% - Accent1 2 2 22" xfId="13824"/>
    <cellStyle name="40% - Accent1 2 2 22 2" xfId="36599"/>
    <cellStyle name="40% - Accent1 2 2 23" xfId="14480"/>
    <cellStyle name="40% - Accent1 2 2 23 2" xfId="37255"/>
    <cellStyle name="40% - Accent1 2 2 24" xfId="15136"/>
    <cellStyle name="40% - Accent1 2 2 24 2" xfId="37911"/>
    <cellStyle name="40% - Accent1 2 2 25" xfId="15792"/>
    <cellStyle name="40% - Accent1 2 2 25 2" xfId="38567"/>
    <cellStyle name="40% - Accent1 2 2 26" xfId="16448"/>
    <cellStyle name="40% - Accent1 2 2 26 2" xfId="39223"/>
    <cellStyle name="40% - Accent1 2 2 27" xfId="17104"/>
    <cellStyle name="40% - Accent1 2 2 27 2" xfId="39879"/>
    <cellStyle name="40% - Accent1 2 2 28" xfId="17760"/>
    <cellStyle name="40% - Accent1 2 2 28 2" xfId="40535"/>
    <cellStyle name="40% - Accent1 2 2 29" xfId="18416"/>
    <cellStyle name="40% - Accent1 2 2 29 2" xfId="41191"/>
    <cellStyle name="40% - Accent1 2 2 3" xfId="704"/>
    <cellStyle name="40% - Accent1 2 2 3 10" xfId="8248"/>
    <cellStyle name="40% - Accent1 2 2 3 10 2" xfId="31023"/>
    <cellStyle name="40% - Accent1 2 2 3 11" xfId="8904"/>
    <cellStyle name="40% - Accent1 2 2 3 11 2" xfId="31679"/>
    <cellStyle name="40% - Accent1 2 2 3 12" xfId="9560"/>
    <cellStyle name="40% - Accent1 2 2 3 12 2" xfId="32335"/>
    <cellStyle name="40% - Accent1 2 2 3 13" xfId="10216"/>
    <cellStyle name="40% - Accent1 2 2 3 13 2" xfId="32991"/>
    <cellStyle name="40% - Accent1 2 2 3 14" xfId="10872"/>
    <cellStyle name="40% - Accent1 2 2 3 14 2" xfId="33647"/>
    <cellStyle name="40% - Accent1 2 2 3 15" xfId="11528"/>
    <cellStyle name="40% - Accent1 2 2 3 15 2" xfId="34303"/>
    <cellStyle name="40% - Accent1 2 2 3 16" xfId="12184"/>
    <cellStyle name="40% - Accent1 2 2 3 16 2" xfId="34959"/>
    <cellStyle name="40% - Accent1 2 2 3 17" xfId="12840"/>
    <cellStyle name="40% - Accent1 2 2 3 17 2" xfId="35615"/>
    <cellStyle name="40% - Accent1 2 2 3 18" xfId="13496"/>
    <cellStyle name="40% - Accent1 2 2 3 18 2" xfId="36271"/>
    <cellStyle name="40% - Accent1 2 2 3 19" xfId="14152"/>
    <cellStyle name="40% - Accent1 2 2 3 19 2" xfId="36927"/>
    <cellStyle name="40% - Accent1 2 2 3 2" xfId="1360"/>
    <cellStyle name="40% - Accent1 2 2 3 2 2" xfId="3656"/>
    <cellStyle name="40% - Accent1 2 2 3 2 2 2" xfId="26431"/>
    <cellStyle name="40% - Accent1 2 2 3 2 3" xfId="24135"/>
    <cellStyle name="40% - Accent1 2 2 3 20" xfId="14808"/>
    <cellStyle name="40% - Accent1 2 2 3 20 2" xfId="37583"/>
    <cellStyle name="40% - Accent1 2 2 3 21" xfId="15464"/>
    <cellStyle name="40% - Accent1 2 2 3 21 2" xfId="38239"/>
    <cellStyle name="40% - Accent1 2 2 3 22" xfId="16120"/>
    <cellStyle name="40% - Accent1 2 2 3 22 2" xfId="38895"/>
    <cellStyle name="40% - Accent1 2 2 3 23" xfId="16776"/>
    <cellStyle name="40% - Accent1 2 2 3 23 2" xfId="39551"/>
    <cellStyle name="40% - Accent1 2 2 3 24" xfId="17432"/>
    <cellStyle name="40% - Accent1 2 2 3 24 2" xfId="40207"/>
    <cellStyle name="40% - Accent1 2 2 3 25" xfId="18088"/>
    <cellStyle name="40% - Accent1 2 2 3 25 2" xfId="40863"/>
    <cellStyle name="40% - Accent1 2 2 3 26" xfId="18744"/>
    <cellStyle name="40% - Accent1 2 2 3 26 2" xfId="41519"/>
    <cellStyle name="40% - Accent1 2 2 3 27" xfId="19400"/>
    <cellStyle name="40% - Accent1 2 2 3 27 2" xfId="42175"/>
    <cellStyle name="40% - Accent1 2 2 3 28" xfId="20056"/>
    <cellStyle name="40% - Accent1 2 2 3 28 2" xfId="42831"/>
    <cellStyle name="40% - Accent1 2 2 3 29" xfId="20712"/>
    <cellStyle name="40% - Accent1 2 2 3 29 2" xfId="43487"/>
    <cellStyle name="40% - Accent1 2 2 3 3" xfId="2016"/>
    <cellStyle name="40% - Accent1 2 2 3 3 2" xfId="4312"/>
    <cellStyle name="40% - Accent1 2 2 3 3 2 2" xfId="27087"/>
    <cellStyle name="40% - Accent1 2 2 3 3 3" xfId="24791"/>
    <cellStyle name="40% - Accent1 2 2 3 30" xfId="21368"/>
    <cellStyle name="40% - Accent1 2 2 3 30 2" xfId="44143"/>
    <cellStyle name="40% - Accent1 2 2 3 31" xfId="22024"/>
    <cellStyle name="40% - Accent1 2 2 3 31 2" xfId="44799"/>
    <cellStyle name="40% - Accent1 2 2 3 32" xfId="22680"/>
    <cellStyle name="40% - Accent1 2 2 3 32 2" xfId="45455"/>
    <cellStyle name="40% - Accent1 2 2 3 33" xfId="23479"/>
    <cellStyle name="40% - Accent1 2 2 3 4" xfId="4968"/>
    <cellStyle name="40% - Accent1 2 2 3 4 2" xfId="27743"/>
    <cellStyle name="40% - Accent1 2 2 3 5" xfId="5624"/>
    <cellStyle name="40% - Accent1 2 2 3 5 2" xfId="28399"/>
    <cellStyle name="40% - Accent1 2 2 3 6" xfId="6280"/>
    <cellStyle name="40% - Accent1 2 2 3 6 2" xfId="29055"/>
    <cellStyle name="40% - Accent1 2 2 3 7" xfId="3000"/>
    <cellStyle name="40% - Accent1 2 2 3 7 2" xfId="25775"/>
    <cellStyle name="40% - Accent1 2 2 3 8" xfId="6936"/>
    <cellStyle name="40% - Accent1 2 2 3 8 2" xfId="29711"/>
    <cellStyle name="40% - Accent1 2 2 3 9" xfId="7592"/>
    <cellStyle name="40% - Accent1 2 2 3 9 2" xfId="30367"/>
    <cellStyle name="40% - Accent1 2 2 30" xfId="19072"/>
    <cellStyle name="40% - Accent1 2 2 30 2" xfId="41847"/>
    <cellStyle name="40% - Accent1 2 2 31" xfId="19728"/>
    <cellStyle name="40% - Accent1 2 2 31 2" xfId="42503"/>
    <cellStyle name="40% - Accent1 2 2 32" xfId="20384"/>
    <cellStyle name="40% - Accent1 2 2 32 2" xfId="43159"/>
    <cellStyle name="40% - Accent1 2 2 33" xfId="21040"/>
    <cellStyle name="40% - Accent1 2 2 33 2" xfId="43815"/>
    <cellStyle name="40% - Accent1 2 2 34" xfId="21696"/>
    <cellStyle name="40% - Accent1 2 2 34 2" xfId="44471"/>
    <cellStyle name="40% - Accent1 2 2 35" xfId="22352"/>
    <cellStyle name="40% - Accent1 2 2 35 2" xfId="45127"/>
    <cellStyle name="40% - Accent1 2 2 36" xfId="23008"/>
    <cellStyle name="40% - Accent1 2 2 4" xfId="377"/>
    <cellStyle name="40% - Accent1 2 2 4 2" xfId="2672"/>
    <cellStyle name="40% - Accent1 2 2 4 2 2" xfId="25447"/>
    <cellStyle name="40% - Accent1 2 2 4 3" xfId="23151"/>
    <cellStyle name="40% - Accent1 2 2 5" xfId="1032"/>
    <cellStyle name="40% - Accent1 2 2 5 2" xfId="3328"/>
    <cellStyle name="40% - Accent1 2 2 5 2 2" xfId="26103"/>
    <cellStyle name="40% - Accent1 2 2 5 3" xfId="23807"/>
    <cellStyle name="40% - Accent1 2 2 6" xfId="1688"/>
    <cellStyle name="40% - Accent1 2 2 6 2" xfId="3984"/>
    <cellStyle name="40% - Accent1 2 2 6 2 2" xfId="26759"/>
    <cellStyle name="40% - Accent1 2 2 6 3" xfId="24463"/>
    <cellStyle name="40% - Accent1 2 2 7" xfId="4640"/>
    <cellStyle name="40% - Accent1 2 2 7 2" xfId="27415"/>
    <cellStyle name="40% - Accent1 2 2 8" xfId="5296"/>
    <cellStyle name="40% - Accent1 2 2 8 2" xfId="28071"/>
    <cellStyle name="40% - Accent1 2 2 9" xfId="5952"/>
    <cellStyle name="40% - Accent1 2 2 9 2" xfId="28727"/>
    <cellStyle name="40% - Accent1 2 20" xfId="11770"/>
    <cellStyle name="40% - Accent1 2 20 2" xfId="34545"/>
    <cellStyle name="40% - Accent1 2 21" xfId="12426"/>
    <cellStyle name="40% - Accent1 2 21 2" xfId="35201"/>
    <cellStyle name="40% - Accent1 2 22" xfId="13082"/>
    <cellStyle name="40% - Accent1 2 22 2" xfId="35857"/>
    <cellStyle name="40% - Accent1 2 23" xfId="13738"/>
    <cellStyle name="40% - Accent1 2 23 2" xfId="36513"/>
    <cellStyle name="40% - Accent1 2 24" xfId="14394"/>
    <cellStyle name="40% - Accent1 2 24 2" xfId="37169"/>
    <cellStyle name="40% - Accent1 2 25" xfId="15050"/>
    <cellStyle name="40% - Accent1 2 25 2" xfId="37825"/>
    <cellStyle name="40% - Accent1 2 26" xfId="15706"/>
    <cellStyle name="40% - Accent1 2 26 2" xfId="38481"/>
    <cellStyle name="40% - Accent1 2 27" xfId="16362"/>
    <cellStyle name="40% - Accent1 2 27 2" xfId="39137"/>
    <cellStyle name="40% - Accent1 2 28" xfId="17018"/>
    <cellStyle name="40% - Accent1 2 28 2" xfId="39793"/>
    <cellStyle name="40% - Accent1 2 29" xfId="17674"/>
    <cellStyle name="40% - Accent1 2 29 2" xfId="40449"/>
    <cellStyle name="40% - Accent1 2 3" xfId="476"/>
    <cellStyle name="40% - Accent1 2 3 10" xfId="6707"/>
    <cellStyle name="40% - Accent1 2 3 10 2" xfId="29482"/>
    <cellStyle name="40% - Accent1 2 3 11" xfId="7363"/>
    <cellStyle name="40% - Accent1 2 3 11 2" xfId="30138"/>
    <cellStyle name="40% - Accent1 2 3 12" xfId="8019"/>
    <cellStyle name="40% - Accent1 2 3 12 2" xfId="30794"/>
    <cellStyle name="40% - Accent1 2 3 13" xfId="8675"/>
    <cellStyle name="40% - Accent1 2 3 13 2" xfId="31450"/>
    <cellStyle name="40% - Accent1 2 3 14" xfId="9331"/>
    <cellStyle name="40% - Accent1 2 3 14 2" xfId="32106"/>
    <cellStyle name="40% - Accent1 2 3 15" xfId="9987"/>
    <cellStyle name="40% - Accent1 2 3 15 2" xfId="32762"/>
    <cellStyle name="40% - Accent1 2 3 16" xfId="10643"/>
    <cellStyle name="40% - Accent1 2 3 16 2" xfId="33418"/>
    <cellStyle name="40% - Accent1 2 3 17" xfId="11299"/>
    <cellStyle name="40% - Accent1 2 3 17 2" xfId="34074"/>
    <cellStyle name="40% - Accent1 2 3 18" xfId="11955"/>
    <cellStyle name="40% - Accent1 2 3 18 2" xfId="34730"/>
    <cellStyle name="40% - Accent1 2 3 19" xfId="12611"/>
    <cellStyle name="40% - Accent1 2 3 19 2" xfId="35386"/>
    <cellStyle name="40% - Accent1 2 3 2" xfId="803"/>
    <cellStyle name="40% - Accent1 2 3 2 10" xfId="8347"/>
    <cellStyle name="40% - Accent1 2 3 2 10 2" xfId="31122"/>
    <cellStyle name="40% - Accent1 2 3 2 11" xfId="9003"/>
    <cellStyle name="40% - Accent1 2 3 2 11 2" xfId="31778"/>
    <cellStyle name="40% - Accent1 2 3 2 12" xfId="9659"/>
    <cellStyle name="40% - Accent1 2 3 2 12 2" xfId="32434"/>
    <cellStyle name="40% - Accent1 2 3 2 13" xfId="10315"/>
    <cellStyle name="40% - Accent1 2 3 2 13 2" xfId="33090"/>
    <cellStyle name="40% - Accent1 2 3 2 14" xfId="10971"/>
    <cellStyle name="40% - Accent1 2 3 2 14 2" xfId="33746"/>
    <cellStyle name="40% - Accent1 2 3 2 15" xfId="11627"/>
    <cellStyle name="40% - Accent1 2 3 2 15 2" xfId="34402"/>
    <cellStyle name="40% - Accent1 2 3 2 16" xfId="12283"/>
    <cellStyle name="40% - Accent1 2 3 2 16 2" xfId="35058"/>
    <cellStyle name="40% - Accent1 2 3 2 17" xfId="12939"/>
    <cellStyle name="40% - Accent1 2 3 2 17 2" xfId="35714"/>
    <cellStyle name="40% - Accent1 2 3 2 18" xfId="13595"/>
    <cellStyle name="40% - Accent1 2 3 2 18 2" xfId="36370"/>
    <cellStyle name="40% - Accent1 2 3 2 19" xfId="14251"/>
    <cellStyle name="40% - Accent1 2 3 2 19 2" xfId="37026"/>
    <cellStyle name="40% - Accent1 2 3 2 2" xfId="1459"/>
    <cellStyle name="40% - Accent1 2 3 2 2 2" xfId="3755"/>
    <cellStyle name="40% - Accent1 2 3 2 2 2 2" xfId="26530"/>
    <cellStyle name="40% - Accent1 2 3 2 2 3" xfId="24234"/>
    <cellStyle name="40% - Accent1 2 3 2 20" xfId="14907"/>
    <cellStyle name="40% - Accent1 2 3 2 20 2" xfId="37682"/>
    <cellStyle name="40% - Accent1 2 3 2 21" xfId="15563"/>
    <cellStyle name="40% - Accent1 2 3 2 21 2" xfId="38338"/>
    <cellStyle name="40% - Accent1 2 3 2 22" xfId="16219"/>
    <cellStyle name="40% - Accent1 2 3 2 22 2" xfId="38994"/>
    <cellStyle name="40% - Accent1 2 3 2 23" xfId="16875"/>
    <cellStyle name="40% - Accent1 2 3 2 23 2" xfId="39650"/>
    <cellStyle name="40% - Accent1 2 3 2 24" xfId="17531"/>
    <cellStyle name="40% - Accent1 2 3 2 24 2" xfId="40306"/>
    <cellStyle name="40% - Accent1 2 3 2 25" xfId="18187"/>
    <cellStyle name="40% - Accent1 2 3 2 25 2" xfId="40962"/>
    <cellStyle name="40% - Accent1 2 3 2 26" xfId="18843"/>
    <cellStyle name="40% - Accent1 2 3 2 26 2" xfId="41618"/>
    <cellStyle name="40% - Accent1 2 3 2 27" xfId="19499"/>
    <cellStyle name="40% - Accent1 2 3 2 27 2" xfId="42274"/>
    <cellStyle name="40% - Accent1 2 3 2 28" xfId="20155"/>
    <cellStyle name="40% - Accent1 2 3 2 28 2" xfId="42930"/>
    <cellStyle name="40% - Accent1 2 3 2 29" xfId="20811"/>
    <cellStyle name="40% - Accent1 2 3 2 29 2" xfId="43586"/>
    <cellStyle name="40% - Accent1 2 3 2 3" xfId="2115"/>
    <cellStyle name="40% - Accent1 2 3 2 3 2" xfId="4411"/>
    <cellStyle name="40% - Accent1 2 3 2 3 2 2" xfId="27186"/>
    <cellStyle name="40% - Accent1 2 3 2 3 3" xfId="24890"/>
    <cellStyle name="40% - Accent1 2 3 2 30" xfId="21467"/>
    <cellStyle name="40% - Accent1 2 3 2 30 2" xfId="44242"/>
    <cellStyle name="40% - Accent1 2 3 2 31" xfId="22123"/>
    <cellStyle name="40% - Accent1 2 3 2 31 2" xfId="44898"/>
    <cellStyle name="40% - Accent1 2 3 2 32" xfId="22779"/>
    <cellStyle name="40% - Accent1 2 3 2 32 2" xfId="45554"/>
    <cellStyle name="40% - Accent1 2 3 2 33" xfId="23578"/>
    <cellStyle name="40% - Accent1 2 3 2 4" xfId="5067"/>
    <cellStyle name="40% - Accent1 2 3 2 4 2" xfId="27842"/>
    <cellStyle name="40% - Accent1 2 3 2 5" xfId="5723"/>
    <cellStyle name="40% - Accent1 2 3 2 5 2" xfId="28498"/>
    <cellStyle name="40% - Accent1 2 3 2 6" xfId="6379"/>
    <cellStyle name="40% - Accent1 2 3 2 6 2" xfId="29154"/>
    <cellStyle name="40% - Accent1 2 3 2 7" xfId="3099"/>
    <cellStyle name="40% - Accent1 2 3 2 7 2" xfId="25874"/>
    <cellStyle name="40% - Accent1 2 3 2 8" xfId="7035"/>
    <cellStyle name="40% - Accent1 2 3 2 8 2" xfId="29810"/>
    <cellStyle name="40% - Accent1 2 3 2 9" xfId="7691"/>
    <cellStyle name="40% - Accent1 2 3 2 9 2" xfId="30466"/>
    <cellStyle name="40% - Accent1 2 3 20" xfId="13267"/>
    <cellStyle name="40% - Accent1 2 3 20 2" xfId="36042"/>
    <cellStyle name="40% - Accent1 2 3 21" xfId="13923"/>
    <cellStyle name="40% - Accent1 2 3 21 2" xfId="36698"/>
    <cellStyle name="40% - Accent1 2 3 22" xfId="14579"/>
    <cellStyle name="40% - Accent1 2 3 22 2" xfId="37354"/>
    <cellStyle name="40% - Accent1 2 3 23" xfId="15235"/>
    <cellStyle name="40% - Accent1 2 3 23 2" xfId="38010"/>
    <cellStyle name="40% - Accent1 2 3 24" xfId="15891"/>
    <cellStyle name="40% - Accent1 2 3 24 2" xfId="38666"/>
    <cellStyle name="40% - Accent1 2 3 25" xfId="16547"/>
    <cellStyle name="40% - Accent1 2 3 25 2" xfId="39322"/>
    <cellStyle name="40% - Accent1 2 3 26" xfId="17203"/>
    <cellStyle name="40% - Accent1 2 3 26 2" xfId="39978"/>
    <cellStyle name="40% - Accent1 2 3 27" xfId="17859"/>
    <cellStyle name="40% - Accent1 2 3 27 2" xfId="40634"/>
    <cellStyle name="40% - Accent1 2 3 28" xfId="18515"/>
    <cellStyle name="40% - Accent1 2 3 28 2" xfId="41290"/>
    <cellStyle name="40% - Accent1 2 3 29" xfId="19171"/>
    <cellStyle name="40% - Accent1 2 3 29 2" xfId="41946"/>
    <cellStyle name="40% - Accent1 2 3 3" xfId="1131"/>
    <cellStyle name="40% - Accent1 2 3 3 2" xfId="2771"/>
    <cellStyle name="40% - Accent1 2 3 3 2 2" xfId="25546"/>
    <cellStyle name="40% - Accent1 2 3 3 3" xfId="23906"/>
    <cellStyle name="40% - Accent1 2 3 30" xfId="19827"/>
    <cellStyle name="40% - Accent1 2 3 30 2" xfId="42602"/>
    <cellStyle name="40% - Accent1 2 3 31" xfId="20483"/>
    <cellStyle name="40% - Accent1 2 3 31 2" xfId="43258"/>
    <cellStyle name="40% - Accent1 2 3 32" xfId="21139"/>
    <cellStyle name="40% - Accent1 2 3 32 2" xfId="43914"/>
    <cellStyle name="40% - Accent1 2 3 33" xfId="21795"/>
    <cellStyle name="40% - Accent1 2 3 33 2" xfId="44570"/>
    <cellStyle name="40% - Accent1 2 3 34" xfId="22451"/>
    <cellStyle name="40% - Accent1 2 3 34 2" xfId="45226"/>
    <cellStyle name="40% - Accent1 2 3 35" xfId="23250"/>
    <cellStyle name="40% - Accent1 2 3 4" xfId="1787"/>
    <cellStyle name="40% - Accent1 2 3 4 2" xfId="3427"/>
    <cellStyle name="40% - Accent1 2 3 4 2 2" xfId="26202"/>
    <cellStyle name="40% - Accent1 2 3 4 3" xfId="24562"/>
    <cellStyle name="40% - Accent1 2 3 5" xfId="4083"/>
    <cellStyle name="40% - Accent1 2 3 5 2" xfId="26858"/>
    <cellStyle name="40% - Accent1 2 3 6" xfId="4739"/>
    <cellStyle name="40% - Accent1 2 3 6 2" xfId="27514"/>
    <cellStyle name="40% - Accent1 2 3 7" xfId="5395"/>
    <cellStyle name="40% - Accent1 2 3 7 2" xfId="28170"/>
    <cellStyle name="40% - Accent1 2 3 8" xfId="6051"/>
    <cellStyle name="40% - Accent1 2 3 8 2" xfId="28826"/>
    <cellStyle name="40% - Accent1 2 3 9" xfId="2443"/>
    <cellStyle name="40% - Accent1 2 3 9 2" xfId="25218"/>
    <cellStyle name="40% - Accent1 2 30" xfId="18330"/>
    <cellStyle name="40% - Accent1 2 30 2" xfId="41105"/>
    <cellStyle name="40% - Accent1 2 31" xfId="18986"/>
    <cellStyle name="40% - Accent1 2 31 2" xfId="41761"/>
    <cellStyle name="40% - Accent1 2 32" xfId="19642"/>
    <cellStyle name="40% - Accent1 2 32 2" xfId="42417"/>
    <cellStyle name="40% - Accent1 2 33" xfId="20298"/>
    <cellStyle name="40% - Accent1 2 33 2" xfId="43073"/>
    <cellStyle name="40% - Accent1 2 34" xfId="20954"/>
    <cellStyle name="40% - Accent1 2 34 2" xfId="43729"/>
    <cellStyle name="40% - Accent1 2 35" xfId="21610"/>
    <cellStyle name="40% - Accent1 2 35 2" xfId="44385"/>
    <cellStyle name="40% - Accent1 2 36" xfId="22266"/>
    <cellStyle name="40% - Accent1 2 36 2" xfId="45041"/>
    <cellStyle name="40% - Accent1 2 37" xfId="205"/>
    <cellStyle name="40% - Accent1 2 38" xfId="22922"/>
    <cellStyle name="40% - Accent1 2 4" xfId="618"/>
    <cellStyle name="40% - Accent1 2 4 10" xfId="8162"/>
    <cellStyle name="40% - Accent1 2 4 10 2" xfId="30937"/>
    <cellStyle name="40% - Accent1 2 4 11" xfId="8818"/>
    <cellStyle name="40% - Accent1 2 4 11 2" xfId="31593"/>
    <cellStyle name="40% - Accent1 2 4 12" xfId="9474"/>
    <cellStyle name="40% - Accent1 2 4 12 2" xfId="32249"/>
    <cellStyle name="40% - Accent1 2 4 13" xfId="10130"/>
    <cellStyle name="40% - Accent1 2 4 13 2" xfId="32905"/>
    <cellStyle name="40% - Accent1 2 4 14" xfId="10786"/>
    <cellStyle name="40% - Accent1 2 4 14 2" xfId="33561"/>
    <cellStyle name="40% - Accent1 2 4 15" xfId="11442"/>
    <cellStyle name="40% - Accent1 2 4 15 2" xfId="34217"/>
    <cellStyle name="40% - Accent1 2 4 16" xfId="12098"/>
    <cellStyle name="40% - Accent1 2 4 16 2" xfId="34873"/>
    <cellStyle name="40% - Accent1 2 4 17" xfId="12754"/>
    <cellStyle name="40% - Accent1 2 4 17 2" xfId="35529"/>
    <cellStyle name="40% - Accent1 2 4 18" xfId="13410"/>
    <cellStyle name="40% - Accent1 2 4 18 2" xfId="36185"/>
    <cellStyle name="40% - Accent1 2 4 19" xfId="14066"/>
    <cellStyle name="40% - Accent1 2 4 19 2" xfId="36841"/>
    <cellStyle name="40% - Accent1 2 4 2" xfId="1274"/>
    <cellStyle name="40% - Accent1 2 4 2 2" xfId="3570"/>
    <cellStyle name="40% - Accent1 2 4 2 2 2" xfId="26345"/>
    <cellStyle name="40% - Accent1 2 4 2 3" xfId="24049"/>
    <cellStyle name="40% - Accent1 2 4 20" xfId="14722"/>
    <cellStyle name="40% - Accent1 2 4 20 2" xfId="37497"/>
    <cellStyle name="40% - Accent1 2 4 21" xfId="15378"/>
    <cellStyle name="40% - Accent1 2 4 21 2" xfId="38153"/>
    <cellStyle name="40% - Accent1 2 4 22" xfId="16034"/>
    <cellStyle name="40% - Accent1 2 4 22 2" xfId="38809"/>
    <cellStyle name="40% - Accent1 2 4 23" xfId="16690"/>
    <cellStyle name="40% - Accent1 2 4 23 2" xfId="39465"/>
    <cellStyle name="40% - Accent1 2 4 24" xfId="17346"/>
    <cellStyle name="40% - Accent1 2 4 24 2" xfId="40121"/>
    <cellStyle name="40% - Accent1 2 4 25" xfId="18002"/>
    <cellStyle name="40% - Accent1 2 4 25 2" xfId="40777"/>
    <cellStyle name="40% - Accent1 2 4 26" xfId="18658"/>
    <cellStyle name="40% - Accent1 2 4 26 2" xfId="41433"/>
    <cellStyle name="40% - Accent1 2 4 27" xfId="19314"/>
    <cellStyle name="40% - Accent1 2 4 27 2" xfId="42089"/>
    <cellStyle name="40% - Accent1 2 4 28" xfId="19970"/>
    <cellStyle name="40% - Accent1 2 4 28 2" xfId="42745"/>
    <cellStyle name="40% - Accent1 2 4 29" xfId="20626"/>
    <cellStyle name="40% - Accent1 2 4 29 2" xfId="43401"/>
    <cellStyle name="40% - Accent1 2 4 3" xfId="1930"/>
    <cellStyle name="40% - Accent1 2 4 3 2" xfId="4226"/>
    <cellStyle name="40% - Accent1 2 4 3 2 2" xfId="27001"/>
    <cellStyle name="40% - Accent1 2 4 3 3" xfId="24705"/>
    <cellStyle name="40% - Accent1 2 4 30" xfId="21282"/>
    <cellStyle name="40% - Accent1 2 4 30 2" xfId="44057"/>
    <cellStyle name="40% - Accent1 2 4 31" xfId="21938"/>
    <cellStyle name="40% - Accent1 2 4 31 2" xfId="44713"/>
    <cellStyle name="40% - Accent1 2 4 32" xfId="22594"/>
    <cellStyle name="40% - Accent1 2 4 32 2" xfId="45369"/>
    <cellStyle name="40% - Accent1 2 4 33" xfId="23393"/>
    <cellStyle name="40% - Accent1 2 4 4" xfId="4882"/>
    <cellStyle name="40% - Accent1 2 4 4 2" xfId="27657"/>
    <cellStyle name="40% - Accent1 2 4 5" xfId="5538"/>
    <cellStyle name="40% - Accent1 2 4 5 2" xfId="28313"/>
    <cellStyle name="40% - Accent1 2 4 6" xfId="6194"/>
    <cellStyle name="40% - Accent1 2 4 6 2" xfId="28969"/>
    <cellStyle name="40% - Accent1 2 4 7" xfId="2914"/>
    <cellStyle name="40% - Accent1 2 4 7 2" xfId="25689"/>
    <cellStyle name="40% - Accent1 2 4 8" xfId="6850"/>
    <cellStyle name="40% - Accent1 2 4 8 2" xfId="29625"/>
    <cellStyle name="40% - Accent1 2 4 9" xfId="7506"/>
    <cellStyle name="40% - Accent1 2 4 9 2" xfId="30281"/>
    <cellStyle name="40% - Accent1 2 5" xfId="291"/>
    <cellStyle name="40% - Accent1 2 5 2" xfId="2586"/>
    <cellStyle name="40% - Accent1 2 5 2 2" xfId="25361"/>
    <cellStyle name="40% - Accent1 2 5 3" xfId="23065"/>
    <cellStyle name="40% - Accent1 2 6" xfId="946"/>
    <cellStyle name="40% - Accent1 2 6 2" xfId="3242"/>
    <cellStyle name="40% - Accent1 2 6 2 2" xfId="26017"/>
    <cellStyle name="40% - Accent1 2 6 3" xfId="23721"/>
    <cellStyle name="40% - Accent1 2 7" xfId="1602"/>
    <cellStyle name="40% - Accent1 2 7 2" xfId="3898"/>
    <cellStyle name="40% - Accent1 2 7 2 2" xfId="26673"/>
    <cellStyle name="40% - Accent1 2 7 3" xfId="24377"/>
    <cellStyle name="40% - Accent1 2 8" xfId="4554"/>
    <cellStyle name="40% - Accent1 2 8 2" xfId="27329"/>
    <cellStyle name="40% - Accent1 2 9" xfId="5210"/>
    <cellStyle name="40% - Accent1 2 9 2" xfId="27985"/>
    <cellStyle name="40% - Accent1 20" xfId="7162"/>
    <cellStyle name="40% - Accent1 20 2" xfId="29937"/>
    <cellStyle name="40% - Accent1 21" xfId="7818"/>
    <cellStyle name="40% - Accent1 21 2" xfId="30593"/>
    <cellStyle name="40% - Accent1 22" xfId="8474"/>
    <cellStyle name="40% - Accent1 22 2" xfId="31249"/>
    <cellStyle name="40% - Accent1 23" xfId="9130"/>
    <cellStyle name="40% - Accent1 23 2" xfId="31905"/>
    <cellStyle name="40% - Accent1 24" xfId="9786"/>
    <cellStyle name="40% - Accent1 24 2" xfId="32561"/>
    <cellStyle name="40% - Accent1 25" xfId="10442"/>
    <cellStyle name="40% - Accent1 25 2" xfId="33217"/>
    <cellStyle name="40% - Accent1 26" xfId="11098"/>
    <cellStyle name="40% - Accent1 26 2" xfId="33873"/>
    <cellStyle name="40% - Accent1 27" xfId="11754"/>
    <cellStyle name="40% - Accent1 27 2" xfId="34529"/>
    <cellStyle name="40% - Accent1 28" xfId="12410"/>
    <cellStyle name="40% - Accent1 28 2" xfId="35185"/>
    <cellStyle name="40% - Accent1 29" xfId="13066"/>
    <cellStyle name="40% - Accent1 29 2" xfId="35841"/>
    <cellStyle name="40% - Accent1 3" xfId="54"/>
    <cellStyle name="40% - Accent1 3 10" xfId="5881"/>
    <cellStyle name="40% - Accent1 3 10 2" xfId="28656"/>
    <cellStyle name="40% - Accent1 3 11" xfId="2273"/>
    <cellStyle name="40% - Accent1 3 11 2" xfId="25048"/>
    <cellStyle name="40% - Accent1 3 12" xfId="6537"/>
    <cellStyle name="40% - Accent1 3 12 2" xfId="29312"/>
    <cellStyle name="40% - Accent1 3 13" xfId="7193"/>
    <cellStyle name="40% - Accent1 3 13 2" xfId="29968"/>
    <cellStyle name="40% - Accent1 3 14" xfId="7849"/>
    <cellStyle name="40% - Accent1 3 14 2" xfId="30624"/>
    <cellStyle name="40% - Accent1 3 15" xfId="8505"/>
    <cellStyle name="40% - Accent1 3 15 2" xfId="31280"/>
    <cellStyle name="40% - Accent1 3 16" xfId="9161"/>
    <cellStyle name="40% - Accent1 3 16 2" xfId="31936"/>
    <cellStyle name="40% - Accent1 3 17" xfId="9817"/>
    <cellStyle name="40% - Accent1 3 17 2" xfId="32592"/>
    <cellStyle name="40% - Accent1 3 18" xfId="10473"/>
    <cellStyle name="40% - Accent1 3 18 2" xfId="33248"/>
    <cellStyle name="40% - Accent1 3 19" xfId="11129"/>
    <cellStyle name="40% - Accent1 3 19 2" xfId="33904"/>
    <cellStyle name="40% - Accent1 3 2" xfId="132"/>
    <cellStyle name="40% - Accent1 3 2 10" xfId="2328"/>
    <cellStyle name="40% - Accent1 3 2 10 2" xfId="25103"/>
    <cellStyle name="40% - Accent1 3 2 11" xfId="6592"/>
    <cellStyle name="40% - Accent1 3 2 11 2" xfId="29367"/>
    <cellStyle name="40% - Accent1 3 2 12" xfId="7248"/>
    <cellStyle name="40% - Accent1 3 2 12 2" xfId="30023"/>
    <cellStyle name="40% - Accent1 3 2 13" xfId="7904"/>
    <cellStyle name="40% - Accent1 3 2 13 2" xfId="30679"/>
    <cellStyle name="40% - Accent1 3 2 14" xfId="8560"/>
    <cellStyle name="40% - Accent1 3 2 14 2" xfId="31335"/>
    <cellStyle name="40% - Accent1 3 2 15" xfId="9216"/>
    <cellStyle name="40% - Accent1 3 2 15 2" xfId="31991"/>
    <cellStyle name="40% - Accent1 3 2 16" xfId="9872"/>
    <cellStyle name="40% - Accent1 3 2 16 2" xfId="32647"/>
    <cellStyle name="40% - Accent1 3 2 17" xfId="10528"/>
    <cellStyle name="40% - Accent1 3 2 17 2" xfId="33303"/>
    <cellStyle name="40% - Accent1 3 2 18" xfId="11184"/>
    <cellStyle name="40% - Accent1 3 2 18 2" xfId="33959"/>
    <cellStyle name="40% - Accent1 3 2 19" xfId="11840"/>
    <cellStyle name="40% - Accent1 3 2 19 2" xfId="34615"/>
    <cellStyle name="40% - Accent1 3 2 2" xfId="544"/>
    <cellStyle name="40% - Accent1 3 2 2 10" xfId="6777"/>
    <cellStyle name="40% - Accent1 3 2 2 10 2" xfId="29552"/>
    <cellStyle name="40% - Accent1 3 2 2 11" xfId="7433"/>
    <cellStyle name="40% - Accent1 3 2 2 11 2" xfId="30208"/>
    <cellStyle name="40% - Accent1 3 2 2 12" xfId="8089"/>
    <cellStyle name="40% - Accent1 3 2 2 12 2" xfId="30864"/>
    <cellStyle name="40% - Accent1 3 2 2 13" xfId="8745"/>
    <cellStyle name="40% - Accent1 3 2 2 13 2" xfId="31520"/>
    <cellStyle name="40% - Accent1 3 2 2 14" xfId="9401"/>
    <cellStyle name="40% - Accent1 3 2 2 14 2" xfId="32176"/>
    <cellStyle name="40% - Accent1 3 2 2 15" xfId="10057"/>
    <cellStyle name="40% - Accent1 3 2 2 15 2" xfId="32832"/>
    <cellStyle name="40% - Accent1 3 2 2 16" xfId="10713"/>
    <cellStyle name="40% - Accent1 3 2 2 16 2" xfId="33488"/>
    <cellStyle name="40% - Accent1 3 2 2 17" xfId="11369"/>
    <cellStyle name="40% - Accent1 3 2 2 17 2" xfId="34144"/>
    <cellStyle name="40% - Accent1 3 2 2 18" xfId="12025"/>
    <cellStyle name="40% - Accent1 3 2 2 18 2" xfId="34800"/>
    <cellStyle name="40% - Accent1 3 2 2 19" xfId="12681"/>
    <cellStyle name="40% - Accent1 3 2 2 19 2" xfId="35456"/>
    <cellStyle name="40% - Accent1 3 2 2 2" xfId="873"/>
    <cellStyle name="40% - Accent1 3 2 2 2 10" xfId="8417"/>
    <cellStyle name="40% - Accent1 3 2 2 2 10 2" xfId="31192"/>
    <cellStyle name="40% - Accent1 3 2 2 2 11" xfId="9073"/>
    <cellStyle name="40% - Accent1 3 2 2 2 11 2" xfId="31848"/>
    <cellStyle name="40% - Accent1 3 2 2 2 12" xfId="9729"/>
    <cellStyle name="40% - Accent1 3 2 2 2 12 2" xfId="32504"/>
    <cellStyle name="40% - Accent1 3 2 2 2 13" xfId="10385"/>
    <cellStyle name="40% - Accent1 3 2 2 2 13 2" xfId="33160"/>
    <cellStyle name="40% - Accent1 3 2 2 2 14" xfId="11041"/>
    <cellStyle name="40% - Accent1 3 2 2 2 14 2" xfId="33816"/>
    <cellStyle name="40% - Accent1 3 2 2 2 15" xfId="11697"/>
    <cellStyle name="40% - Accent1 3 2 2 2 15 2" xfId="34472"/>
    <cellStyle name="40% - Accent1 3 2 2 2 16" xfId="12353"/>
    <cellStyle name="40% - Accent1 3 2 2 2 16 2" xfId="35128"/>
    <cellStyle name="40% - Accent1 3 2 2 2 17" xfId="13009"/>
    <cellStyle name="40% - Accent1 3 2 2 2 17 2" xfId="35784"/>
    <cellStyle name="40% - Accent1 3 2 2 2 18" xfId="13665"/>
    <cellStyle name="40% - Accent1 3 2 2 2 18 2" xfId="36440"/>
    <cellStyle name="40% - Accent1 3 2 2 2 19" xfId="14321"/>
    <cellStyle name="40% - Accent1 3 2 2 2 19 2" xfId="37096"/>
    <cellStyle name="40% - Accent1 3 2 2 2 2" xfId="1529"/>
    <cellStyle name="40% - Accent1 3 2 2 2 2 2" xfId="3825"/>
    <cellStyle name="40% - Accent1 3 2 2 2 2 2 2" xfId="26600"/>
    <cellStyle name="40% - Accent1 3 2 2 2 2 3" xfId="24304"/>
    <cellStyle name="40% - Accent1 3 2 2 2 20" xfId="14977"/>
    <cellStyle name="40% - Accent1 3 2 2 2 20 2" xfId="37752"/>
    <cellStyle name="40% - Accent1 3 2 2 2 21" xfId="15633"/>
    <cellStyle name="40% - Accent1 3 2 2 2 21 2" xfId="38408"/>
    <cellStyle name="40% - Accent1 3 2 2 2 22" xfId="16289"/>
    <cellStyle name="40% - Accent1 3 2 2 2 22 2" xfId="39064"/>
    <cellStyle name="40% - Accent1 3 2 2 2 23" xfId="16945"/>
    <cellStyle name="40% - Accent1 3 2 2 2 23 2" xfId="39720"/>
    <cellStyle name="40% - Accent1 3 2 2 2 24" xfId="17601"/>
    <cellStyle name="40% - Accent1 3 2 2 2 24 2" xfId="40376"/>
    <cellStyle name="40% - Accent1 3 2 2 2 25" xfId="18257"/>
    <cellStyle name="40% - Accent1 3 2 2 2 25 2" xfId="41032"/>
    <cellStyle name="40% - Accent1 3 2 2 2 26" xfId="18913"/>
    <cellStyle name="40% - Accent1 3 2 2 2 26 2" xfId="41688"/>
    <cellStyle name="40% - Accent1 3 2 2 2 27" xfId="19569"/>
    <cellStyle name="40% - Accent1 3 2 2 2 27 2" xfId="42344"/>
    <cellStyle name="40% - Accent1 3 2 2 2 28" xfId="20225"/>
    <cellStyle name="40% - Accent1 3 2 2 2 28 2" xfId="43000"/>
    <cellStyle name="40% - Accent1 3 2 2 2 29" xfId="20881"/>
    <cellStyle name="40% - Accent1 3 2 2 2 29 2" xfId="43656"/>
    <cellStyle name="40% - Accent1 3 2 2 2 3" xfId="2185"/>
    <cellStyle name="40% - Accent1 3 2 2 2 3 2" xfId="4481"/>
    <cellStyle name="40% - Accent1 3 2 2 2 3 2 2" xfId="27256"/>
    <cellStyle name="40% - Accent1 3 2 2 2 3 3" xfId="24960"/>
    <cellStyle name="40% - Accent1 3 2 2 2 30" xfId="21537"/>
    <cellStyle name="40% - Accent1 3 2 2 2 30 2" xfId="44312"/>
    <cellStyle name="40% - Accent1 3 2 2 2 31" xfId="22193"/>
    <cellStyle name="40% - Accent1 3 2 2 2 31 2" xfId="44968"/>
    <cellStyle name="40% - Accent1 3 2 2 2 32" xfId="22849"/>
    <cellStyle name="40% - Accent1 3 2 2 2 32 2" xfId="45624"/>
    <cellStyle name="40% - Accent1 3 2 2 2 33" xfId="23648"/>
    <cellStyle name="40% - Accent1 3 2 2 2 4" xfId="5137"/>
    <cellStyle name="40% - Accent1 3 2 2 2 4 2" xfId="27912"/>
    <cellStyle name="40% - Accent1 3 2 2 2 5" xfId="5793"/>
    <cellStyle name="40% - Accent1 3 2 2 2 5 2" xfId="28568"/>
    <cellStyle name="40% - Accent1 3 2 2 2 6" xfId="6449"/>
    <cellStyle name="40% - Accent1 3 2 2 2 6 2" xfId="29224"/>
    <cellStyle name="40% - Accent1 3 2 2 2 7" xfId="3169"/>
    <cellStyle name="40% - Accent1 3 2 2 2 7 2" xfId="25944"/>
    <cellStyle name="40% - Accent1 3 2 2 2 8" xfId="7105"/>
    <cellStyle name="40% - Accent1 3 2 2 2 8 2" xfId="29880"/>
    <cellStyle name="40% - Accent1 3 2 2 2 9" xfId="7761"/>
    <cellStyle name="40% - Accent1 3 2 2 2 9 2" xfId="30536"/>
    <cellStyle name="40% - Accent1 3 2 2 20" xfId="13337"/>
    <cellStyle name="40% - Accent1 3 2 2 20 2" xfId="36112"/>
    <cellStyle name="40% - Accent1 3 2 2 21" xfId="13993"/>
    <cellStyle name="40% - Accent1 3 2 2 21 2" xfId="36768"/>
    <cellStyle name="40% - Accent1 3 2 2 22" xfId="14649"/>
    <cellStyle name="40% - Accent1 3 2 2 22 2" xfId="37424"/>
    <cellStyle name="40% - Accent1 3 2 2 23" xfId="15305"/>
    <cellStyle name="40% - Accent1 3 2 2 23 2" xfId="38080"/>
    <cellStyle name="40% - Accent1 3 2 2 24" xfId="15961"/>
    <cellStyle name="40% - Accent1 3 2 2 24 2" xfId="38736"/>
    <cellStyle name="40% - Accent1 3 2 2 25" xfId="16617"/>
    <cellStyle name="40% - Accent1 3 2 2 25 2" xfId="39392"/>
    <cellStyle name="40% - Accent1 3 2 2 26" xfId="17273"/>
    <cellStyle name="40% - Accent1 3 2 2 26 2" xfId="40048"/>
    <cellStyle name="40% - Accent1 3 2 2 27" xfId="17929"/>
    <cellStyle name="40% - Accent1 3 2 2 27 2" xfId="40704"/>
    <cellStyle name="40% - Accent1 3 2 2 28" xfId="18585"/>
    <cellStyle name="40% - Accent1 3 2 2 28 2" xfId="41360"/>
    <cellStyle name="40% - Accent1 3 2 2 29" xfId="19241"/>
    <cellStyle name="40% - Accent1 3 2 2 29 2" xfId="42016"/>
    <cellStyle name="40% - Accent1 3 2 2 3" xfId="1201"/>
    <cellStyle name="40% - Accent1 3 2 2 3 2" xfId="2841"/>
    <cellStyle name="40% - Accent1 3 2 2 3 2 2" xfId="25616"/>
    <cellStyle name="40% - Accent1 3 2 2 3 3" xfId="23976"/>
    <cellStyle name="40% - Accent1 3 2 2 30" xfId="19897"/>
    <cellStyle name="40% - Accent1 3 2 2 30 2" xfId="42672"/>
    <cellStyle name="40% - Accent1 3 2 2 31" xfId="20553"/>
    <cellStyle name="40% - Accent1 3 2 2 31 2" xfId="43328"/>
    <cellStyle name="40% - Accent1 3 2 2 32" xfId="21209"/>
    <cellStyle name="40% - Accent1 3 2 2 32 2" xfId="43984"/>
    <cellStyle name="40% - Accent1 3 2 2 33" xfId="21865"/>
    <cellStyle name="40% - Accent1 3 2 2 33 2" xfId="44640"/>
    <cellStyle name="40% - Accent1 3 2 2 34" xfId="22521"/>
    <cellStyle name="40% - Accent1 3 2 2 34 2" xfId="45296"/>
    <cellStyle name="40% - Accent1 3 2 2 35" xfId="23320"/>
    <cellStyle name="40% - Accent1 3 2 2 4" xfId="1857"/>
    <cellStyle name="40% - Accent1 3 2 2 4 2" xfId="3497"/>
    <cellStyle name="40% - Accent1 3 2 2 4 2 2" xfId="26272"/>
    <cellStyle name="40% - Accent1 3 2 2 4 3" xfId="24632"/>
    <cellStyle name="40% - Accent1 3 2 2 5" xfId="4153"/>
    <cellStyle name="40% - Accent1 3 2 2 5 2" xfId="26928"/>
    <cellStyle name="40% - Accent1 3 2 2 6" xfId="4809"/>
    <cellStyle name="40% - Accent1 3 2 2 6 2" xfId="27584"/>
    <cellStyle name="40% - Accent1 3 2 2 7" xfId="5465"/>
    <cellStyle name="40% - Accent1 3 2 2 7 2" xfId="28240"/>
    <cellStyle name="40% - Accent1 3 2 2 8" xfId="6121"/>
    <cellStyle name="40% - Accent1 3 2 2 8 2" xfId="28896"/>
    <cellStyle name="40% - Accent1 3 2 2 9" xfId="2513"/>
    <cellStyle name="40% - Accent1 3 2 2 9 2" xfId="25288"/>
    <cellStyle name="40% - Accent1 3 2 20" xfId="12496"/>
    <cellStyle name="40% - Accent1 3 2 20 2" xfId="35271"/>
    <cellStyle name="40% - Accent1 3 2 21" xfId="13152"/>
    <cellStyle name="40% - Accent1 3 2 21 2" xfId="35927"/>
    <cellStyle name="40% - Accent1 3 2 22" xfId="13808"/>
    <cellStyle name="40% - Accent1 3 2 22 2" xfId="36583"/>
    <cellStyle name="40% - Accent1 3 2 23" xfId="14464"/>
    <cellStyle name="40% - Accent1 3 2 23 2" xfId="37239"/>
    <cellStyle name="40% - Accent1 3 2 24" xfId="15120"/>
    <cellStyle name="40% - Accent1 3 2 24 2" xfId="37895"/>
    <cellStyle name="40% - Accent1 3 2 25" xfId="15776"/>
    <cellStyle name="40% - Accent1 3 2 25 2" xfId="38551"/>
    <cellStyle name="40% - Accent1 3 2 26" xfId="16432"/>
    <cellStyle name="40% - Accent1 3 2 26 2" xfId="39207"/>
    <cellStyle name="40% - Accent1 3 2 27" xfId="17088"/>
    <cellStyle name="40% - Accent1 3 2 27 2" xfId="39863"/>
    <cellStyle name="40% - Accent1 3 2 28" xfId="17744"/>
    <cellStyle name="40% - Accent1 3 2 28 2" xfId="40519"/>
    <cellStyle name="40% - Accent1 3 2 29" xfId="18400"/>
    <cellStyle name="40% - Accent1 3 2 29 2" xfId="41175"/>
    <cellStyle name="40% - Accent1 3 2 3" xfId="688"/>
    <cellStyle name="40% - Accent1 3 2 3 10" xfId="8232"/>
    <cellStyle name="40% - Accent1 3 2 3 10 2" xfId="31007"/>
    <cellStyle name="40% - Accent1 3 2 3 11" xfId="8888"/>
    <cellStyle name="40% - Accent1 3 2 3 11 2" xfId="31663"/>
    <cellStyle name="40% - Accent1 3 2 3 12" xfId="9544"/>
    <cellStyle name="40% - Accent1 3 2 3 12 2" xfId="32319"/>
    <cellStyle name="40% - Accent1 3 2 3 13" xfId="10200"/>
    <cellStyle name="40% - Accent1 3 2 3 13 2" xfId="32975"/>
    <cellStyle name="40% - Accent1 3 2 3 14" xfId="10856"/>
    <cellStyle name="40% - Accent1 3 2 3 14 2" xfId="33631"/>
    <cellStyle name="40% - Accent1 3 2 3 15" xfId="11512"/>
    <cellStyle name="40% - Accent1 3 2 3 15 2" xfId="34287"/>
    <cellStyle name="40% - Accent1 3 2 3 16" xfId="12168"/>
    <cellStyle name="40% - Accent1 3 2 3 16 2" xfId="34943"/>
    <cellStyle name="40% - Accent1 3 2 3 17" xfId="12824"/>
    <cellStyle name="40% - Accent1 3 2 3 17 2" xfId="35599"/>
    <cellStyle name="40% - Accent1 3 2 3 18" xfId="13480"/>
    <cellStyle name="40% - Accent1 3 2 3 18 2" xfId="36255"/>
    <cellStyle name="40% - Accent1 3 2 3 19" xfId="14136"/>
    <cellStyle name="40% - Accent1 3 2 3 19 2" xfId="36911"/>
    <cellStyle name="40% - Accent1 3 2 3 2" xfId="1344"/>
    <cellStyle name="40% - Accent1 3 2 3 2 2" xfId="3640"/>
    <cellStyle name="40% - Accent1 3 2 3 2 2 2" xfId="26415"/>
    <cellStyle name="40% - Accent1 3 2 3 2 3" xfId="24119"/>
    <cellStyle name="40% - Accent1 3 2 3 20" xfId="14792"/>
    <cellStyle name="40% - Accent1 3 2 3 20 2" xfId="37567"/>
    <cellStyle name="40% - Accent1 3 2 3 21" xfId="15448"/>
    <cellStyle name="40% - Accent1 3 2 3 21 2" xfId="38223"/>
    <cellStyle name="40% - Accent1 3 2 3 22" xfId="16104"/>
    <cellStyle name="40% - Accent1 3 2 3 22 2" xfId="38879"/>
    <cellStyle name="40% - Accent1 3 2 3 23" xfId="16760"/>
    <cellStyle name="40% - Accent1 3 2 3 23 2" xfId="39535"/>
    <cellStyle name="40% - Accent1 3 2 3 24" xfId="17416"/>
    <cellStyle name="40% - Accent1 3 2 3 24 2" xfId="40191"/>
    <cellStyle name="40% - Accent1 3 2 3 25" xfId="18072"/>
    <cellStyle name="40% - Accent1 3 2 3 25 2" xfId="40847"/>
    <cellStyle name="40% - Accent1 3 2 3 26" xfId="18728"/>
    <cellStyle name="40% - Accent1 3 2 3 26 2" xfId="41503"/>
    <cellStyle name="40% - Accent1 3 2 3 27" xfId="19384"/>
    <cellStyle name="40% - Accent1 3 2 3 27 2" xfId="42159"/>
    <cellStyle name="40% - Accent1 3 2 3 28" xfId="20040"/>
    <cellStyle name="40% - Accent1 3 2 3 28 2" xfId="42815"/>
    <cellStyle name="40% - Accent1 3 2 3 29" xfId="20696"/>
    <cellStyle name="40% - Accent1 3 2 3 29 2" xfId="43471"/>
    <cellStyle name="40% - Accent1 3 2 3 3" xfId="2000"/>
    <cellStyle name="40% - Accent1 3 2 3 3 2" xfId="4296"/>
    <cellStyle name="40% - Accent1 3 2 3 3 2 2" xfId="27071"/>
    <cellStyle name="40% - Accent1 3 2 3 3 3" xfId="24775"/>
    <cellStyle name="40% - Accent1 3 2 3 30" xfId="21352"/>
    <cellStyle name="40% - Accent1 3 2 3 30 2" xfId="44127"/>
    <cellStyle name="40% - Accent1 3 2 3 31" xfId="22008"/>
    <cellStyle name="40% - Accent1 3 2 3 31 2" xfId="44783"/>
    <cellStyle name="40% - Accent1 3 2 3 32" xfId="22664"/>
    <cellStyle name="40% - Accent1 3 2 3 32 2" xfId="45439"/>
    <cellStyle name="40% - Accent1 3 2 3 33" xfId="23463"/>
    <cellStyle name="40% - Accent1 3 2 3 4" xfId="4952"/>
    <cellStyle name="40% - Accent1 3 2 3 4 2" xfId="27727"/>
    <cellStyle name="40% - Accent1 3 2 3 5" xfId="5608"/>
    <cellStyle name="40% - Accent1 3 2 3 5 2" xfId="28383"/>
    <cellStyle name="40% - Accent1 3 2 3 6" xfId="6264"/>
    <cellStyle name="40% - Accent1 3 2 3 6 2" xfId="29039"/>
    <cellStyle name="40% - Accent1 3 2 3 7" xfId="2984"/>
    <cellStyle name="40% - Accent1 3 2 3 7 2" xfId="25759"/>
    <cellStyle name="40% - Accent1 3 2 3 8" xfId="6920"/>
    <cellStyle name="40% - Accent1 3 2 3 8 2" xfId="29695"/>
    <cellStyle name="40% - Accent1 3 2 3 9" xfId="7576"/>
    <cellStyle name="40% - Accent1 3 2 3 9 2" xfId="30351"/>
    <cellStyle name="40% - Accent1 3 2 30" xfId="19056"/>
    <cellStyle name="40% - Accent1 3 2 30 2" xfId="41831"/>
    <cellStyle name="40% - Accent1 3 2 31" xfId="19712"/>
    <cellStyle name="40% - Accent1 3 2 31 2" xfId="42487"/>
    <cellStyle name="40% - Accent1 3 2 32" xfId="20368"/>
    <cellStyle name="40% - Accent1 3 2 32 2" xfId="43143"/>
    <cellStyle name="40% - Accent1 3 2 33" xfId="21024"/>
    <cellStyle name="40% - Accent1 3 2 33 2" xfId="43799"/>
    <cellStyle name="40% - Accent1 3 2 34" xfId="21680"/>
    <cellStyle name="40% - Accent1 3 2 34 2" xfId="44455"/>
    <cellStyle name="40% - Accent1 3 2 35" xfId="22336"/>
    <cellStyle name="40% - Accent1 3 2 35 2" xfId="45111"/>
    <cellStyle name="40% - Accent1 3 2 36" xfId="22992"/>
    <cellStyle name="40% - Accent1 3 2 4" xfId="361"/>
    <cellStyle name="40% - Accent1 3 2 4 2" xfId="2656"/>
    <cellStyle name="40% - Accent1 3 2 4 2 2" xfId="25431"/>
    <cellStyle name="40% - Accent1 3 2 4 3" xfId="23135"/>
    <cellStyle name="40% - Accent1 3 2 5" xfId="1016"/>
    <cellStyle name="40% - Accent1 3 2 5 2" xfId="3312"/>
    <cellStyle name="40% - Accent1 3 2 5 2 2" xfId="26087"/>
    <cellStyle name="40% - Accent1 3 2 5 3" xfId="23791"/>
    <cellStyle name="40% - Accent1 3 2 6" xfId="1672"/>
    <cellStyle name="40% - Accent1 3 2 6 2" xfId="3968"/>
    <cellStyle name="40% - Accent1 3 2 6 2 2" xfId="26743"/>
    <cellStyle name="40% - Accent1 3 2 6 3" xfId="24447"/>
    <cellStyle name="40% - Accent1 3 2 7" xfId="4624"/>
    <cellStyle name="40% - Accent1 3 2 7 2" xfId="27399"/>
    <cellStyle name="40% - Accent1 3 2 8" xfId="5280"/>
    <cellStyle name="40% - Accent1 3 2 8 2" xfId="28055"/>
    <cellStyle name="40% - Accent1 3 2 9" xfId="5936"/>
    <cellStyle name="40% - Accent1 3 2 9 2" xfId="28711"/>
    <cellStyle name="40% - Accent1 3 20" xfId="11785"/>
    <cellStyle name="40% - Accent1 3 20 2" xfId="34560"/>
    <cellStyle name="40% - Accent1 3 21" xfId="12441"/>
    <cellStyle name="40% - Accent1 3 21 2" xfId="35216"/>
    <cellStyle name="40% - Accent1 3 22" xfId="13097"/>
    <cellStyle name="40% - Accent1 3 22 2" xfId="35872"/>
    <cellStyle name="40% - Accent1 3 23" xfId="13753"/>
    <cellStyle name="40% - Accent1 3 23 2" xfId="36528"/>
    <cellStyle name="40% - Accent1 3 24" xfId="14409"/>
    <cellStyle name="40% - Accent1 3 24 2" xfId="37184"/>
    <cellStyle name="40% - Accent1 3 25" xfId="15065"/>
    <cellStyle name="40% - Accent1 3 25 2" xfId="37840"/>
    <cellStyle name="40% - Accent1 3 26" xfId="15721"/>
    <cellStyle name="40% - Accent1 3 26 2" xfId="38496"/>
    <cellStyle name="40% - Accent1 3 27" xfId="16377"/>
    <cellStyle name="40% - Accent1 3 27 2" xfId="39152"/>
    <cellStyle name="40% - Accent1 3 28" xfId="17033"/>
    <cellStyle name="40% - Accent1 3 28 2" xfId="39808"/>
    <cellStyle name="40% - Accent1 3 29" xfId="17689"/>
    <cellStyle name="40% - Accent1 3 29 2" xfId="40464"/>
    <cellStyle name="40% - Accent1 3 3" xfId="490"/>
    <cellStyle name="40% - Accent1 3 3 10" xfId="6722"/>
    <cellStyle name="40% - Accent1 3 3 10 2" xfId="29497"/>
    <cellStyle name="40% - Accent1 3 3 11" xfId="7378"/>
    <cellStyle name="40% - Accent1 3 3 11 2" xfId="30153"/>
    <cellStyle name="40% - Accent1 3 3 12" xfId="8034"/>
    <cellStyle name="40% - Accent1 3 3 12 2" xfId="30809"/>
    <cellStyle name="40% - Accent1 3 3 13" xfId="8690"/>
    <cellStyle name="40% - Accent1 3 3 13 2" xfId="31465"/>
    <cellStyle name="40% - Accent1 3 3 14" xfId="9346"/>
    <cellStyle name="40% - Accent1 3 3 14 2" xfId="32121"/>
    <cellStyle name="40% - Accent1 3 3 15" xfId="10002"/>
    <cellStyle name="40% - Accent1 3 3 15 2" xfId="32777"/>
    <cellStyle name="40% - Accent1 3 3 16" xfId="10658"/>
    <cellStyle name="40% - Accent1 3 3 16 2" xfId="33433"/>
    <cellStyle name="40% - Accent1 3 3 17" xfId="11314"/>
    <cellStyle name="40% - Accent1 3 3 17 2" xfId="34089"/>
    <cellStyle name="40% - Accent1 3 3 18" xfId="11970"/>
    <cellStyle name="40% - Accent1 3 3 18 2" xfId="34745"/>
    <cellStyle name="40% - Accent1 3 3 19" xfId="12626"/>
    <cellStyle name="40% - Accent1 3 3 19 2" xfId="35401"/>
    <cellStyle name="40% - Accent1 3 3 2" xfId="818"/>
    <cellStyle name="40% - Accent1 3 3 2 10" xfId="8362"/>
    <cellStyle name="40% - Accent1 3 3 2 10 2" xfId="31137"/>
    <cellStyle name="40% - Accent1 3 3 2 11" xfId="9018"/>
    <cellStyle name="40% - Accent1 3 3 2 11 2" xfId="31793"/>
    <cellStyle name="40% - Accent1 3 3 2 12" xfId="9674"/>
    <cellStyle name="40% - Accent1 3 3 2 12 2" xfId="32449"/>
    <cellStyle name="40% - Accent1 3 3 2 13" xfId="10330"/>
    <cellStyle name="40% - Accent1 3 3 2 13 2" xfId="33105"/>
    <cellStyle name="40% - Accent1 3 3 2 14" xfId="10986"/>
    <cellStyle name="40% - Accent1 3 3 2 14 2" xfId="33761"/>
    <cellStyle name="40% - Accent1 3 3 2 15" xfId="11642"/>
    <cellStyle name="40% - Accent1 3 3 2 15 2" xfId="34417"/>
    <cellStyle name="40% - Accent1 3 3 2 16" xfId="12298"/>
    <cellStyle name="40% - Accent1 3 3 2 16 2" xfId="35073"/>
    <cellStyle name="40% - Accent1 3 3 2 17" xfId="12954"/>
    <cellStyle name="40% - Accent1 3 3 2 17 2" xfId="35729"/>
    <cellStyle name="40% - Accent1 3 3 2 18" xfId="13610"/>
    <cellStyle name="40% - Accent1 3 3 2 18 2" xfId="36385"/>
    <cellStyle name="40% - Accent1 3 3 2 19" xfId="14266"/>
    <cellStyle name="40% - Accent1 3 3 2 19 2" xfId="37041"/>
    <cellStyle name="40% - Accent1 3 3 2 2" xfId="1474"/>
    <cellStyle name="40% - Accent1 3 3 2 2 2" xfId="3770"/>
    <cellStyle name="40% - Accent1 3 3 2 2 2 2" xfId="26545"/>
    <cellStyle name="40% - Accent1 3 3 2 2 3" xfId="24249"/>
    <cellStyle name="40% - Accent1 3 3 2 20" xfId="14922"/>
    <cellStyle name="40% - Accent1 3 3 2 20 2" xfId="37697"/>
    <cellStyle name="40% - Accent1 3 3 2 21" xfId="15578"/>
    <cellStyle name="40% - Accent1 3 3 2 21 2" xfId="38353"/>
    <cellStyle name="40% - Accent1 3 3 2 22" xfId="16234"/>
    <cellStyle name="40% - Accent1 3 3 2 22 2" xfId="39009"/>
    <cellStyle name="40% - Accent1 3 3 2 23" xfId="16890"/>
    <cellStyle name="40% - Accent1 3 3 2 23 2" xfId="39665"/>
    <cellStyle name="40% - Accent1 3 3 2 24" xfId="17546"/>
    <cellStyle name="40% - Accent1 3 3 2 24 2" xfId="40321"/>
    <cellStyle name="40% - Accent1 3 3 2 25" xfId="18202"/>
    <cellStyle name="40% - Accent1 3 3 2 25 2" xfId="40977"/>
    <cellStyle name="40% - Accent1 3 3 2 26" xfId="18858"/>
    <cellStyle name="40% - Accent1 3 3 2 26 2" xfId="41633"/>
    <cellStyle name="40% - Accent1 3 3 2 27" xfId="19514"/>
    <cellStyle name="40% - Accent1 3 3 2 27 2" xfId="42289"/>
    <cellStyle name="40% - Accent1 3 3 2 28" xfId="20170"/>
    <cellStyle name="40% - Accent1 3 3 2 28 2" xfId="42945"/>
    <cellStyle name="40% - Accent1 3 3 2 29" xfId="20826"/>
    <cellStyle name="40% - Accent1 3 3 2 29 2" xfId="43601"/>
    <cellStyle name="40% - Accent1 3 3 2 3" xfId="2130"/>
    <cellStyle name="40% - Accent1 3 3 2 3 2" xfId="4426"/>
    <cellStyle name="40% - Accent1 3 3 2 3 2 2" xfId="27201"/>
    <cellStyle name="40% - Accent1 3 3 2 3 3" xfId="24905"/>
    <cellStyle name="40% - Accent1 3 3 2 30" xfId="21482"/>
    <cellStyle name="40% - Accent1 3 3 2 30 2" xfId="44257"/>
    <cellStyle name="40% - Accent1 3 3 2 31" xfId="22138"/>
    <cellStyle name="40% - Accent1 3 3 2 31 2" xfId="44913"/>
    <cellStyle name="40% - Accent1 3 3 2 32" xfId="22794"/>
    <cellStyle name="40% - Accent1 3 3 2 32 2" xfId="45569"/>
    <cellStyle name="40% - Accent1 3 3 2 33" xfId="23593"/>
    <cellStyle name="40% - Accent1 3 3 2 4" xfId="5082"/>
    <cellStyle name="40% - Accent1 3 3 2 4 2" xfId="27857"/>
    <cellStyle name="40% - Accent1 3 3 2 5" xfId="5738"/>
    <cellStyle name="40% - Accent1 3 3 2 5 2" xfId="28513"/>
    <cellStyle name="40% - Accent1 3 3 2 6" xfId="6394"/>
    <cellStyle name="40% - Accent1 3 3 2 6 2" xfId="29169"/>
    <cellStyle name="40% - Accent1 3 3 2 7" xfId="3114"/>
    <cellStyle name="40% - Accent1 3 3 2 7 2" xfId="25889"/>
    <cellStyle name="40% - Accent1 3 3 2 8" xfId="7050"/>
    <cellStyle name="40% - Accent1 3 3 2 8 2" xfId="29825"/>
    <cellStyle name="40% - Accent1 3 3 2 9" xfId="7706"/>
    <cellStyle name="40% - Accent1 3 3 2 9 2" xfId="30481"/>
    <cellStyle name="40% - Accent1 3 3 20" xfId="13282"/>
    <cellStyle name="40% - Accent1 3 3 20 2" xfId="36057"/>
    <cellStyle name="40% - Accent1 3 3 21" xfId="13938"/>
    <cellStyle name="40% - Accent1 3 3 21 2" xfId="36713"/>
    <cellStyle name="40% - Accent1 3 3 22" xfId="14594"/>
    <cellStyle name="40% - Accent1 3 3 22 2" xfId="37369"/>
    <cellStyle name="40% - Accent1 3 3 23" xfId="15250"/>
    <cellStyle name="40% - Accent1 3 3 23 2" xfId="38025"/>
    <cellStyle name="40% - Accent1 3 3 24" xfId="15906"/>
    <cellStyle name="40% - Accent1 3 3 24 2" xfId="38681"/>
    <cellStyle name="40% - Accent1 3 3 25" xfId="16562"/>
    <cellStyle name="40% - Accent1 3 3 25 2" xfId="39337"/>
    <cellStyle name="40% - Accent1 3 3 26" xfId="17218"/>
    <cellStyle name="40% - Accent1 3 3 26 2" xfId="39993"/>
    <cellStyle name="40% - Accent1 3 3 27" xfId="17874"/>
    <cellStyle name="40% - Accent1 3 3 27 2" xfId="40649"/>
    <cellStyle name="40% - Accent1 3 3 28" xfId="18530"/>
    <cellStyle name="40% - Accent1 3 3 28 2" xfId="41305"/>
    <cellStyle name="40% - Accent1 3 3 29" xfId="19186"/>
    <cellStyle name="40% - Accent1 3 3 29 2" xfId="41961"/>
    <cellStyle name="40% - Accent1 3 3 3" xfId="1146"/>
    <cellStyle name="40% - Accent1 3 3 3 2" xfId="2786"/>
    <cellStyle name="40% - Accent1 3 3 3 2 2" xfId="25561"/>
    <cellStyle name="40% - Accent1 3 3 3 3" xfId="23921"/>
    <cellStyle name="40% - Accent1 3 3 30" xfId="19842"/>
    <cellStyle name="40% - Accent1 3 3 30 2" xfId="42617"/>
    <cellStyle name="40% - Accent1 3 3 31" xfId="20498"/>
    <cellStyle name="40% - Accent1 3 3 31 2" xfId="43273"/>
    <cellStyle name="40% - Accent1 3 3 32" xfId="21154"/>
    <cellStyle name="40% - Accent1 3 3 32 2" xfId="43929"/>
    <cellStyle name="40% - Accent1 3 3 33" xfId="21810"/>
    <cellStyle name="40% - Accent1 3 3 33 2" xfId="44585"/>
    <cellStyle name="40% - Accent1 3 3 34" xfId="22466"/>
    <cellStyle name="40% - Accent1 3 3 34 2" xfId="45241"/>
    <cellStyle name="40% - Accent1 3 3 35" xfId="23265"/>
    <cellStyle name="40% - Accent1 3 3 4" xfId="1802"/>
    <cellStyle name="40% - Accent1 3 3 4 2" xfId="3442"/>
    <cellStyle name="40% - Accent1 3 3 4 2 2" xfId="26217"/>
    <cellStyle name="40% - Accent1 3 3 4 3" xfId="24577"/>
    <cellStyle name="40% - Accent1 3 3 5" xfId="4098"/>
    <cellStyle name="40% - Accent1 3 3 5 2" xfId="26873"/>
    <cellStyle name="40% - Accent1 3 3 6" xfId="4754"/>
    <cellStyle name="40% - Accent1 3 3 6 2" xfId="27529"/>
    <cellStyle name="40% - Accent1 3 3 7" xfId="5410"/>
    <cellStyle name="40% - Accent1 3 3 7 2" xfId="28185"/>
    <cellStyle name="40% - Accent1 3 3 8" xfId="6066"/>
    <cellStyle name="40% - Accent1 3 3 8 2" xfId="28841"/>
    <cellStyle name="40% - Accent1 3 3 9" xfId="2458"/>
    <cellStyle name="40% - Accent1 3 3 9 2" xfId="25233"/>
    <cellStyle name="40% - Accent1 3 30" xfId="18345"/>
    <cellStyle name="40% - Accent1 3 30 2" xfId="41120"/>
    <cellStyle name="40% - Accent1 3 31" xfId="19001"/>
    <cellStyle name="40% - Accent1 3 31 2" xfId="41776"/>
    <cellStyle name="40% - Accent1 3 32" xfId="19657"/>
    <cellStyle name="40% - Accent1 3 32 2" xfId="42432"/>
    <cellStyle name="40% - Accent1 3 33" xfId="20313"/>
    <cellStyle name="40% - Accent1 3 33 2" xfId="43088"/>
    <cellStyle name="40% - Accent1 3 34" xfId="20969"/>
    <cellStyle name="40% - Accent1 3 34 2" xfId="43744"/>
    <cellStyle name="40% - Accent1 3 35" xfId="21625"/>
    <cellStyle name="40% - Accent1 3 35 2" xfId="44400"/>
    <cellStyle name="40% - Accent1 3 36" xfId="22281"/>
    <cellStyle name="40% - Accent1 3 36 2" xfId="45056"/>
    <cellStyle name="40% - Accent1 3 37" xfId="220"/>
    <cellStyle name="40% - Accent1 3 38" xfId="22937"/>
    <cellStyle name="40% - Accent1 3 4" xfId="633"/>
    <cellStyle name="40% - Accent1 3 4 10" xfId="8177"/>
    <cellStyle name="40% - Accent1 3 4 10 2" xfId="30952"/>
    <cellStyle name="40% - Accent1 3 4 11" xfId="8833"/>
    <cellStyle name="40% - Accent1 3 4 11 2" xfId="31608"/>
    <cellStyle name="40% - Accent1 3 4 12" xfId="9489"/>
    <cellStyle name="40% - Accent1 3 4 12 2" xfId="32264"/>
    <cellStyle name="40% - Accent1 3 4 13" xfId="10145"/>
    <cellStyle name="40% - Accent1 3 4 13 2" xfId="32920"/>
    <cellStyle name="40% - Accent1 3 4 14" xfId="10801"/>
    <cellStyle name="40% - Accent1 3 4 14 2" xfId="33576"/>
    <cellStyle name="40% - Accent1 3 4 15" xfId="11457"/>
    <cellStyle name="40% - Accent1 3 4 15 2" xfId="34232"/>
    <cellStyle name="40% - Accent1 3 4 16" xfId="12113"/>
    <cellStyle name="40% - Accent1 3 4 16 2" xfId="34888"/>
    <cellStyle name="40% - Accent1 3 4 17" xfId="12769"/>
    <cellStyle name="40% - Accent1 3 4 17 2" xfId="35544"/>
    <cellStyle name="40% - Accent1 3 4 18" xfId="13425"/>
    <cellStyle name="40% - Accent1 3 4 18 2" xfId="36200"/>
    <cellStyle name="40% - Accent1 3 4 19" xfId="14081"/>
    <cellStyle name="40% - Accent1 3 4 19 2" xfId="36856"/>
    <cellStyle name="40% - Accent1 3 4 2" xfId="1289"/>
    <cellStyle name="40% - Accent1 3 4 2 2" xfId="3585"/>
    <cellStyle name="40% - Accent1 3 4 2 2 2" xfId="26360"/>
    <cellStyle name="40% - Accent1 3 4 2 3" xfId="24064"/>
    <cellStyle name="40% - Accent1 3 4 20" xfId="14737"/>
    <cellStyle name="40% - Accent1 3 4 20 2" xfId="37512"/>
    <cellStyle name="40% - Accent1 3 4 21" xfId="15393"/>
    <cellStyle name="40% - Accent1 3 4 21 2" xfId="38168"/>
    <cellStyle name="40% - Accent1 3 4 22" xfId="16049"/>
    <cellStyle name="40% - Accent1 3 4 22 2" xfId="38824"/>
    <cellStyle name="40% - Accent1 3 4 23" xfId="16705"/>
    <cellStyle name="40% - Accent1 3 4 23 2" xfId="39480"/>
    <cellStyle name="40% - Accent1 3 4 24" xfId="17361"/>
    <cellStyle name="40% - Accent1 3 4 24 2" xfId="40136"/>
    <cellStyle name="40% - Accent1 3 4 25" xfId="18017"/>
    <cellStyle name="40% - Accent1 3 4 25 2" xfId="40792"/>
    <cellStyle name="40% - Accent1 3 4 26" xfId="18673"/>
    <cellStyle name="40% - Accent1 3 4 26 2" xfId="41448"/>
    <cellStyle name="40% - Accent1 3 4 27" xfId="19329"/>
    <cellStyle name="40% - Accent1 3 4 27 2" xfId="42104"/>
    <cellStyle name="40% - Accent1 3 4 28" xfId="19985"/>
    <cellStyle name="40% - Accent1 3 4 28 2" xfId="42760"/>
    <cellStyle name="40% - Accent1 3 4 29" xfId="20641"/>
    <cellStyle name="40% - Accent1 3 4 29 2" xfId="43416"/>
    <cellStyle name="40% - Accent1 3 4 3" xfId="1945"/>
    <cellStyle name="40% - Accent1 3 4 3 2" xfId="4241"/>
    <cellStyle name="40% - Accent1 3 4 3 2 2" xfId="27016"/>
    <cellStyle name="40% - Accent1 3 4 3 3" xfId="24720"/>
    <cellStyle name="40% - Accent1 3 4 30" xfId="21297"/>
    <cellStyle name="40% - Accent1 3 4 30 2" xfId="44072"/>
    <cellStyle name="40% - Accent1 3 4 31" xfId="21953"/>
    <cellStyle name="40% - Accent1 3 4 31 2" xfId="44728"/>
    <cellStyle name="40% - Accent1 3 4 32" xfId="22609"/>
    <cellStyle name="40% - Accent1 3 4 32 2" xfId="45384"/>
    <cellStyle name="40% - Accent1 3 4 33" xfId="23408"/>
    <cellStyle name="40% - Accent1 3 4 4" xfId="4897"/>
    <cellStyle name="40% - Accent1 3 4 4 2" xfId="27672"/>
    <cellStyle name="40% - Accent1 3 4 5" xfId="5553"/>
    <cellStyle name="40% - Accent1 3 4 5 2" xfId="28328"/>
    <cellStyle name="40% - Accent1 3 4 6" xfId="6209"/>
    <cellStyle name="40% - Accent1 3 4 6 2" xfId="28984"/>
    <cellStyle name="40% - Accent1 3 4 7" xfId="2929"/>
    <cellStyle name="40% - Accent1 3 4 7 2" xfId="25704"/>
    <cellStyle name="40% - Accent1 3 4 8" xfId="6865"/>
    <cellStyle name="40% - Accent1 3 4 8 2" xfId="29640"/>
    <cellStyle name="40% - Accent1 3 4 9" xfId="7521"/>
    <cellStyle name="40% - Accent1 3 4 9 2" xfId="30296"/>
    <cellStyle name="40% - Accent1 3 5" xfId="306"/>
    <cellStyle name="40% - Accent1 3 5 2" xfId="2601"/>
    <cellStyle name="40% - Accent1 3 5 2 2" xfId="25376"/>
    <cellStyle name="40% - Accent1 3 5 3" xfId="23080"/>
    <cellStyle name="40% - Accent1 3 6" xfId="961"/>
    <cellStyle name="40% - Accent1 3 6 2" xfId="3257"/>
    <cellStyle name="40% - Accent1 3 6 2 2" xfId="26032"/>
    <cellStyle name="40% - Accent1 3 6 3" xfId="23736"/>
    <cellStyle name="40% - Accent1 3 7" xfId="1617"/>
    <cellStyle name="40% - Accent1 3 7 2" xfId="3913"/>
    <cellStyle name="40% - Accent1 3 7 2 2" xfId="26688"/>
    <cellStyle name="40% - Accent1 3 7 3" xfId="24392"/>
    <cellStyle name="40% - Accent1 3 8" xfId="4569"/>
    <cellStyle name="40% - Accent1 3 8 2" xfId="27344"/>
    <cellStyle name="40% - Accent1 3 9" xfId="5225"/>
    <cellStyle name="40% - Accent1 3 9 2" xfId="28000"/>
    <cellStyle name="40% - Accent1 30" xfId="13722"/>
    <cellStyle name="40% - Accent1 30 2" xfId="36497"/>
    <cellStyle name="40% - Accent1 31" xfId="14378"/>
    <cellStyle name="40% - Accent1 31 2" xfId="37153"/>
    <cellStyle name="40% - Accent1 32" xfId="15034"/>
    <cellStyle name="40% - Accent1 32 2" xfId="37809"/>
    <cellStyle name="40% - Accent1 33" xfId="15690"/>
    <cellStyle name="40% - Accent1 33 2" xfId="38465"/>
    <cellStyle name="40% - Accent1 34" xfId="16346"/>
    <cellStyle name="40% - Accent1 34 2" xfId="39121"/>
    <cellStyle name="40% - Accent1 35" xfId="17002"/>
    <cellStyle name="40% - Accent1 35 2" xfId="39777"/>
    <cellStyle name="40% - Accent1 36" xfId="17658"/>
    <cellStyle name="40% - Accent1 36 2" xfId="40433"/>
    <cellStyle name="40% - Accent1 37" xfId="18314"/>
    <cellStyle name="40% - Accent1 37 2" xfId="41089"/>
    <cellStyle name="40% - Accent1 38" xfId="18970"/>
    <cellStyle name="40% - Accent1 38 2" xfId="41745"/>
    <cellStyle name="40% - Accent1 39" xfId="19626"/>
    <cellStyle name="40% - Accent1 39 2" xfId="42401"/>
    <cellStyle name="40% - Accent1 4" xfId="89"/>
    <cellStyle name="40% - Accent1 4 10" xfId="5895"/>
    <cellStyle name="40% - Accent1 4 10 2" xfId="28670"/>
    <cellStyle name="40% - Accent1 4 11" xfId="2287"/>
    <cellStyle name="40% - Accent1 4 11 2" xfId="25062"/>
    <cellStyle name="40% - Accent1 4 12" xfId="6551"/>
    <cellStyle name="40% - Accent1 4 12 2" xfId="29326"/>
    <cellStyle name="40% - Accent1 4 13" xfId="7207"/>
    <cellStyle name="40% - Accent1 4 13 2" xfId="29982"/>
    <cellStyle name="40% - Accent1 4 14" xfId="7863"/>
    <cellStyle name="40% - Accent1 4 14 2" xfId="30638"/>
    <cellStyle name="40% - Accent1 4 15" xfId="8519"/>
    <cellStyle name="40% - Accent1 4 15 2" xfId="31294"/>
    <cellStyle name="40% - Accent1 4 16" xfId="9175"/>
    <cellStyle name="40% - Accent1 4 16 2" xfId="31950"/>
    <cellStyle name="40% - Accent1 4 17" xfId="9831"/>
    <cellStyle name="40% - Accent1 4 17 2" xfId="32606"/>
    <cellStyle name="40% - Accent1 4 18" xfId="10487"/>
    <cellStyle name="40% - Accent1 4 18 2" xfId="33262"/>
    <cellStyle name="40% - Accent1 4 19" xfId="11143"/>
    <cellStyle name="40% - Accent1 4 19 2" xfId="33918"/>
    <cellStyle name="40% - Accent1 4 2" xfId="160"/>
    <cellStyle name="40% - Accent1 4 2 10" xfId="2358"/>
    <cellStyle name="40% - Accent1 4 2 10 2" xfId="25133"/>
    <cellStyle name="40% - Accent1 4 2 11" xfId="6622"/>
    <cellStyle name="40% - Accent1 4 2 11 2" xfId="29397"/>
    <cellStyle name="40% - Accent1 4 2 12" xfId="7278"/>
    <cellStyle name="40% - Accent1 4 2 12 2" xfId="30053"/>
    <cellStyle name="40% - Accent1 4 2 13" xfId="7934"/>
    <cellStyle name="40% - Accent1 4 2 13 2" xfId="30709"/>
    <cellStyle name="40% - Accent1 4 2 14" xfId="8590"/>
    <cellStyle name="40% - Accent1 4 2 14 2" xfId="31365"/>
    <cellStyle name="40% - Accent1 4 2 15" xfId="9246"/>
    <cellStyle name="40% - Accent1 4 2 15 2" xfId="32021"/>
    <cellStyle name="40% - Accent1 4 2 16" xfId="9902"/>
    <cellStyle name="40% - Accent1 4 2 16 2" xfId="32677"/>
    <cellStyle name="40% - Accent1 4 2 17" xfId="10558"/>
    <cellStyle name="40% - Accent1 4 2 17 2" xfId="33333"/>
    <cellStyle name="40% - Accent1 4 2 18" xfId="11214"/>
    <cellStyle name="40% - Accent1 4 2 18 2" xfId="33989"/>
    <cellStyle name="40% - Accent1 4 2 19" xfId="11870"/>
    <cellStyle name="40% - Accent1 4 2 19 2" xfId="34645"/>
    <cellStyle name="40% - Accent1 4 2 2" xfId="574"/>
    <cellStyle name="40% - Accent1 4 2 2 10" xfId="6807"/>
    <cellStyle name="40% - Accent1 4 2 2 10 2" xfId="29582"/>
    <cellStyle name="40% - Accent1 4 2 2 11" xfId="7463"/>
    <cellStyle name="40% - Accent1 4 2 2 11 2" xfId="30238"/>
    <cellStyle name="40% - Accent1 4 2 2 12" xfId="8119"/>
    <cellStyle name="40% - Accent1 4 2 2 12 2" xfId="30894"/>
    <cellStyle name="40% - Accent1 4 2 2 13" xfId="8775"/>
    <cellStyle name="40% - Accent1 4 2 2 13 2" xfId="31550"/>
    <cellStyle name="40% - Accent1 4 2 2 14" xfId="9431"/>
    <cellStyle name="40% - Accent1 4 2 2 14 2" xfId="32206"/>
    <cellStyle name="40% - Accent1 4 2 2 15" xfId="10087"/>
    <cellStyle name="40% - Accent1 4 2 2 15 2" xfId="32862"/>
    <cellStyle name="40% - Accent1 4 2 2 16" xfId="10743"/>
    <cellStyle name="40% - Accent1 4 2 2 16 2" xfId="33518"/>
    <cellStyle name="40% - Accent1 4 2 2 17" xfId="11399"/>
    <cellStyle name="40% - Accent1 4 2 2 17 2" xfId="34174"/>
    <cellStyle name="40% - Accent1 4 2 2 18" xfId="12055"/>
    <cellStyle name="40% - Accent1 4 2 2 18 2" xfId="34830"/>
    <cellStyle name="40% - Accent1 4 2 2 19" xfId="12711"/>
    <cellStyle name="40% - Accent1 4 2 2 19 2" xfId="35486"/>
    <cellStyle name="40% - Accent1 4 2 2 2" xfId="903"/>
    <cellStyle name="40% - Accent1 4 2 2 2 10" xfId="8447"/>
    <cellStyle name="40% - Accent1 4 2 2 2 10 2" xfId="31222"/>
    <cellStyle name="40% - Accent1 4 2 2 2 11" xfId="9103"/>
    <cellStyle name="40% - Accent1 4 2 2 2 11 2" xfId="31878"/>
    <cellStyle name="40% - Accent1 4 2 2 2 12" xfId="9759"/>
    <cellStyle name="40% - Accent1 4 2 2 2 12 2" xfId="32534"/>
    <cellStyle name="40% - Accent1 4 2 2 2 13" xfId="10415"/>
    <cellStyle name="40% - Accent1 4 2 2 2 13 2" xfId="33190"/>
    <cellStyle name="40% - Accent1 4 2 2 2 14" xfId="11071"/>
    <cellStyle name="40% - Accent1 4 2 2 2 14 2" xfId="33846"/>
    <cellStyle name="40% - Accent1 4 2 2 2 15" xfId="11727"/>
    <cellStyle name="40% - Accent1 4 2 2 2 15 2" xfId="34502"/>
    <cellStyle name="40% - Accent1 4 2 2 2 16" xfId="12383"/>
    <cellStyle name="40% - Accent1 4 2 2 2 16 2" xfId="35158"/>
    <cellStyle name="40% - Accent1 4 2 2 2 17" xfId="13039"/>
    <cellStyle name="40% - Accent1 4 2 2 2 17 2" xfId="35814"/>
    <cellStyle name="40% - Accent1 4 2 2 2 18" xfId="13695"/>
    <cellStyle name="40% - Accent1 4 2 2 2 18 2" xfId="36470"/>
    <cellStyle name="40% - Accent1 4 2 2 2 19" xfId="14351"/>
    <cellStyle name="40% - Accent1 4 2 2 2 19 2" xfId="37126"/>
    <cellStyle name="40% - Accent1 4 2 2 2 2" xfId="1559"/>
    <cellStyle name="40% - Accent1 4 2 2 2 2 2" xfId="3855"/>
    <cellStyle name="40% - Accent1 4 2 2 2 2 2 2" xfId="26630"/>
    <cellStyle name="40% - Accent1 4 2 2 2 2 3" xfId="24334"/>
    <cellStyle name="40% - Accent1 4 2 2 2 20" xfId="15007"/>
    <cellStyle name="40% - Accent1 4 2 2 2 20 2" xfId="37782"/>
    <cellStyle name="40% - Accent1 4 2 2 2 21" xfId="15663"/>
    <cellStyle name="40% - Accent1 4 2 2 2 21 2" xfId="38438"/>
    <cellStyle name="40% - Accent1 4 2 2 2 22" xfId="16319"/>
    <cellStyle name="40% - Accent1 4 2 2 2 22 2" xfId="39094"/>
    <cellStyle name="40% - Accent1 4 2 2 2 23" xfId="16975"/>
    <cellStyle name="40% - Accent1 4 2 2 2 23 2" xfId="39750"/>
    <cellStyle name="40% - Accent1 4 2 2 2 24" xfId="17631"/>
    <cellStyle name="40% - Accent1 4 2 2 2 24 2" xfId="40406"/>
    <cellStyle name="40% - Accent1 4 2 2 2 25" xfId="18287"/>
    <cellStyle name="40% - Accent1 4 2 2 2 25 2" xfId="41062"/>
    <cellStyle name="40% - Accent1 4 2 2 2 26" xfId="18943"/>
    <cellStyle name="40% - Accent1 4 2 2 2 26 2" xfId="41718"/>
    <cellStyle name="40% - Accent1 4 2 2 2 27" xfId="19599"/>
    <cellStyle name="40% - Accent1 4 2 2 2 27 2" xfId="42374"/>
    <cellStyle name="40% - Accent1 4 2 2 2 28" xfId="20255"/>
    <cellStyle name="40% - Accent1 4 2 2 2 28 2" xfId="43030"/>
    <cellStyle name="40% - Accent1 4 2 2 2 29" xfId="20911"/>
    <cellStyle name="40% - Accent1 4 2 2 2 29 2" xfId="43686"/>
    <cellStyle name="40% - Accent1 4 2 2 2 3" xfId="2215"/>
    <cellStyle name="40% - Accent1 4 2 2 2 3 2" xfId="4511"/>
    <cellStyle name="40% - Accent1 4 2 2 2 3 2 2" xfId="27286"/>
    <cellStyle name="40% - Accent1 4 2 2 2 3 3" xfId="24990"/>
    <cellStyle name="40% - Accent1 4 2 2 2 30" xfId="21567"/>
    <cellStyle name="40% - Accent1 4 2 2 2 30 2" xfId="44342"/>
    <cellStyle name="40% - Accent1 4 2 2 2 31" xfId="22223"/>
    <cellStyle name="40% - Accent1 4 2 2 2 31 2" xfId="44998"/>
    <cellStyle name="40% - Accent1 4 2 2 2 32" xfId="22879"/>
    <cellStyle name="40% - Accent1 4 2 2 2 32 2" xfId="45654"/>
    <cellStyle name="40% - Accent1 4 2 2 2 33" xfId="23678"/>
    <cellStyle name="40% - Accent1 4 2 2 2 4" xfId="5167"/>
    <cellStyle name="40% - Accent1 4 2 2 2 4 2" xfId="27942"/>
    <cellStyle name="40% - Accent1 4 2 2 2 5" xfId="5823"/>
    <cellStyle name="40% - Accent1 4 2 2 2 5 2" xfId="28598"/>
    <cellStyle name="40% - Accent1 4 2 2 2 6" xfId="6479"/>
    <cellStyle name="40% - Accent1 4 2 2 2 6 2" xfId="29254"/>
    <cellStyle name="40% - Accent1 4 2 2 2 7" xfId="3199"/>
    <cellStyle name="40% - Accent1 4 2 2 2 7 2" xfId="25974"/>
    <cellStyle name="40% - Accent1 4 2 2 2 8" xfId="7135"/>
    <cellStyle name="40% - Accent1 4 2 2 2 8 2" xfId="29910"/>
    <cellStyle name="40% - Accent1 4 2 2 2 9" xfId="7791"/>
    <cellStyle name="40% - Accent1 4 2 2 2 9 2" xfId="30566"/>
    <cellStyle name="40% - Accent1 4 2 2 20" xfId="13367"/>
    <cellStyle name="40% - Accent1 4 2 2 20 2" xfId="36142"/>
    <cellStyle name="40% - Accent1 4 2 2 21" xfId="14023"/>
    <cellStyle name="40% - Accent1 4 2 2 21 2" xfId="36798"/>
    <cellStyle name="40% - Accent1 4 2 2 22" xfId="14679"/>
    <cellStyle name="40% - Accent1 4 2 2 22 2" xfId="37454"/>
    <cellStyle name="40% - Accent1 4 2 2 23" xfId="15335"/>
    <cellStyle name="40% - Accent1 4 2 2 23 2" xfId="38110"/>
    <cellStyle name="40% - Accent1 4 2 2 24" xfId="15991"/>
    <cellStyle name="40% - Accent1 4 2 2 24 2" xfId="38766"/>
    <cellStyle name="40% - Accent1 4 2 2 25" xfId="16647"/>
    <cellStyle name="40% - Accent1 4 2 2 25 2" xfId="39422"/>
    <cellStyle name="40% - Accent1 4 2 2 26" xfId="17303"/>
    <cellStyle name="40% - Accent1 4 2 2 26 2" xfId="40078"/>
    <cellStyle name="40% - Accent1 4 2 2 27" xfId="17959"/>
    <cellStyle name="40% - Accent1 4 2 2 27 2" xfId="40734"/>
    <cellStyle name="40% - Accent1 4 2 2 28" xfId="18615"/>
    <cellStyle name="40% - Accent1 4 2 2 28 2" xfId="41390"/>
    <cellStyle name="40% - Accent1 4 2 2 29" xfId="19271"/>
    <cellStyle name="40% - Accent1 4 2 2 29 2" xfId="42046"/>
    <cellStyle name="40% - Accent1 4 2 2 3" xfId="1231"/>
    <cellStyle name="40% - Accent1 4 2 2 3 2" xfId="2871"/>
    <cellStyle name="40% - Accent1 4 2 2 3 2 2" xfId="25646"/>
    <cellStyle name="40% - Accent1 4 2 2 3 3" xfId="24006"/>
    <cellStyle name="40% - Accent1 4 2 2 30" xfId="19927"/>
    <cellStyle name="40% - Accent1 4 2 2 30 2" xfId="42702"/>
    <cellStyle name="40% - Accent1 4 2 2 31" xfId="20583"/>
    <cellStyle name="40% - Accent1 4 2 2 31 2" xfId="43358"/>
    <cellStyle name="40% - Accent1 4 2 2 32" xfId="21239"/>
    <cellStyle name="40% - Accent1 4 2 2 32 2" xfId="44014"/>
    <cellStyle name="40% - Accent1 4 2 2 33" xfId="21895"/>
    <cellStyle name="40% - Accent1 4 2 2 33 2" xfId="44670"/>
    <cellStyle name="40% - Accent1 4 2 2 34" xfId="22551"/>
    <cellStyle name="40% - Accent1 4 2 2 34 2" xfId="45326"/>
    <cellStyle name="40% - Accent1 4 2 2 35" xfId="23350"/>
    <cellStyle name="40% - Accent1 4 2 2 4" xfId="1887"/>
    <cellStyle name="40% - Accent1 4 2 2 4 2" xfId="3527"/>
    <cellStyle name="40% - Accent1 4 2 2 4 2 2" xfId="26302"/>
    <cellStyle name="40% - Accent1 4 2 2 4 3" xfId="24662"/>
    <cellStyle name="40% - Accent1 4 2 2 5" xfId="4183"/>
    <cellStyle name="40% - Accent1 4 2 2 5 2" xfId="26958"/>
    <cellStyle name="40% - Accent1 4 2 2 6" xfId="4839"/>
    <cellStyle name="40% - Accent1 4 2 2 6 2" xfId="27614"/>
    <cellStyle name="40% - Accent1 4 2 2 7" xfId="5495"/>
    <cellStyle name="40% - Accent1 4 2 2 7 2" xfId="28270"/>
    <cellStyle name="40% - Accent1 4 2 2 8" xfId="6151"/>
    <cellStyle name="40% - Accent1 4 2 2 8 2" xfId="28926"/>
    <cellStyle name="40% - Accent1 4 2 2 9" xfId="2543"/>
    <cellStyle name="40% - Accent1 4 2 2 9 2" xfId="25318"/>
    <cellStyle name="40% - Accent1 4 2 20" xfId="12526"/>
    <cellStyle name="40% - Accent1 4 2 20 2" xfId="35301"/>
    <cellStyle name="40% - Accent1 4 2 21" xfId="13182"/>
    <cellStyle name="40% - Accent1 4 2 21 2" xfId="35957"/>
    <cellStyle name="40% - Accent1 4 2 22" xfId="13838"/>
    <cellStyle name="40% - Accent1 4 2 22 2" xfId="36613"/>
    <cellStyle name="40% - Accent1 4 2 23" xfId="14494"/>
    <cellStyle name="40% - Accent1 4 2 23 2" xfId="37269"/>
    <cellStyle name="40% - Accent1 4 2 24" xfId="15150"/>
    <cellStyle name="40% - Accent1 4 2 24 2" xfId="37925"/>
    <cellStyle name="40% - Accent1 4 2 25" xfId="15806"/>
    <cellStyle name="40% - Accent1 4 2 25 2" xfId="38581"/>
    <cellStyle name="40% - Accent1 4 2 26" xfId="16462"/>
    <cellStyle name="40% - Accent1 4 2 26 2" xfId="39237"/>
    <cellStyle name="40% - Accent1 4 2 27" xfId="17118"/>
    <cellStyle name="40% - Accent1 4 2 27 2" xfId="39893"/>
    <cellStyle name="40% - Accent1 4 2 28" xfId="17774"/>
    <cellStyle name="40% - Accent1 4 2 28 2" xfId="40549"/>
    <cellStyle name="40% - Accent1 4 2 29" xfId="18430"/>
    <cellStyle name="40% - Accent1 4 2 29 2" xfId="41205"/>
    <cellStyle name="40% - Accent1 4 2 3" xfId="718"/>
    <cellStyle name="40% - Accent1 4 2 3 10" xfId="8262"/>
    <cellStyle name="40% - Accent1 4 2 3 10 2" xfId="31037"/>
    <cellStyle name="40% - Accent1 4 2 3 11" xfId="8918"/>
    <cellStyle name="40% - Accent1 4 2 3 11 2" xfId="31693"/>
    <cellStyle name="40% - Accent1 4 2 3 12" xfId="9574"/>
    <cellStyle name="40% - Accent1 4 2 3 12 2" xfId="32349"/>
    <cellStyle name="40% - Accent1 4 2 3 13" xfId="10230"/>
    <cellStyle name="40% - Accent1 4 2 3 13 2" xfId="33005"/>
    <cellStyle name="40% - Accent1 4 2 3 14" xfId="10886"/>
    <cellStyle name="40% - Accent1 4 2 3 14 2" xfId="33661"/>
    <cellStyle name="40% - Accent1 4 2 3 15" xfId="11542"/>
    <cellStyle name="40% - Accent1 4 2 3 15 2" xfId="34317"/>
    <cellStyle name="40% - Accent1 4 2 3 16" xfId="12198"/>
    <cellStyle name="40% - Accent1 4 2 3 16 2" xfId="34973"/>
    <cellStyle name="40% - Accent1 4 2 3 17" xfId="12854"/>
    <cellStyle name="40% - Accent1 4 2 3 17 2" xfId="35629"/>
    <cellStyle name="40% - Accent1 4 2 3 18" xfId="13510"/>
    <cellStyle name="40% - Accent1 4 2 3 18 2" xfId="36285"/>
    <cellStyle name="40% - Accent1 4 2 3 19" xfId="14166"/>
    <cellStyle name="40% - Accent1 4 2 3 19 2" xfId="36941"/>
    <cellStyle name="40% - Accent1 4 2 3 2" xfId="1374"/>
    <cellStyle name="40% - Accent1 4 2 3 2 2" xfId="3670"/>
    <cellStyle name="40% - Accent1 4 2 3 2 2 2" xfId="26445"/>
    <cellStyle name="40% - Accent1 4 2 3 2 3" xfId="24149"/>
    <cellStyle name="40% - Accent1 4 2 3 20" xfId="14822"/>
    <cellStyle name="40% - Accent1 4 2 3 20 2" xfId="37597"/>
    <cellStyle name="40% - Accent1 4 2 3 21" xfId="15478"/>
    <cellStyle name="40% - Accent1 4 2 3 21 2" xfId="38253"/>
    <cellStyle name="40% - Accent1 4 2 3 22" xfId="16134"/>
    <cellStyle name="40% - Accent1 4 2 3 22 2" xfId="38909"/>
    <cellStyle name="40% - Accent1 4 2 3 23" xfId="16790"/>
    <cellStyle name="40% - Accent1 4 2 3 23 2" xfId="39565"/>
    <cellStyle name="40% - Accent1 4 2 3 24" xfId="17446"/>
    <cellStyle name="40% - Accent1 4 2 3 24 2" xfId="40221"/>
    <cellStyle name="40% - Accent1 4 2 3 25" xfId="18102"/>
    <cellStyle name="40% - Accent1 4 2 3 25 2" xfId="40877"/>
    <cellStyle name="40% - Accent1 4 2 3 26" xfId="18758"/>
    <cellStyle name="40% - Accent1 4 2 3 26 2" xfId="41533"/>
    <cellStyle name="40% - Accent1 4 2 3 27" xfId="19414"/>
    <cellStyle name="40% - Accent1 4 2 3 27 2" xfId="42189"/>
    <cellStyle name="40% - Accent1 4 2 3 28" xfId="20070"/>
    <cellStyle name="40% - Accent1 4 2 3 28 2" xfId="42845"/>
    <cellStyle name="40% - Accent1 4 2 3 29" xfId="20726"/>
    <cellStyle name="40% - Accent1 4 2 3 29 2" xfId="43501"/>
    <cellStyle name="40% - Accent1 4 2 3 3" xfId="2030"/>
    <cellStyle name="40% - Accent1 4 2 3 3 2" xfId="4326"/>
    <cellStyle name="40% - Accent1 4 2 3 3 2 2" xfId="27101"/>
    <cellStyle name="40% - Accent1 4 2 3 3 3" xfId="24805"/>
    <cellStyle name="40% - Accent1 4 2 3 30" xfId="21382"/>
    <cellStyle name="40% - Accent1 4 2 3 30 2" xfId="44157"/>
    <cellStyle name="40% - Accent1 4 2 3 31" xfId="22038"/>
    <cellStyle name="40% - Accent1 4 2 3 31 2" xfId="44813"/>
    <cellStyle name="40% - Accent1 4 2 3 32" xfId="22694"/>
    <cellStyle name="40% - Accent1 4 2 3 32 2" xfId="45469"/>
    <cellStyle name="40% - Accent1 4 2 3 33" xfId="23493"/>
    <cellStyle name="40% - Accent1 4 2 3 4" xfId="4982"/>
    <cellStyle name="40% - Accent1 4 2 3 4 2" xfId="27757"/>
    <cellStyle name="40% - Accent1 4 2 3 5" xfId="5638"/>
    <cellStyle name="40% - Accent1 4 2 3 5 2" xfId="28413"/>
    <cellStyle name="40% - Accent1 4 2 3 6" xfId="6294"/>
    <cellStyle name="40% - Accent1 4 2 3 6 2" xfId="29069"/>
    <cellStyle name="40% - Accent1 4 2 3 7" xfId="3014"/>
    <cellStyle name="40% - Accent1 4 2 3 7 2" xfId="25789"/>
    <cellStyle name="40% - Accent1 4 2 3 8" xfId="6950"/>
    <cellStyle name="40% - Accent1 4 2 3 8 2" xfId="29725"/>
    <cellStyle name="40% - Accent1 4 2 3 9" xfId="7606"/>
    <cellStyle name="40% - Accent1 4 2 3 9 2" xfId="30381"/>
    <cellStyle name="40% - Accent1 4 2 30" xfId="19086"/>
    <cellStyle name="40% - Accent1 4 2 30 2" xfId="41861"/>
    <cellStyle name="40% - Accent1 4 2 31" xfId="19742"/>
    <cellStyle name="40% - Accent1 4 2 31 2" xfId="42517"/>
    <cellStyle name="40% - Accent1 4 2 32" xfId="20398"/>
    <cellStyle name="40% - Accent1 4 2 32 2" xfId="43173"/>
    <cellStyle name="40% - Accent1 4 2 33" xfId="21054"/>
    <cellStyle name="40% - Accent1 4 2 33 2" xfId="43829"/>
    <cellStyle name="40% - Accent1 4 2 34" xfId="21710"/>
    <cellStyle name="40% - Accent1 4 2 34 2" xfId="44485"/>
    <cellStyle name="40% - Accent1 4 2 35" xfId="22366"/>
    <cellStyle name="40% - Accent1 4 2 35 2" xfId="45141"/>
    <cellStyle name="40% - Accent1 4 2 36" xfId="23022"/>
    <cellStyle name="40% - Accent1 4 2 4" xfId="391"/>
    <cellStyle name="40% - Accent1 4 2 4 2" xfId="2686"/>
    <cellStyle name="40% - Accent1 4 2 4 2 2" xfId="25461"/>
    <cellStyle name="40% - Accent1 4 2 4 3" xfId="23165"/>
    <cellStyle name="40% - Accent1 4 2 5" xfId="1046"/>
    <cellStyle name="40% - Accent1 4 2 5 2" xfId="3342"/>
    <cellStyle name="40% - Accent1 4 2 5 2 2" xfId="26117"/>
    <cellStyle name="40% - Accent1 4 2 5 3" xfId="23821"/>
    <cellStyle name="40% - Accent1 4 2 6" xfId="1702"/>
    <cellStyle name="40% - Accent1 4 2 6 2" xfId="3998"/>
    <cellStyle name="40% - Accent1 4 2 6 2 2" xfId="26773"/>
    <cellStyle name="40% - Accent1 4 2 6 3" xfId="24477"/>
    <cellStyle name="40% - Accent1 4 2 7" xfId="4654"/>
    <cellStyle name="40% - Accent1 4 2 7 2" xfId="27429"/>
    <cellStyle name="40% - Accent1 4 2 8" xfId="5310"/>
    <cellStyle name="40% - Accent1 4 2 8 2" xfId="28085"/>
    <cellStyle name="40% - Accent1 4 2 9" xfId="5966"/>
    <cellStyle name="40% - Accent1 4 2 9 2" xfId="28741"/>
    <cellStyle name="40% - Accent1 4 20" xfId="11799"/>
    <cellStyle name="40% - Accent1 4 20 2" xfId="34574"/>
    <cellStyle name="40% - Accent1 4 21" xfId="12455"/>
    <cellStyle name="40% - Accent1 4 21 2" xfId="35230"/>
    <cellStyle name="40% - Accent1 4 22" xfId="13111"/>
    <cellStyle name="40% - Accent1 4 22 2" xfId="35886"/>
    <cellStyle name="40% - Accent1 4 23" xfId="13767"/>
    <cellStyle name="40% - Accent1 4 23 2" xfId="36542"/>
    <cellStyle name="40% - Accent1 4 24" xfId="14423"/>
    <cellStyle name="40% - Accent1 4 24 2" xfId="37198"/>
    <cellStyle name="40% - Accent1 4 25" xfId="15079"/>
    <cellStyle name="40% - Accent1 4 25 2" xfId="37854"/>
    <cellStyle name="40% - Accent1 4 26" xfId="15735"/>
    <cellStyle name="40% - Accent1 4 26 2" xfId="38510"/>
    <cellStyle name="40% - Accent1 4 27" xfId="16391"/>
    <cellStyle name="40% - Accent1 4 27 2" xfId="39166"/>
    <cellStyle name="40% - Accent1 4 28" xfId="17047"/>
    <cellStyle name="40% - Accent1 4 28 2" xfId="39822"/>
    <cellStyle name="40% - Accent1 4 29" xfId="17703"/>
    <cellStyle name="40% - Accent1 4 29 2" xfId="40478"/>
    <cellStyle name="40% - Accent1 4 3" xfId="504"/>
    <cellStyle name="40% - Accent1 4 3 10" xfId="6736"/>
    <cellStyle name="40% - Accent1 4 3 10 2" xfId="29511"/>
    <cellStyle name="40% - Accent1 4 3 11" xfId="7392"/>
    <cellStyle name="40% - Accent1 4 3 11 2" xfId="30167"/>
    <cellStyle name="40% - Accent1 4 3 12" xfId="8048"/>
    <cellStyle name="40% - Accent1 4 3 12 2" xfId="30823"/>
    <cellStyle name="40% - Accent1 4 3 13" xfId="8704"/>
    <cellStyle name="40% - Accent1 4 3 13 2" xfId="31479"/>
    <cellStyle name="40% - Accent1 4 3 14" xfId="9360"/>
    <cellStyle name="40% - Accent1 4 3 14 2" xfId="32135"/>
    <cellStyle name="40% - Accent1 4 3 15" xfId="10016"/>
    <cellStyle name="40% - Accent1 4 3 15 2" xfId="32791"/>
    <cellStyle name="40% - Accent1 4 3 16" xfId="10672"/>
    <cellStyle name="40% - Accent1 4 3 16 2" xfId="33447"/>
    <cellStyle name="40% - Accent1 4 3 17" xfId="11328"/>
    <cellStyle name="40% - Accent1 4 3 17 2" xfId="34103"/>
    <cellStyle name="40% - Accent1 4 3 18" xfId="11984"/>
    <cellStyle name="40% - Accent1 4 3 18 2" xfId="34759"/>
    <cellStyle name="40% - Accent1 4 3 19" xfId="12640"/>
    <cellStyle name="40% - Accent1 4 3 19 2" xfId="35415"/>
    <cellStyle name="40% - Accent1 4 3 2" xfId="832"/>
    <cellStyle name="40% - Accent1 4 3 2 10" xfId="8376"/>
    <cellStyle name="40% - Accent1 4 3 2 10 2" xfId="31151"/>
    <cellStyle name="40% - Accent1 4 3 2 11" xfId="9032"/>
    <cellStyle name="40% - Accent1 4 3 2 11 2" xfId="31807"/>
    <cellStyle name="40% - Accent1 4 3 2 12" xfId="9688"/>
    <cellStyle name="40% - Accent1 4 3 2 12 2" xfId="32463"/>
    <cellStyle name="40% - Accent1 4 3 2 13" xfId="10344"/>
    <cellStyle name="40% - Accent1 4 3 2 13 2" xfId="33119"/>
    <cellStyle name="40% - Accent1 4 3 2 14" xfId="11000"/>
    <cellStyle name="40% - Accent1 4 3 2 14 2" xfId="33775"/>
    <cellStyle name="40% - Accent1 4 3 2 15" xfId="11656"/>
    <cellStyle name="40% - Accent1 4 3 2 15 2" xfId="34431"/>
    <cellStyle name="40% - Accent1 4 3 2 16" xfId="12312"/>
    <cellStyle name="40% - Accent1 4 3 2 16 2" xfId="35087"/>
    <cellStyle name="40% - Accent1 4 3 2 17" xfId="12968"/>
    <cellStyle name="40% - Accent1 4 3 2 17 2" xfId="35743"/>
    <cellStyle name="40% - Accent1 4 3 2 18" xfId="13624"/>
    <cellStyle name="40% - Accent1 4 3 2 18 2" xfId="36399"/>
    <cellStyle name="40% - Accent1 4 3 2 19" xfId="14280"/>
    <cellStyle name="40% - Accent1 4 3 2 19 2" xfId="37055"/>
    <cellStyle name="40% - Accent1 4 3 2 2" xfId="1488"/>
    <cellStyle name="40% - Accent1 4 3 2 2 2" xfId="3784"/>
    <cellStyle name="40% - Accent1 4 3 2 2 2 2" xfId="26559"/>
    <cellStyle name="40% - Accent1 4 3 2 2 3" xfId="24263"/>
    <cellStyle name="40% - Accent1 4 3 2 20" xfId="14936"/>
    <cellStyle name="40% - Accent1 4 3 2 20 2" xfId="37711"/>
    <cellStyle name="40% - Accent1 4 3 2 21" xfId="15592"/>
    <cellStyle name="40% - Accent1 4 3 2 21 2" xfId="38367"/>
    <cellStyle name="40% - Accent1 4 3 2 22" xfId="16248"/>
    <cellStyle name="40% - Accent1 4 3 2 22 2" xfId="39023"/>
    <cellStyle name="40% - Accent1 4 3 2 23" xfId="16904"/>
    <cellStyle name="40% - Accent1 4 3 2 23 2" xfId="39679"/>
    <cellStyle name="40% - Accent1 4 3 2 24" xfId="17560"/>
    <cellStyle name="40% - Accent1 4 3 2 24 2" xfId="40335"/>
    <cellStyle name="40% - Accent1 4 3 2 25" xfId="18216"/>
    <cellStyle name="40% - Accent1 4 3 2 25 2" xfId="40991"/>
    <cellStyle name="40% - Accent1 4 3 2 26" xfId="18872"/>
    <cellStyle name="40% - Accent1 4 3 2 26 2" xfId="41647"/>
    <cellStyle name="40% - Accent1 4 3 2 27" xfId="19528"/>
    <cellStyle name="40% - Accent1 4 3 2 27 2" xfId="42303"/>
    <cellStyle name="40% - Accent1 4 3 2 28" xfId="20184"/>
    <cellStyle name="40% - Accent1 4 3 2 28 2" xfId="42959"/>
    <cellStyle name="40% - Accent1 4 3 2 29" xfId="20840"/>
    <cellStyle name="40% - Accent1 4 3 2 29 2" xfId="43615"/>
    <cellStyle name="40% - Accent1 4 3 2 3" xfId="2144"/>
    <cellStyle name="40% - Accent1 4 3 2 3 2" xfId="4440"/>
    <cellStyle name="40% - Accent1 4 3 2 3 2 2" xfId="27215"/>
    <cellStyle name="40% - Accent1 4 3 2 3 3" xfId="24919"/>
    <cellStyle name="40% - Accent1 4 3 2 30" xfId="21496"/>
    <cellStyle name="40% - Accent1 4 3 2 30 2" xfId="44271"/>
    <cellStyle name="40% - Accent1 4 3 2 31" xfId="22152"/>
    <cellStyle name="40% - Accent1 4 3 2 31 2" xfId="44927"/>
    <cellStyle name="40% - Accent1 4 3 2 32" xfId="22808"/>
    <cellStyle name="40% - Accent1 4 3 2 32 2" xfId="45583"/>
    <cellStyle name="40% - Accent1 4 3 2 33" xfId="23607"/>
    <cellStyle name="40% - Accent1 4 3 2 4" xfId="5096"/>
    <cellStyle name="40% - Accent1 4 3 2 4 2" xfId="27871"/>
    <cellStyle name="40% - Accent1 4 3 2 5" xfId="5752"/>
    <cellStyle name="40% - Accent1 4 3 2 5 2" xfId="28527"/>
    <cellStyle name="40% - Accent1 4 3 2 6" xfId="6408"/>
    <cellStyle name="40% - Accent1 4 3 2 6 2" xfId="29183"/>
    <cellStyle name="40% - Accent1 4 3 2 7" xfId="3128"/>
    <cellStyle name="40% - Accent1 4 3 2 7 2" xfId="25903"/>
    <cellStyle name="40% - Accent1 4 3 2 8" xfId="7064"/>
    <cellStyle name="40% - Accent1 4 3 2 8 2" xfId="29839"/>
    <cellStyle name="40% - Accent1 4 3 2 9" xfId="7720"/>
    <cellStyle name="40% - Accent1 4 3 2 9 2" xfId="30495"/>
    <cellStyle name="40% - Accent1 4 3 20" xfId="13296"/>
    <cellStyle name="40% - Accent1 4 3 20 2" xfId="36071"/>
    <cellStyle name="40% - Accent1 4 3 21" xfId="13952"/>
    <cellStyle name="40% - Accent1 4 3 21 2" xfId="36727"/>
    <cellStyle name="40% - Accent1 4 3 22" xfId="14608"/>
    <cellStyle name="40% - Accent1 4 3 22 2" xfId="37383"/>
    <cellStyle name="40% - Accent1 4 3 23" xfId="15264"/>
    <cellStyle name="40% - Accent1 4 3 23 2" xfId="38039"/>
    <cellStyle name="40% - Accent1 4 3 24" xfId="15920"/>
    <cellStyle name="40% - Accent1 4 3 24 2" xfId="38695"/>
    <cellStyle name="40% - Accent1 4 3 25" xfId="16576"/>
    <cellStyle name="40% - Accent1 4 3 25 2" xfId="39351"/>
    <cellStyle name="40% - Accent1 4 3 26" xfId="17232"/>
    <cellStyle name="40% - Accent1 4 3 26 2" xfId="40007"/>
    <cellStyle name="40% - Accent1 4 3 27" xfId="17888"/>
    <cellStyle name="40% - Accent1 4 3 27 2" xfId="40663"/>
    <cellStyle name="40% - Accent1 4 3 28" xfId="18544"/>
    <cellStyle name="40% - Accent1 4 3 28 2" xfId="41319"/>
    <cellStyle name="40% - Accent1 4 3 29" xfId="19200"/>
    <cellStyle name="40% - Accent1 4 3 29 2" xfId="41975"/>
    <cellStyle name="40% - Accent1 4 3 3" xfId="1160"/>
    <cellStyle name="40% - Accent1 4 3 3 2" xfId="2800"/>
    <cellStyle name="40% - Accent1 4 3 3 2 2" xfId="25575"/>
    <cellStyle name="40% - Accent1 4 3 3 3" xfId="23935"/>
    <cellStyle name="40% - Accent1 4 3 30" xfId="19856"/>
    <cellStyle name="40% - Accent1 4 3 30 2" xfId="42631"/>
    <cellStyle name="40% - Accent1 4 3 31" xfId="20512"/>
    <cellStyle name="40% - Accent1 4 3 31 2" xfId="43287"/>
    <cellStyle name="40% - Accent1 4 3 32" xfId="21168"/>
    <cellStyle name="40% - Accent1 4 3 32 2" xfId="43943"/>
    <cellStyle name="40% - Accent1 4 3 33" xfId="21824"/>
    <cellStyle name="40% - Accent1 4 3 33 2" xfId="44599"/>
    <cellStyle name="40% - Accent1 4 3 34" xfId="22480"/>
    <cellStyle name="40% - Accent1 4 3 34 2" xfId="45255"/>
    <cellStyle name="40% - Accent1 4 3 35" xfId="23279"/>
    <cellStyle name="40% - Accent1 4 3 4" xfId="1816"/>
    <cellStyle name="40% - Accent1 4 3 4 2" xfId="3456"/>
    <cellStyle name="40% - Accent1 4 3 4 2 2" xfId="26231"/>
    <cellStyle name="40% - Accent1 4 3 4 3" xfId="24591"/>
    <cellStyle name="40% - Accent1 4 3 5" xfId="4112"/>
    <cellStyle name="40% - Accent1 4 3 5 2" xfId="26887"/>
    <cellStyle name="40% - Accent1 4 3 6" xfId="4768"/>
    <cellStyle name="40% - Accent1 4 3 6 2" xfId="27543"/>
    <cellStyle name="40% - Accent1 4 3 7" xfId="5424"/>
    <cellStyle name="40% - Accent1 4 3 7 2" xfId="28199"/>
    <cellStyle name="40% - Accent1 4 3 8" xfId="6080"/>
    <cellStyle name="40% - Accent1 4 3 8 2" xfId="28855"/>
    <cellStyle name="40% - Accent1 4 3 9" xfId="2472"/>
    <cellStyle name="40% - Accent1 4 3 9 2" xfId="25247"/>
    <cellStyle name="40% - Accent1 4 30" xfId="18359"/>
    <cellStyle name="40% - Accent1 4 30 2" xfId="41134"/>
    <cellStyle name="40% - Accent1 4 31" xfId="19015"/>
    <cellStyle name="40% - Accent1 4 31 2" xfId="41790"/>
    <cellStyle name="40% - Accent1 4 32" xfId="19671"/>
    <cellStyle name="40% - Accent1 4 32 2" xfId="42446"/>
    <cellStyle name="40% - Accent1 4 33" xfId="20327"/>
    <cellStyle name="40% - Accent1 4 33 2" xfId="43102"/>
    <cellStyle name="40% - Accent1 4 34" xfId="20983"/>
    <cellStyle name="40% - Accent1 4 34 2" xfId="43758"/>
    <cellStyle name="40% - Accent1 4 35" xfId="21639"/>
    <cellStyle name="40% - Accent1 4 35 2" xfId="44414"/>
    <cellStyle name="40% - Accent1 4 36" xfId="22295"/>
    <cellStyle name="40% - Accent1 4 36 2" xfId="45070"/>
    <cellStyle name="40% - Accent1 4 37" xfId="234"/>
    <cellStyle name="40% - Accent1 4 38" xfId="22951"/>
    <cellStyle name="40% - Accent1 4 4" xfId="647"/>
    <cellStyle name="40% - Accent1 4 4 10" xfId="8191"/>
    <cellStyle name="40% - Accent1 4 4 10 2" xfId="30966"/>
    <cellStyle name="40% - Accent1 4 4 11" xfId="8847"/>
    <cellStyle name="40% - Accent1 4 4 11 2" xfId="31622"/>
    <cellStyle name="40% - Accent1 4 4 12" xfId="9503"/>
    <cellStyle name="40% - Accent1 4 4 12 2" xfId="32278"/>
    <cellStyle name="40% - Accent1 4 4 13" xfId="10159"/>
    <cellStyle name="40% - Accent1 4 4 13 2" xfId="32934"/>
    <cellStyle name="40% - Accent1 4 4 14" xfId="10815"/>
    <cellStyle name="40% - Accent1 4 4 14 2" xfId="33590"/>
    <cellStyle name="40% - Accent1 4 4 15" xfId="11471"/>
    <cellStyle name="40% - Accent1 4 4 15 2" xfId="34246"/>
    <cellStyle name="40% - Accent1 4 4 16" xfId="12127"/>
    <cellStyle name="40% - Accent1 4 4 16 2" xfId="34902"/>
    <cellStyle name="40% - Accent1 4 4 17" xfId="12783"/>
    <cellStyle name="40% - Accent1 4 4 17 2" xfId="35558"/>
    <cellStyle name="40% - Accent1 4 4 18" xfId="13439"/>
    <cellStyle name="40% - Accent1 4 4 18 2" xfId="36214"/>
    <cellStyle name="40% - Accent1 4 4 19" xfId="14095"/>
    <cellStyle name="40% - Accent1 4 4 19 2" xfId="36870"/>
    <cellStyle name="40% - Accent1 4 4 2" xfId="1303"/>
    <cellStyle name="40% - Accent1 4 4 2 2" xfId="3599"/>
    <cellStyle name="40% - Accent1 4 4 2 2 2" xfId="26374"/>
    <cellStyle name="40% - Accent1 4 4 2 3" xfId="24078"/>
    <cellStyle name="40% - Accent1 4 4 20" xfId="14751"/>
    <cellStyle name="40% - Accent1 4 4 20 2" xfId="37526"/>
    <cellStyle name="40% - Accent1 4 4 21" xfId="15407"/>
    <cellStyle name="40% - Accent1 4 4 21 2" xfId="38182"/>
    <cellStyle name="40% - Accent1 4 4 22" xfId="16063"/>
    <cellStyle name="40% - Accent1 4 4 22 2" xfId="38838"/>
    <cellStyle name="40% - Accent1 4 4 23" xfId="16719"/>
    <cellStyle name="40% - Accent1 4 4 23 2" xfId="39494"/>
    <cellStyle name="40% - Accent1 4 4 24" xfId="17375"/>
    <cellStyle name="40% - Accent1 4 4 24 2" xfId="40150"/>
    <cellStyle name="40% - Accent1 4 4 25" xfId="18031"/>
    <cellStyle name="40% - Accent1 4 4 25 2" xfId="40806"/>
    <cellStyle name="40% - Accent1 4 4 26" xfId="18687"/>
    <cellStyle name="40% - Accent1 4 4 26 2" xfId="41462"/>
    <cellStyle name="40% - Accent1 4 4 27" xfId="19343"/>
    <cellStyle name="40% - Accent1 4 4 27 2" xfId="42118"/>
    <cellStyle name="40% - Accent1 4 4 28" xfId="19999"/>
    <cellStyle name="40% - Accent1 4 4 28 2" xfId="42774"/>
    <cellStyle name="40% - Accent1 4 4 29" xfId="20655"/>
    <cellStyle name="40% - Accent1 4 4 29 2" xfId="43430"/>
    <cellStyle name="40% - Accent1 4 4 3" xfId="1959"/>
    <cellStyle name="40% - Accent1 4 4 3 2" xfId="4255"/>
    <cellStyle name="40% - Accent1 4 4 3 2 2" xfId="27030"/>
    <cellStyle name="40% - Accent1 4 4 3 3" xfId="24734"/>
    <cellStyle name="40% - Accent1 4 4 30" xfId="21311"/>
    <cellStyle name="40% - Accent1 4 4 30 2" xfId="44086"/>
    <cellStyle name="40% - Accent1 4 4 31" xfId="21967"/>
    <cellStyle name="40% - Accent1 4 4 31 2" xfId="44742"/>
    <cellStyle name="40% - Accent1 4 4 32" xfId="22623"/>
    <cellStyle name="40% - Accent1 4 4 32 2" xfId="45398"/>
    <cellStyle name="40% - Accent1 4 4 33" xfId="23422"/>
    <cellStyle name="40% - Accent1 4 4 4" xfId="4911"/>
    <cellStyle name="40% - Accent1 4 4 4 2" xfId="27686"/>
    <cellStyle name="40% - Accent1 4 4 5" xfId="5567"/>
    <cellStyle name="40% - Accent1 4 4 5 2" xfId="28342"/>
    <cellStyle name="40% - Accent1 4 4 6" xfId="6223"/>
    <cellStyle name="40% - Accent1 4 4 6 2" xfId="28998"/>
    <cellStyle name="40% - Accent1 4 4 7" xfId="2943"/>
    <cellStyle name="40% - Accent1 4 4 7 2" xfId="25718"/>
    <cellStyle name="40% - Accent1 4 4 8" xfId="6879"/>
    <cellStyle name="40% - Accent1 4 4 8 2" xfId="29654"/>
    <cellStyle name="40% - Accent1 4 4 9" xfId="7535"/>
    <cellStyle name="40% - Accent1 4 4 9 2" xfId="30310"/>
    <cellStyle name="40% - Accent1 4 5" xfId="320"/>
    <cellStyle name="40% - Accent1 4 5 2" xfId="2615"/>
    <cellStyle name="40% - Accent1 4 5 2 2" xfId="25390"/>
    <cellStyle name="40% - Accent1 4 5 3" xfId="23094"/>
    <cellStyle name="40% - Accent1 4 6" xfId="975"/>
    <cellStyle name="40% - Accent1 4 6 2" xfId="3271"/>
    <cellStyle name="40% - Accent1 4 6 2 2" xfId="26046"/>
    <cellStyle name="40% - Accent1 4 6 3" xfId="23750"/>
    <cellStyle name="40% - Accent1 4 7" xfId="1631"/>
    <cellStyle name="40% - Accent1 4 7 2" xfId="3927"/>
    <cellStyle name="40% - Accent1 4 7 2 2" xfId="26702"/>
    <cellStyle name="40% - Accent1 4 7 3" xfId="24406"/>
    <cellStyle name="40% - Accent1 4 8" xfId="4583"/>
    <cellStyle name="40% - Accent1 4 8 2" xfId="27358"/>
    <cellStyle name="40% - Accent1 4 9" xfId="5239"/>
    <cellStyle name="40% - Accent1 4 9 2" xfId="28014"/>
    <cellStyle name="40% - Accent1 40" xfId="20282"/>
    <cellStyle name="40% - Accent1 40 2" xfId="43057"/>
    <cellStyle name="40% - Accent1 41" xfId="20938"/>
    <cellStyle name="40% - Accent1 41 2" xfId="43713"/>
    <cellStyle name="40% - Accent1 42" xfId="21594"/>
    <cellStyle name="40% - Accent1 42 2" xfId="44369"/>
    <cellStyle name="40% - Accent1 43" xfId="22250"/>
    <cellStyle name="40% - Accent1 43 2" xfId="45025"/>
    <cellStyle name="40% - Accent1 44" xfId="189"/>
    <cellStyle name="40% - Accent1 45" xfId="22906"/>
    <cellStyle name="40% - Accent1 5" xfId="103"/>
    <cellStyle name="40% - Accent1 5 10" xfId="5909"/>
    <cellStyle name="40% - Accent1 5 10 2" xfId="28684"/>
    <cellStyle name="40% - Accent1 5 11" xfId="2301"/>
    <cellStyle name="40% - Accent1 5 11 2" xfId="25076"/>
    <cellStyle name="40% - Accent1 5 12" xfId="6565"/>
    <cellStyle name="40% - Accent1 5 12 2" xfId="29340"/>
    <cellStyle name="40% - Accent1 5 13" xfId="7221"/>
    <cellStyle name="40% - Accent1 5 13 2" xfId="29996"/>
    <cellStyle name="40% - Accent1 5 14" xfId="7877"/>
    <cellStyle name="40% - Accent1 5 14 2" xfId="30652"/>
    <cellStyle name="40% - Accent1 5 15" xfId="8533"/>
    <cellStyle name="40% - Accent1 5 15 2" xfId="31308"/>
    <cellStyle name="40% - Accent1 5 16" xfId="9189"/>
    <cellStyle name="40% - Accent1 5 16 2" xfId="31964"/>
    <cellStyle name="40% - Accent1 5 17" xfId="9845"/>
    <cellStyle name="40% - Accent1 5 17 2" xfId="32620"/>
    <cellStyle name="40% - Accent1 5 18" xfId="10501"/>
    <cellStyle name="40% - Accent1 5 18 2" xfId="33276"/>
    <cellStyle name="40% - Accent1 5 19" xfId="11157"/>
    <cellStyle name="40% - Accent1 5 19 2" xfId="33932"/>
    <cellStyle name="40% - Accent1 5 2" xfId="174"/>
    <cellStyle name="40% - Accent1 5 2 10" xfId="2372"/>
    <cellStyle name="40% - Accent1 5 2 10 2" xfId="25147"/>
    <cellStyle name="40% - Accent1 5 2 11" xfId="6636"/>
    <cellStyle name="40% - Accent1 5 2 11 2" xfId="29411"/>
    <cellStyle name="40% - Accent1 5 2 12" xfId="7292"/>
    <cellStyle name="40% - Accent1 5 2 12 2" xfId="30067"/>
    <cellStyle name="40% - Accent1 5 2 13" xfId="7948"/>
    <cellStyle name="40% - Accent1 5 2 13 2" xfId="30723"/>
    <cellStyle name="40% - Accent1 5 2 14" xfId="8604"/>
    <cellStyle name="40% - Accent1 5 2 14 2" xfId="31379"/>
    <cellStyle name="40% - Accent1 5 2 15" xfId="9260"/>
    <cellStyle name="40% - Accent1 5 2 15 2" xfId="32035"/>
    <cellStyle name="40% - Accent1 5 2 16" xfId="9916"/>
    <cellStyle name="40% - Accent1 5 2 16 2" xfId="32691"/>
    <cellStyle name="40% - Accent1 5 2 17" xfId="10572"/>
    <cellStyle name="40% - Accent1 5 2 17 2" xfId="33347"/>
    <cellStyle name="40% - Accent1 5 2 18" xfId="11228"/>
    <cellStyle name="40% - Accent1 5 2 18 2" xfId="34003"/>
    <cellStyle name="40% - Accent1 5 2 19" xfId="11884"/>
    <cellStyle name="40% - Accent1 5 2 19 2" xfId="34659"/>
    <cellStyle name="40% - Accent1 5 2 2" xfId="588"/>
    <cellStyle name="40% - Accent1 5 2 2 10" xfId="6821"/>
    <cellStyle name="40% - Accent1 5 2 2 10 2" xfId="29596"/>
    <cellStyle name="40% - Accent1 5 2 2 11" xfId="7477"/>
    <cellStyle name="40% - Accent1 5 2 2 11 2" xfId="30252"/>
    <cellStyle name="40% - Accent1 5 2 2 12" xfId="8133"/>
    <cellStyle name="40% - Accent1 5 2 2 12 2" xfId="30908"/>
    <cellStyle name="40% - Accent1 5 2 2 13" xfId="8789"/>
    <cellStyle name="40% - Accent1 5 2 2 13 2" xfId="31564"/>
    <cellStyle name="40% - Accent1 5 2 2 14" xfId="9445"/>
    <cellStyle name="40% - Accent1 5 2 2 14 2" xfId="32220"/>
    <cellStyle name="40% - Accent1 5 2 2 15" xfId="10101"/>
    <cellStyle name="40% - Accent1 5 2 2 15 2" xfId="32876"/>
    <cellStyle name="40% - Accent1 5 2 2 16" xfId="10757"/>
    <cellStyle name="40% - Accent1 5 2 2 16 2" xfId="33532"/>
    <cellStyle name="40% - Accent1 5 2 2 17" xfId="11413"/>
    <cellStyle name="40% - Accent1 5 2 2 17 2" xfId="34188"/>
    <cellStyle name="40% - Accent1 5 2 2 18" xfId="12069"/>
    <cellStyle name="40% - Accent1 5 2 2 18 2" xfId="34844"/>
    <cellStyle name="40% - Accent1 5 2 2 19" xfId="12725"/>
    <cellStyle name="40% - Accent1 5 2 2 19 2" xfId="35500"/>
    <cellStyle name="40% - Accent1 5 2 2 2" xfId="917"/>
    <cellStyle name="40% - Accent1 5 2 2 2 10" xfId="8461"/>
    <cellStyle name="40% - Accent1 5 2 2 2 10 2" xfId="31236"/>
    <cellStyle name="40% - Accent1 5 2 2 2 11" xfId="9117"/>
    <cellStyle name="40% - Accent1 5 2 2 2 11 2" xfId="31892"/>
    <cellStyle name="40% - Accent1 5 2 2 2 12" xfId="9773"/>
    <cellStyle name="40% - Accent1 5 2 2 2 12 2" xfId="32548"/>
    <cellStyle name="40% - Accent1 5 2 2 2 13" xfId="10429"/>
    <cellStyle name="40% - Accent1 5 2 2 2 13 2" xfId="33204"/>
    <cellStyle name="40% - Accent1 5 2 2 2 14" xfId="11085"/>
    <cellStyle name="40% - Accent1 5 2 2 2 14 2" xfId="33860"/>
    <cellStyle name="40% - Accent1 5 2 2 2 15" xfId="11741"/>
    <cellStyle name="40% - Accent1 5 2 2 2 15 2" xfId="34516"/>
    <cellStyle name="40% - Accent1 5 2 2 2 16" xfId="12397"/>
    <cellStyle name="40% - Accent1 5 2 2 2 16 2" xfId="35172"/>
    <cellStyle name="40% - Accent1 5 2 2 2 17" xfId="13053"/>
    <cellStyle name="40% - Accent1 5 2 2 2 17 2" xfId="35828"/>
    <cellStyle name="40% - Accent1 5 2 2 2 18" xfId="13709"/>
    <cellStyle name="40% - Accent1 5 2 2 2 18 2" xfId="36484"/>
    <cellStyle name="40% - Accent1 5 2 2 2 19" xfId="14365"/>
    <cellStyle name="40% - Accent1 5 2 2 2 19 2" xfId="37140"/>
    <cellStyle name="40% - Accent1 5 2 2 2 2" xfId="1573"/>
    <cellStyle name="40% - Accent1 5 2 2 2 2 2" xfId="3869"/>
    <cellStyle name="40% - Accent1 5 2 2 2 2 2 2" xfId="26644"/>
    <cellStyle name="40% - Accent1 5 2 2 2 2 3" xfId="24348"/>
    <cellStyle name="40% - Accent1 5 2 2 2 20" xfId="15021"/>
    <cellStyle name="40% - Accent1 5 2 2 2 20 2" xfId="37796"/>
    <cellStyle name="40% - Accent1 5 2 2 2 21" xfId="15677"/>
    <cellStyle name="40% - Accent1 5 2 2 2 21 2" xfId="38452"/>
    <cellStyle name="40% - Accent1 5 2 2 2 22" xfId="16333"/>
    <cellStyle name="40% - Accent1 5 2 2 2 22 2" xfId="39108"/>
    <cellStyle name="40% - Accent1 5 2 2 2 23" xfId="16989"/>
    <cellStyle name="40% - Accent1 5 2 2 2 23 2" xfId="39764"/>
    <cellStyle name="40% - Accent1 5 2 2 2 24" xfId="17645"/>
    <cellStyle name="40% - Accent1 5 2 2 2 24 2" xfId="40420"/>
    <cellStyle name="40% - Accent1 5 2 2 2 25" xfId="18301"/>
    <cellStyle name="40% - Accent1 5 2 2 2 25 2" xfId="41076"/>
    <cellStyle name="40% - Accent1 5 2 2 2 26" xfId="18957"/>
    <cellStyle name="40% - Accent1 5 2 2 2 26 2" xfId="41732"/>
    <cellStyle name="40% - Accent1 5 2 2 2 27" xfId="19613"/>
    <cellStyle name="40% - Accent1 5 2 2 2 27 2" xfId="42388"/>
    <cellStyle name="40% - Accent1 5 2 2 2 28" xfId="20269"/>
    <cellStyle name="40% - Accent1 5 2 2 2 28 2" xfId="43044"/>
    <cellStyle name="40% - Accent1 5 2 2 2 29" xfId="20925"/>
    <cellStyle name="40% - Accent1 5 2 2 2 29 2" xfId="43700"/>
    <cellStyle name="40% - Accent1 5 2 2 2 3" xfId="2229"/>
    <cellStyle name="40% - Accent1 5 2 2 2 3 2" xfId="4525"/>
    <cellStyle name="40% - Accent1 5 2 2 2 3 2 2" xfId="27300"/>
    <cellStyle name="40% - Accent1 5 2 2 2 3 3" xfId="25004"/>
    <cellStyle name="40% - Accent1 5 2 2 2 30" xfId="21581"/>
    <cellStyle name="40% - Accent1 5 2 2 2 30 2" xfId="44356"/>
    <cellStyle name="40% - Accent1 5 2 2 2 31" xfId="22237"/>
    <cellStyle name="40% - Accent1 5 2 2 2 31 2" xfId="45012"/>
    <cellStyle name="40% - Accent1 5 2 2 2 32" xfId="22893"/>
    <cellStyle name="40% - Accent1 5 2 2 2 32 2" xfId="45668"/>
    <cellStyle name="40% - Accent1 5 2 2 2 33" xfId="23692"/>
    <cellStyle name="40% - Accent1 5 2 2 2 4" xfId="5181"/>
    <cellStyle name="40% - Accent1 5 2 2 2 4 2" xfId="27956"/>
    <cellStyle name="40% - Accent1 5 2 2 2 5" xfId="5837"/>
    <cellStyle name="40% - Accent1 5 2 2 2 5 2" xfId="28612"/>
    <cellStyle name="40% - Accent1 5 2 2 2 6" xfId="6493"/>
    <cellStyle name="40% - Accent1 5 2 2 2 6 2" xfId="29268"/>
    <cellStyle name="40% - Accent1 5 2 2 2 7" xfId="3213"/>
    <cellStyle name="40% - Accent1 5 2 2 2 7 2" xfId="25988"/>
    <cellStyle name="40% - Accent1 5 2 2 2 8" xfId="7149"/>
    <cellStyle name="40% - Accent1 5 2 2 2 8 2" xfId="29924"/>
    <cellStyle name="40% - Accent1 5 2 2 2 9" xfId="7805"/>
    <cellStyle name="40% - Accent1 5 2 2 2 9 2" xfId="30580"/>
    <cellStyle name="40% - Accent1 5 2 2 20" xfId="13381"/>
    <cellStyle name="40% - Accent1 5 2 2 20 2" xfId="36156"/>
    <cellStyle name="40% - Accent1 5 2 2 21" xfId="14037"/>
    <cellStyle name="40% - Accent1 5 2 2 21 2" xfId="36812"/>
    <cellStyle name="40% - Accent1 5 2 2 22" xfId="14693"/>
    <cellStyle name="40% - Accent1 5 2 2 22 2" xfId="37468"/>
    <cellStyle name="40% - Accent1 5 2 2 23" xfId="15349"/>
    <cellStyle name="40% - Accent1 5 2 2 23 2" xfId="38124"/>
    <cellStyle name="40% - Accent1 5 2 2 24" xfId="16005"/>
    <cellStyle name="40% - Accent1 5 2 2 24 2" xfId="38780"/>
    <cellStyle name="40% - Accent1 5 2 2 25" xfId="16661"/>
    <cellStyle name="40% - Accent1 5 2 2 25 2" xfId="39436"/>
    <cellStyle name="40% - Accent1 5 2 2 26" xfId="17317"/>
    <cellStyle name="40% - Accent1 5 2 2 26 2" xfId="40092"/>
    <cellStyle name="40% - Accent1 5 2 2 27" xfId="17973"/>
    <cellStyle name="40% - Accent1 5 2 2 27 2" xfId="40748"/>
    <cellStyle name="40% - Accent1 5 2 2 28" xfId="18629"/>
    <cellStyle name="40% - Accent1 5 2 2 28 2" xfId="41404"/>
    <cellStyle name="40% - Accent1 5 2 2 29" xfId="19285"/>
    <cellStyle name="40% - Accent1 5 2 2 29 2" xfId="42060"/>
    <cellStyle name="40% - Accent1 5 2 2 3" xfId="1245"/>
    <cellStyle name="40% - Accent1 5 2 2 3 2" xfId="2885"/>
    <cellStyle name="40% - Accent1 5 2 2 3 2 2" xfId="25660"/>
    <cellStyle name="40% - Accent1 5 2 2 3 3" xfId="24020"/>
    <cellStyle name="40% - Accent1 5 2 2 30" xfId="19941"/>
    <cellStyle name="40% - Accent1 5 2 2 30 2" xfId="42716"/>
    <cellStyle name="40% - Accent1 5 2 2 31" xfId="20597"/>
    <cellStyle name="40% - Accent1 5 2 2 31 2" xfId="43372"/>
    <cellStyle name="40% - Accent1 5 2 2 32" xfId="21253"/>
    <cellStyle name="40% - Accent1 5 2 2 32 2" xfId="44028"/>
    <cellStyle name="40% - Accent1 5 2 2 33" xfId="21909"/>
    <cellStyle name="40% - Accent1 5 2 2 33 2" xfId="44684"/>
    <cellStyle name="40% - Accent1 5 2 2 34" xfId="22565"/>
    <cellStyle name="40% - Accent1 5 2 2 34 2" xfId="45340"/>
    <cellStyle name="40% - Accent1 5 2 2 35" xfId="23364"/>
    <cellStyle name="40% - Accent1 5 2 2 4" xfId="1901"/>
    <cellStyle name="40% - Accent1 5 2 2 4 2" xfId="3541"/>
    <cellStyle name="40% - Accent1 5 2 2 4 2 2" xfId="26316"/>
    <cellStyle name="40% - Accent1 5 2 2 4 3" xfId="24676"/>
    <cellStyle name="40% - Accent1 5 2 2 5" xfId="4197"/>
    <cellStyle name="40% - Accent1 5 2 2 5 2" xfId="26972"/>
    <cellStyle name="40% - Accent1 5 2 2 6" xfId="4853"/>
    <cellStyle name="40% - Accent1 5 2 2 6 2" xfId="27628"/>
    <cellStyle name="40% - Accent1 5 2 2 7" xfId="5509"/>
    <cellStyle name="40% - Accent1 5 2 2 7 2" xfId="28284"/>
    <cellStyle name="40% - Accent1 5 2 2 8" xfId="6165"/>
    <cellStyle name="40% - Accent1 5 2 2 8 2" xfId="28940"/>
    <cellStyle name="40% - Accent1 5 2 2 9" xfId="2557"/>
    <cellStyle name="40% - Accent1 5 2 2 9 2" xfId="25332"/>
    <cellStyle name="40% - Accent1 5 2 20" xfId="12540"/>
    <cellStyle name="40% - Accent1 5 2 20 2" xfId="35315"/>
    <cellStyle name="40% - Accent1 5 2 21" xfId="13196"/>
    <cellStyle name="40% - Accent1 5 2 21 2" xfId="35971"/>
    <cellStyle name="40% - Accent1 5 2 22" xfId="13852"/>
    <cellStyle name="40% - Accent1 5 2 22 2" xfId="36627"/>
    <cellStyle name="40% - Accent1 5 2 23" xfId="14508"/>
    <cellStyle name="40% - Accent1 5 2 23 2" xfId="37283"/>
    <cellStyle name="40% - Accent1 5 2 24" xfId="15164"/>
    <cellStyle name="40% - Accent1 5 2 24 2" xfId="37939"/>
    <cellStyle name="40% - Accent1 5 2 25" xfId="15820"/>
    <cellStyle name="40% - Accent1 5 2 25 2" xfId="38595"/>
    <cellStyle name="40% - Accent1 5 2 26" xfId="16476"/>
    <cellStyle name="40% - Accent1 5 2 26 2" xfId="39251"/>
    <cellStyle name="40% - Accent1 5 2 27" xfId="17132"/>
    <cellStyle name="40% - Accent1 5 2 27 2" xfId="39907"/>
    <cellStyle name="40% - Accent1 5 2 28" xfId="17788"/>
    <cellStyle name="40% - Accent1 5 2 28 2" xfId="40563"/>
    <cellStyle name="40% - Accent1 5 2 29" xfId="18444"/>
    <cellStyle name="40% - Accent1 5 2 29 2" xfId="41219"/>
    <cellStyle name="40% - Accent1 5 2 3" xfId="732"/>
    <cellStyle name="40% - Accent1 5 2 3 10" xfId="8276"/>
    <cellStyle name="40% - Accent1 5 2 3 10 2" xfId="31051"/>
    <cellStyle name="40% - Accent1 5 2 3 11" xfId="8932"/>
    <cellStyle name="40% - Accent1 5 2 3 11 2" xfId="31707"/>
    <cellStyle name="40% - Accent1 5 2 3 12" xfId="9588"/>
    <cellStyle name="40% - Accent1 5 2 3 12 2" xfId="32363"/>
    <cellStyle name="40% - Accent1 5 2 3 13" xfId="10244"/>
    <cellStyle name="40% - Accent1 5 2 3 13 2" xfId="33019"/>
    <cellStyle name="40% - Accent1 5 2 3 14" xfId="10900"/>
    <cellStyle name="40% - Accent1 5 2 3 14 2" xfId="33675"/>
    <cellStyle name="40% - Accent1 5 2 3 15" xfId="11556"/>
    <cellStyle name="40% - Accent1 5 2 3 15 2" xfId="34331"/>
    <cellStyle name="40% - Accent1 5 2 3 16" xfId="12212"/>
    <cellStyle name="40% - Accent1 5 2 3 16 2" xfId="34987"/>
    <cellStyle name="40% - Accent1 5 2 3 17" xfId="12868"/>
    <cellStyle name="40% - Accent1 5 2 3 17 2" xfId="35643"/>
    <cellStyle name="40% - Accent1 5 2 3 18" xfId="13524"/>
    <cellStyle name="40% - Accent1 5 2 3 18 2" xfId="36299"/>
    <cellStyle name="40% - Accent1 5 2 3 19" xfId="14180"/>
    <cellStyle name="40% - Accent1 5 2 3 19 2" xfId="36955"/>
    <cellStyle name="40% - Accent1 5 2 3 2" xfId="1388"/>
    <cellStyle name="40% - Accent1 5 2 3 2 2" xfId="3684"/>
    <cellStyle name="40% - Accent1 5 2 3 2 2 2" xfId="26459"/>
    <cellStyle name="40% - Accent1 5 2 3 2 3" xfId="24163"/>
    <cellStyle name="40% - Accent1 5 2 3 20" xfId="14836"/>
    <cellStyle name="40% - Accent1 5 2 3 20 2" xfId="37611"/>
    <cellStyle name="40% - Accent1 5 2 3 21" xfId="15492"/>
    <cellStyle name="40% - Accent1 5 2 3 21 2" xfId="38267"/>
    <cellStyle name="40% - Accent1 5 2 3 22" xfId="16148"/>
    <cellStyle name="40% - Accent1 5 2 3 22 2" xfId="38923"/>
    <cellStyle name="40% - Accent1 5 2 3 23" xfId="16804"/>
    <cellStyle name="40% - Accent1 5 2 3 23 2" xfId="39579"/>
    <cellStyle name="40% - Accent1 5 2 3 24" xfId="17460"/>
    <cellStyle name="40% - Accent1 5 2 3 24 2" xfId="40235"/>
    <cellStyle name="40% - Accent1 5 2 3 25" xfId="18116"/>
    <cellStyle name="40% - Accent1 5 2 3 25 2" xfId="40891"/>
    <cellStyle name="40% - Accent1 5 2 3 26" xfId="18772"/>
    <cellStyle name="40% - Accent1 5 2 3 26 2" xfId="41547"/>
    <cellStyle name="40% - Accent1 5 2 3 27" xfId="19428"/>
    <cellStyle name="40% - Accent1 5 2 3 27 2" xfId="42203"/>
    <cellStyle name="40% - Accent1 5 2 3 28" xfId="20084"/>
    <cellStyle name="40% - Accent1 5 2 3 28 2" xfId="42859"/>
    <cellStyle name="40% - Accent1 5 2 3 29" xfId="20740"/>
    <cellStyle name="40% - Accent1 5 2 3 29 2" xfId="43515"/>
    <cellStyle name="40% - Accent1 5 2 3 3" xfId="2044"/>
    <cellStyle name="40% - Accent1 5 2 3 3 2" xfId="4340"/>
    <cellStyle name="40% - Accent1 5 2 3 3 2 2" xfId="27115"/>
    <cellStyle name="40% - Accent1 5 2 3 3 3" xfId="24819"/>
    <cellStyle name="40% - Accent1 5 2 3 30" xfId="21396"/>
    <cellStyle name="40% - Accent1 5 2 3 30 2" xfId="44171"/>
    <cellStyle name="40% - Accent1 5 2 3 31" xfId="22052"/>
    <cellStyle name="40% - Accent1 5 2 3 31 2" xfId="44827"/>
    <cellStyle name="40% - Accent1 5 2 3 32" xfId="22708"/>
    <cellStyle name="40% - Accent1 5 2 3 32 2" xfId="45483"/>
    <cellStyle name="40% - Accent1 5 2 3 33" xfId="23507"/>
    <cellStyle name="40% - Accent1 5 2 3 4" xfId="4996"/>
    <cellStyle name="40% - Accent1 5 2 3 4 2" xfId="27771"/>
    <cellStyle name="40% - Accent1 5 2 3 5" xfId="5652"/>
    <cellStyle name="40% - Accent1 5 2 3 5 2" xfId="28427"/>
    <cellStyle name="40% - Accent1 5 2 3 6" xfId="6308"/>
    <cellStyle name="40% - Accent1 5 2 3 6 2" xfId="29083"/>
    <cellStyle name="40% - Accent1 5 2 3 7" xfId="3028"/>
    <cellStyle name="40% - Accent1 5 2 3 7 2" xfId="25803"/>
    <cellStyle name="40% - Accent1 5 2 3 8" xfId="6964"/>
    <cellStyle name="40% - Accent1 5 2 3 8 2" xfId="29739"/>
    <cellStyle name="40% - Accent1 5 2 3 9" xfId="7620"/>
    <cellStyle name="40% - Accent1 5 2 3 9 2" xfId="30395"/>
    <cellStyle name="40% - Accent1 5 2 30" xfId="19100"/>
    <cellStyle name="40% - Accent1 5 2 30 2" xfId="41875"/>
    <cellStyle name="40% - Accent1 5 2 31" xfId="19756"/>
    <cellStyle name="40% - Accent1 5 2 31 2" xfId="42531"/>
    <cellStyle name="40% - Accent1 5 2 32" xfId="20412"/>
    <cellStyle name="40% - Accent1 5 2 32 2" xfId="43187"/>
    <cellStyle name="40% - Accent1 5 2 33" xfId="21068"/>
    <cellStyle name="40% - Accent1 5 2 33 2" xfId="43843"/>
    <cellStyle name="40% - Accent1 5 2 34" xfId="21724"/>
    <cellStyle name="40% - Accent1 5 2 34 2" xfId="44499"/>
    <cellStyle name="40% - Accent1 5 2 35" xfId="22380"/>
    <cellStyle name="40% - Accent1 5 2 35 2" xfId="45155"/>
    <cellStyle name="40% - Accent1 5 2 36" xfId="23036"/>
    <cellStyle name="40% - Accent1 5 2 4" xfId="405"/>
    <cellStyle name="40% - Accent1 5 2 4 2" xfId="2700"/>
    <cellStyle name="40% - Accent1 5 2 4 2 2" xfId="25475"/>
    <cellStyle name="40% - Accent1 5 2 4 3" xfId="23179"/>
    <cellStyle name="40% - Accent1 5 2 5" xfId="1060"/>
    <cellStyle name="40% - Accent1 5 2 5 2" xfId="3356"/>
    <cellStyle name="40% - Accent1 5 2 5 2 2" xfId="26131"/>
    <cellStyle name="40% - Accent1 5 2 5 3" xfId="23835"/>
    <cellStyle name="40% - Accent1 5 2 6" xfId="1716"/>
    <cellStyle name="40% - Accent1 5 2 6 2" xfId="4012"/>
    <cellStyle name="40% - Accent1 5 2 6 2 2" xfId="26787"/>
    <cellStyle name="40% - Accent1 5 2 6 3" xfId="24491"/>
    <cellStyle name="40% - Accent1 5 2 7" xfId="4668"/>
    <cellStyle name="40% - Accent1 5 2 7 2" xfId="27443"/>
    <cellStyle name="40% - Accent1 5 2 8" xfId="5324"/>
    <cellStyle name="40% - Accent1 5 2 8 2" xfId="28099"/>
    <cellStyle name="40% - Accent1 5 2 9" xfId="5980"/>
    <cellStyle name="40% - Accent1 5 2 9 2" xfId="28755"/>
    <cellStyle name="40% - Accent1 5 20" xfId="11813"/>
    <cellStyle name="40% - Accent1 5 20 2" xfId="34588"/>
    <cellStyle name="40% - Accent1 5 21" xfId="12469"/>
    <cellStyle name="40% - Accent1 5 21 2" xfId="35244"/>
    <cellStyle name="40% - Accent1 5 22" xfId="13125"/>
    <cellStyle name="40% - Accent1 5 22 2" xfId="35900"/>
    <cellStyle name="40% - Accent1 5 23" xfId="13781"/>
    <cellStyle name="40% - Accent1 5 23 2" xfId="36556"/>
    <cellStyle name="40% - Accent1 5 24" xfId="14437"/>
    <cellStyle name="40% - Accent1 5 24 2" xfId="37212"/>
    <cellStyle name="40% - Accent1 5 25" xfId="15093"/>
    <cellStyle name="40% - Accent1 5 25 2" xfId="37868"/>
    <cellStyle name="40% - Accent1 5 26" xfId="15749"/>
    <cellStyle name="40% - Accent1 5 26 2" xfId="38524"/>
    <cellStyle name="40% - Accent1 5 27" xfId="16405"/>
    <cellStyle name="40% - Accent1 5 27 2" xfId="39180"/>
    <cellStyle name="40% - Accent1 5 28" xfId="17061"/>
    <cellStyle name="40% - Accent1 5 28 2" xfId="39836"/>
    <cellStyle name="40% - Accent1 5 29" xfId="17717"/>
    <cellStyle name="40% - Accent1 5 29 2" xfId="40492"/>
    <cellStyle name="40% - Accent1 5 3" xfId="518"/>
    <cellStyle name="40% - Accent1 5 3 10" xfId="6750"/>
    <cellStyle name="40% - Accent1 5 3 10 2" xfId="29525"/>
    <cellStyle name="40% - Accent1 5 3 11" xfId="7406"/>
    <cellStyle name="40% - Accent1 5 3 11 2" xfId="30181"/>
    <cellStyle name="40% - Accent1 5 3 12" xfId="8062"/>
    <cellStyle name="40% - Accent1 5 3 12 2" xfId="30837"/>
    <cellStyle name="40% - Accent1 5 3 13" xfId="8718"/>
    <cellStyle name="40% - Accent1 5 3 13 2" xfId="31493"/>
    <cellStyle name="40% - Accent1 5 3 14" xfId="9374"/>
    <cellStyle name="40% - Accent1 5 3 14 2" xfId="32149"/>
    <cellStyle name="40% - Accent1 5 3 15" xfId="10030"/>
    <cellStyle name="40% - Accent1 5 3 15 2" xfId="32805"/>
    <cellStyle name="40% - Accent1 5 3 16" xfId="10686"/>
    <cellStyle name="40% - Accent1 5 3 16 2" xfId="33461"/>
    <cellStyle name="40% - Accent1 5 3 17" xfId="11342"/>
    <cellStyle name="40% - Accent1 5 3 17 2" xfId="34117"/>
    <cellStyle name="40% - Accent1 5 3 18" xfId="11998"/>
    <cellStyle name="40% - Accent1 5 3 18 2" xfId="34773"/>
    <cellStyle name="40% - Accent1 5 3 19" xfId="12654"/>
    <cellStyle name="40% - Accent1 5 3 19 2" xfId="35429"/>
    <cellStyle name="40% - Accent1 5 3 2" xfId="846"/>
    <cellStyle name="40% - Accent1 5 3 2 10" xfId="8390"/>
    <cellStyle name="40% - Accent1 5 3 2 10 2" xfId="31165"/>
    <cellStyle name="40% - Accent1 5 3 2 11" xfId="9046"/>
    <cellStyle name="40% - Accent1 5 3 2 11 2" xfId="31821"/>
    <cellStyle name="40% - Accent1 5 3 2 12" xfId="9702"/>
    <cellStyle name="40% - Accent1 5 3 2 12 2" xfId="32477"/>
    <cellStyle name="40% - Accent1 5 3 2 13" xfId="10358"/>
    <cellStyle name="40% - Accent1 5 3 2 13 2" xfId="33133"/>
    <cellStyle name="40% - Accent1 5 3 2 14" xfId="11014"/>
    <cellStyle name="40% - Accent1 5 3 2 14 2" xfId="33789"/>
    <cellStyle name="40% - Accent1 5 3 2 15" xfId="11670"/>
    <cellStyle name="40% - Accent1 5 3 2 15 2" xfId="34445"/>
    <cellStyle name="40% - Accent1 5 3 2 16" xfId="12326"/>
    <cellStyle name="40% - Accent1 5 3 2 16 2" xfId="35101"/>
    <cellStyle name="40% - Accent1 5 3 2 17" xfId="12982"/>
    <cellStyle name="40% - Accent1 5 3 2 17 2" xfId="35757"/>
    <cellStyle name="40% - Accent1 5 3 2 18" xfId="13638"/>
    <cellStyle name="40% - Accent1 5 3 2 18 2" xfId="36413"/>
    <cellStyle name="40% - Accent1 5 3 2 19" xfId="14294"/>
    <cellStyle name="40% - Accent1 5 3 2 19 2" xfId="37069"/>
    <cellStyle name="40% - Accent1 5 3 2 2" xfId="1502"/>
    <cellStyle name="40% - Accent1 5 3 2 2 2" xfId="3798"/>
    <cellStyle name="40% - Accent1 5 3 2 2 2 2" xfId="26573"/>
    <cellStyle name="40% - Accent1 5 3 2 2 3" xfId="24277"/>
    <cellStyle name="40% - Accent1 5 3 2 20" xfId="14950"/>
    <cellStyle name="40% - Accent1 5 3 2 20 2" xfId="37725"/>
    <cellStyle name="40% - Accent1 5 3 2 21" xfId="15606"/>
    <cellStyle name="40% - Accent1 5 3 2 21 2" xfId="38381"/>
    <cellStyle name="40% - Accent1 5 3 2 22" xfId="16262"/>
    <cellStyle name="40% - Accent1 5 3 2 22 2" xfId="39037"/>
    <cellStyle name="40% - Accent1 5 3 2 23" xfId="16918"/>
    <cellStyle name="40% - Accent1 5 3 2 23 2" xfId="39693"/>
    <cellStyle name="40% - Accent1 5 3 2 24" xfId="17574"/>
    <cellStyle name="40% - Accent1 5 3 2 24 2" xfId="40349"/>
    <cellStyle name="40% - Accent1 5 3 2 25" xfId="18230"/>
    <cellStyle name="40% - Accent1 5 3 2 25 2" xfId="41005"/>
    <cellStyle name="40% - Accent1 5 3 2 26" xfId="18886"/>
    <cellStyle name="40% - Accent1 5 3 2 26 2" xfId="41661"/>
    <cellStyle name="40% - Accent1 5 3 2 27" xfId="19542"/>
    <cellStyle name="40% - Accent1 5 3 2 27 2" xfId="42317"/>
    <cellStyle name="40% - Accent1 5 3 2 28" xfId="20198"/>
    <cellStyle name="40% - Accent1 5 3 2 28 2" xfId="42973"/>
    <cellStyle name="40% - Accent1 5 3 2 29" xfId="20854"/>
    <cellStyle name="40% - Accent1 5 3 2 29 2" xfId="43629"/>
    <cellStyle name="40% - Accent1 5 3 2 3" xfId="2158"/>
    <cellStyle name="40% - Accent1 5 3 2 3 2" xfId="4454"/>
    <cellStyle name="40% - Accent1 5 3 2 3 2 2" xfId="27229"/>
    <cellStyle name="40% - Accent1 5 3 2 3 3" xfId="24933"/>
    <cellStyle name="40% - Accent1 5 3 2 30" xfId="21510"/>
    <cellStyle name="40% - Accent1 5 3 2 30 2" xfId="44285"/>
    <cellStyle name="40% - Accent1 5 3 2 31" xfId="22166"/>
    <cellStyle name="40% - Accent1 5 3 2 31 2" xfId="44941"/>
    <cellStyle name="40% - Accent1 5 3 2 32" xfId="22822"/>
    <cellStyle name="40% - Accent1 5 3 2 32 2" xfId="45597"/>
    <cellStyle name="40% - Accent1 5 3 2 33" xfId="23621"/>
    <cellStyle name="40% - Accent1 5 3 2 4" xfId="5110"/>
    <cellStyle name="40% - Accent1 5 3 2 4 2" xfId="27885"/>
    <cellStyle name="40% - Accent1 5 3 2 5" xfId="5766"/>
    <cellStyle name="40% - Accent1 5 3 2 5 2" xfId="28541"/>
    <cellStyle name="40% - Accent1 5 3 2 6" xfId="6422"/>
    <cellStyle name="40% - Accent1 5 3 2 6 2" xfId="29197"/>
    <cellStyle name="40% - Accent1 5 3 2 7" xfId="3142"/>
    <cellStyle name="40% - Accent1 5 3 2 7 2" xfId="25917"/>
    <cellStyle name="40% - Accent1 5 3 2 8" xfId="7078"/>
    <cellStyle name="40% - Accent1 5 3 2 8 2" xfId="29853"/>
    <cellStyle name="40% - Accent1 5 3 2 9" xfId="7734"/>
    <cellStyle name="40% - Accent1 5 3 2 9 2" xfId="30509"/>
    <cellStyle name="40% - Accent1 5 3 20" xfId="13310"/>
    <cellStyle name="40% - Accent1 5 3 20 2" xfId="36085"/>
    <cellStyle name="40% - Accent1 5 3 21" xfId="13966"/>
    <cellStyle name="40% - Accent1 5 3 21 2" xfId="36741"/>
    <cellStyle name="40% - Accent1 5 3 22" xfId="14622"/>
    <cellStyle name="40% - Accent1 5 3 22 2" xfId="37397"/>
    <cellStyle name="40% - Accent1 5 3 23" xfId="15278"/>
    <cellStyle name="40% - Accent1 5 3 23 2" xfId="38053"/>
    <cellStyle name="40% - Accent1 5 3 24" xfId="15934"/>
    <cellStyle name="40% - Accent1 5 3 24 2" xfId="38709"/>
    <cellStyle name="40% - Accent1 5 3 25" xfId="16590"/>
    <cellStyle name="40% - Accent1 5 3 25 2" xfId="39365"/>
    <cellStyle name="40% - Accent1 5 3 26" xfId="17246"/>
    <cellStyle name="40% - Accent1 5 3 26 2" xfId="40021"/>
    <cellStyle name="40% - Accent1 5 3 27" xfId="17902"/>
    <cellStyle name="40% - Accent1 5 3 27 2" xfId="40677"/>
    <cellStyle name="40% - Accent1 5 3 28" xfId="18558"/>
    <cellStyle name="40% - Accent1 5 3 28 2" xfId="41333"/>
    <cellStyle name="40% - Accent1 5 3 29" xfId="19214"/>
    <cellStyle name="40% - Accent1 5 3 29 2" xfId="41989"/>
    <cellStyle name="40% - Accent1 5 3 3" xfId="1174"/>
    <cellStyle name="40% - Accent1 5 3 3 2" xfId="2814"/>
    <cellStyle name="40% - Accent1 5 3 3 2 2" xfId="25589"/>
    <cellStyle name="40% - Accent1 5 3 3 3" xfId="23949"/>
    <cellStyle name="40% - Accent1 5 3 30" xfId="19870"/>
    <cellStyle name="40% - Accent1 5 3 30 2" xfId="42645"/>
    <cellStyle name="40% - Accent1 5 3 31" xfId="20526"/>
    <cellStyle name="40% - Accent1 5 3 31 2" xfId="43301"/>
    <cellStyle name="40% - Accent1 5 3 32" xfId="21182"/>
    <cellStyle name="40% - Accent1 5 3 32 2" xfId="43957"/>
    <cellStyle name="40% - Accent1 5 3 33" xfId="21838"/>
    <cellStyle name="40% - Accent1 5 3 33 2" xfId="44613"/>
    <cellStyle name="40% - Accent1 5 3 34" xfId="22494"/>
    <cellStyle name="40% - Accent1 5 3 34 2" xfId="45269"/>
    <cellStyle name="40% - Accent1 5 3 35" xfId="23293"/>
    <cellStyle name="40% - Accent1 5 3 4" xfId="1830"/>
    <cellStyle name="40% - Accent1 5 3 4 2" xfId="3470"/>
    <cellStyle name="40% - Accent1 5 3 4 2 2" xfId="26245"/>
    <cellStyle name="40% - Accent1 5 3 4 3" xfId="24605"/>
    <cellStyle name="40% - Accent1 5 3 5" xfId="4126"/>
    <cellStyle name="40% - Accent1 5 3 5 2" xfId="26901"/>
    <cellStyle name="40% - Accent1 5 3 6" xfId="4782"/>
    <cellStyle name="40% - Accent1 5 3 6 2" xfId="27557"/>
    <cellStyle name="40% - Accent1 5 3 7" xfId="5438"/>
    <cellStyle name="40% - Accent1 5 3 7 2" xfId="28213"/>
    <cellStyle name="40% - Accent1 5 3 8" xfId="6094"/>
    <cellStyle name="40% - Accent1 5 3 8 2" xfId="28869"/>
    <cellStyle name="40% - Accent1 5 3 9" xfId="2486"/>
    <cellStyle name="40% - Accent1 5 3 9 2" xfId="25261"/>
    <cellStyle name="40% - Accent1 5 30" xfId="18373"/>
    <cellStyle name="40% - Accent1 5 30 2" xfId="41148"/>
    <cellStyle name="40% - Accent1 5 31" xfId="19029"/>
    <cellStyle name="40% - Accent1 5 31 2" xfId="41804"/>
    <cellStyle name="40% - Accent1 5 32" xfId="19685"/>
    <cellStyle name="40% - Accent1 5 32 2" xfId="42460"/>
    <cellStyle name="40% - Accent1 5 33" xfId="20341"/>
    <cellStyle name="40% - Accent1 5 33 2" xfId="43116"/>
    <cellStyle name="40% - Accent1 5 34" xfId="20997"/>
    <cellStyle name="40% - Accent1 5 34 2" xfId="43772"/>
    <cellStyle name="40% - Accent1 5 35" xfId="21653"/>
    <cellStyle name="40% - Accent1 5 35 2" xfId="44428"/>
    <cellStyle name="40% - Accent1 5 36" xfId="22309"/>
    <cellStyle name="40% - Accent1 5 36 2" xfId="45084"/>
    <cellStyle name="40% - Accent1 5 37" xfId="248"/>
    <cellStyle name="40% - Accent1 5 38" xfId="22965"/>
    <cellStyle name="40% - Accent1 5 4" xfId="661"/>
    <cellStyle name="40% - Accent1 5 4 10" xfId="8205"/>
    <cellStyle name="40% - Accent1 5 4 10 2" xfId="30980"/>
    <cellStyle name="40% - Accent1 5 4 11" xfId="8861"/>
    <cellStyle name="40% - Accent1 5 4 11 2" xfId="31636"/>
    <cellStyle name="40% - Accent1 5 4 12" xfId="9517"/>
    <cellStyle name="40% - Accent1 5 4 12 2" xfId="32292"/>
    <cellStyle name="40% - Accent1 5 4 13" xfId="10173"/>
    <cellStyle name="40% - Accent1 5 4 13 2" xfId="32948"/>
    <cellStyle name="40% - Accent1 5 4 14" xfId="10829"/>
    <cellStyle name="40% - Accent1 5 4 14 2" xfId="33604"/>
    <cellStyle name="40% - Accent1 5 4 15" xfId="11485"/>
    <cellStyle name="40% - Accent1 5 4 15 2" xfId="34260"/>
    <cellStyle name="40% - Accent1 5 4 16" xfId="12141"/>
    <cellStyle name="40% - Accent1 5 4 16 2" xfId="34916"/>
    <cellStyle name="40% - Accent1 5 4 17" xfId="12797"/>
    <cellStyle name="40% - Accent1 5 4 17 2" xfId="35572"/>
    <cellStyle name="40% - Accent1 5 4 18" xfId="13453"/>
    <cellStyle name="40% - Accent1 5 4 18 2" xfId="36228"/>
    <cellStyle name="40% - Accent1 5 4 19" xfId="14109"/>
    <cellStyle name="40% - Accent1 5 4 19 2" xfId="36884"/>
    <cellStyle name="40% - Accent1 5 4 2" xfId="1317"/>
    <cellStyle name="40% - Accent1 5 4 2 2" xfId="3613"/>
    <cellStyle name="40% - Accent1 5 4 2 2 2" xfId="26388"/>
    <cellStyle name="40% - Accent1 5 4 2 3" xfId="24092"/>
    <cellStyle name="40% - Accent1 5 4 20" xfId="14765"/>
    <cellStyle name="40% - Accent1 5 4 20 2" xfId="37540"/>
    <cellStyle name="40% - Accent1 5 4 21" xfId="15421"/>
    <cellStyle name="40% - Accent1 5 4 21 2" xfId="38196"/>
    <cellStyle name="40% - Accent1 5 4 22" xfId="16077"/>
    <cellStyle name="40% - Accent1 5 4 22 2" xfId="38852"/>
    <cellStyle name="40% - Accent1 5 4 23" xfId="16733"/>
    <cellStyle name="40% - Accent1 5 4 23 2" xfId="39508"/>
    <cellStyle name="40% - Accent1 5 4 24" xfId="17389"/>
    <cellStyle name="40% - Accent1 5 4 24 2" xfId="40164"/>
    <cellStyle name="40% - Accent1 5 4 25" xfId="18045"/>
    <cellStyle name="40% - Accent1 5 4 25 2" xfId="40820"/>
    <cellStyle name="40% - Accent1 5 4 26" xfId="18701"/>
    <cellStyle name="40% - Accent1 5 4 26 2" xfId="41476"/>
    <cellStyle name="40% - Accent1 5 4 27" xfId="19357"/>
    <cellStyle name="40% - Accent1 5 4 27 2" xfId="42132"/>
    <cellStyle name="40% - Accent1 5 4 28" xfId="20013"/>
    <cellStyle name="40% - Accent1 5 4 28 2" xfId="42788"/>
    <cellStyle name="40% - Accent1 5 4 29" xfId="20669"/>
    <cellStyle name="40% - Accent1 5 4 29 2" xfId="43444"/>
    <cellStyle name="40% - Accent1 5 4 3" xfId="1973"/>
    <cellStyle name="40% - Accent1 5 4 3 2" xfId="4269"/>
    <cellStyle name="40% - Accent1 5 4 3 2 2" xfId="27044"/>
    <cellStyle name="40% - Accent1 5 4 3 3" xfId="24748"/>
    <cellStyle name="40% - Accent1 5 4 30" xfId="21325"/>
    <cellStyle name="40% - Accent1 5 4 30 2" xfId="44100"/>
    <cellStyle name="40% - Accent1 5 4 31" xfId="21981"/>
    <cellStyle name="40% - Accent1 5 4 31 2" xfId="44756"/>
    <cellStyle name="40% - Accent1 5 4 32" xfId="22637"/>
    <cellStyle name="40% - Accent1 5 4 32 2" xfId="45412"/>
    <cellStyle name="40% - Accent1 5 4 33" xfId="23436"/>
    <cellStyle name="40% - Accent1 5 4 4" xfId="4925"/>
    <cellStyle name="40% - Accent1 5 4 4 2" xfId="27700"/>
    <cellStyle name="40% - Accent1 5 4 5" xfId="5581"/>
    <cellStyle name="40% - Accent1 5 4 5 2" xfId="28356"/>
    <cellStyle name="40% - Accent1 5 4 6" xfId="6237"/>
    <cellStyle name="40% - Accent1 5 4 6 2" xfId="29012"/>
    <cellStyle name="40% - Accent1 5 4 7" xfId="2957"/>
    <cellStyle name="40% - Accent1 5 4 7 2" xfId="25732"/>
    <cellStyle name="40% - Accent1 5 4 8" xfId="6893"/>
    <cellStyle name="40% - Accent1 5 4 8 2" xfId="29668"/>
    <cellStyle name="40% - Accent1 5 4 9" xfId="7549"/>
    <cellStyle name="40% - Accent1 5 4 9 2" xfId="30324"/>
    <cellStyle name="40% - Accent1 5 5" xfId="334"/>
    <cellStyle name="40% - Accent1 5 5 2" xfId="2629"/>
    <cellStyle name="40% - Accent1 5 5 2 2" xfId="25404"/>
    <cellStyle name="40% - Accent1 5 5 3" xfId="23108"/>
    <cellStyle name="40% - Accent1 5 6" xfId="989"/>
    <cellStyle name="40% - Accent1 5 6 2" xfId="3285"/>
    <cellStyle name="40% - Accent1 5 6 2 2" xfId="26060"/>
    <cellStyle name="40% - Accent1 5 6 3" xfId="23764"/>
    <cellStyle name="40% - Accent1 5 7" xfId="1645"/>
    <cellStyle name="40% - Accent1 5 7 2" xfId="3941"/>
    <cellStyle name="40% - Accent1 5 7 2 2" xfId="26716"/>
    <cellStyle name="40% - Accent1 5 7 3" xfId="24420"/>
    <cellStyle name="40% - Accent1 5 8" xfId="4597"/>
    <cellStyle name="40% - Accent1 5 8 2" xfId="27372"/>
    <cellStyle name="40% - Accent1 5 9" xfId="5253"/>
    <cellStyle name="40% - Accent1 5 9 2" xfId="28028"/>
    <cellStyle name="40% - Accent1 6" xfId="116"/>
    <cellStyle name="40% - Accent1 6 10" xfId="2314"/>
    <cellStyle name="40% - Accent1 6 10 2" xfId="25089"/>
    <cellStyle name="40% - Accent1 6 11" xfId="6578"/>
    <cellStyle name="40% - Accent1 6 11 2" xfId="29353"/>
    <cellStyle name="40% - Accent1 6 12" xfId="7234"/>
    <cellStyle name="40% - Accent1 6 12 2" xfId="30009"/>
    <cellStyle name="40% - Accent1 6 13" xfId="7890"/>
    <cellStyle name="40% - Accent1 6 13 2" xfId="30665"/>
    <cellStyle name="40% - Accent1 6 14" xfId="8546"/>
    <cellStyle name="40% - Accent1 6 14 2" xfId="31321"/>
    <cellStyle name="40% - Accent1 6 15" xfId="9202"/>
    <cellStyle name="40% - Accent1 6 15 2" xfId="31977"/>
    <cellStyle name="40% - Accent1 6 16" xfId="9858"/>
    <cellStyle name="40% - Accent1 6 16 2" xfId="32633"/>
    <cellStyle name="40% - Accent1 6 17" xfId="10514"/>
    <cellStyle name="40% - Accent1 6 17 2" xfId="33289"/>
    <cellStyle name="40% - Accent1 6 18" xfId="11170"/>
    <cellStyle name="40% - Accent1 6 18 2" xfId="33945"/>
    <cellStyle name="40% - Accent1 6 19" xfId="11826"/>
    <cellStyle name="40% - Accent1 6 19 2" xfId="34601"/>
    <cellStyle name="40% - Accent1 6 2" xfId="530"/>
    <cellStyle name="40% - Accent1 6 2 10" xfId="6763"/>
    <cellStyle name="40% - Accent1 6 2 10 2" xfId="29538"/>
    <cellStyle name="40% - Accent1 6 2 11" xfId="7419"/>
    <cellStyle name="40% - Accent1 6 2 11 2" xfId="30194"/>
    <cellStyle name="40% - Accent1 6 2 12" xfId="8075"/>
    <cellStyle name="40% - Accent1 6 2 12 2" xfId="30850"/>
    <cellStyle name="40% - Accent1 6 2 13" xfId="8731"/>
    <cellStyle name="40% - Accent1 6 2 13 2" xfId="31506"/>
    <cellStyle name="40% - Accent1 6 2 14" xfId="9387"/>
    <cellStyle name="40% - Accent1 6 2 14 2" xfId="32162"/>
    <cellStyle name="40% - Accent1 6 2 15" xfId="10043"/>
    <cellStyle name="40% - Accent1 6 2 15 2" xfId="32818"/>
    <cellStyle name="40% - Accent1 6 2 16" xfId="10699"/>
    <cellStyle name="40% - Accent1 6 2 16 2" xfId="33474"/>
    <cellStyle name="40% - Accent1 6 2 17" xfId="11355"/>
    <cellStyle name="40% - Accent1 6 2 17 2" xfId="34130"/>
    <cellStyle name="40% - Accent1 6 2 18" xfId="12011"/>
    <cellStyle name="40% - Accent1 6 2 18 2" xfId="34786"/>
    <cellStyle name="40% - Accent1 6 2 19" xfId="12667"/>
    <cellStyle name="40% - Accent1 6 2 19 2" xfId="35442"/>
    <cellStyle name="40% - Accent1 6 2 2" xfId="859"/>
    <cellStyle name="40% - Accent1 6 2 2 10" xfId="8403"/>
    <cellStyle name="40% - Accent1 6 2 2 10 2" xfId="31178"/>
    <cellStyle name="40% - Accent1 6 2 2 11" xfId="9059"/>
    <cellStyle name="40% - Accent1 6 2 2 11 2" xfId="31834"/>
    <cellStyle name="40% - Accent1 6 2 2 12" xfId="9715"/>
    <cellStyle name="40% - Accent1 6 2 2 12 2" xfId="32490"/>
    <cellStyle name="40% - Accent1 6 2 2 13" xfId="10371"/>
    <cellStyle name="40% - Accent1 6 2 2 13 2" xfId="33146"/>
    <cellStyle name="40% - Accent1 6 2 2 14" xfId="11027"/>
    <cellStyle name="40% - Accent1 6 2 2 14 2" xfId="33802"/>
    <cellStyle name="40% - Accent1 6 2 2 15" xfId="11683"/>
    <cellStyle name="40% - Accent1 6 2 2 15 2" xfId="34458"/>
    <cellStyle name="40% - Accent1 6 2 2 16" xfId="12339"/>
    <cellStyle name="40% - Accent1 6 2 2 16 2" xfId="35114"/>
    <cellStyle name="40% - Accent1 6 2 2 17" xfId="12995"/>
    <cellStyle name="40% - Accent1 6 2 2 17 2" xfId="35770"/>
    <cellStyle name="40% - Accent1 6 2 2 18" xfId="13651"/>
    <cellStyle name="40% - Accent1 6 2 2 18 2" xfId="36426"/>
    <cellStyle name="40% - Accent1 6 2 2 19" xfId="14307"/>
    <cellStyle name="40% - Accent1 6 2 2 19 2" xfId="37082"/>
    <cellStyle name="40% - Accent1 6 2 2 2" xfId="1515"/>
    <cellStyle name="40% - Accent1 6 2 2 2 2" xfId="3811"/>
    <cellStyle name="40% - Accent1 6 2 2 2 2 2" xfId="26586"/>
    <cellStyle name="40% - Accent1 6 2 2 2 3" xfId="24290"/>
    <cellStyle name="40% - Accent1 6 2 2 20" xfId="14963"/>
    <cellStyle name="40% - Accent1 6 2 2 20 2" xfId="37738"/>
    <cellStyle name="40% - Accent1 6 2 2 21" xfId="15619"/>
    <cellStyle name="40% - Accent1 6 2 2 21 2" xfId="38394"/>
    <cellStyle name="40% - Accent1 6 2 2 22" xfId="16275"/>
    <cellStyle name="40% - Accent1 6 2 2 22 2" xfId="39050"/>
    <cellStyle name="40% - Accent1 6 2 2 23" xfId="16931"/>
    <cellStyle name="40% - Accent1 6 2 2 23 2" xfId="39706"/>
    <cellStyle name="40% - Accent1 6 2 2 24" xfId="17587"/>
    <cellStyle name="40% - Accent1 6 2 2 24 2" xfId="40362"/>
    <cellStyle name="40% - Accent1 6 2 2 25" xfId="18243"/>
    <cellStyle name="40% - Accent1 6 2 2 25 2" xfId="41018"/>
    <cellStyle name="40% - Accent1 6 2 2 26" xfId="18899"/>
    <cellStyle name="40% - Accent1 6 2 2 26 2" xfId="41674"/>
    <cellStyle name="40% - Accent1 6 2 2 27" xfId="19555"/>
    <cellStyle name="40% - Accent1 6 2 2 27 2" xfId="42330"/>
    <cellStyle name="40% - Accent1 6 2 2 28" xfId="20211"/>
    <cellStyle name="40% - Accent1 6 2 2 28 2" xfId="42986"/>
    <cellStyle name="40% - Accent1 6 2 2 29" xfId="20867"/>
    <cellStyle name="40% - Accent1 6 2 2 29 2" xfId="43642"/>
    <cellStyle name="40% - Accent1 6 2 2 3" xfId="2171"/>
    <cellStyle name="40% - Accent1 6 2 2 3 2" xfId="4467"/>
    <cellStyle name="40% - Accent1 6 2 2 3 2 2" xfId="27242"/>
    <cellStyle name="40% - Accent1 6 2 2 3 3" xfId="24946"/>
    <cellStyle name="40% - Accent1 6 2 2 30" xfId="21523"/>
    <cellStyle name="40% - Accent1 6 2 2 30 2" xfId="44298"/>
    <cellStyle name="40% - Accent1 6 2 2 31" xfId="22179"/>
    <cellStyle name="40% - Accent1 6 2 2 31 2" xfId="44954"/>
    <cellStyle name="40% - Accent1 6 2 2 32" xfId="22835"/>
    <cellStyle name="40% - Accent1 6 2 2 32 2" xfId="45610"/>
    <cellStyle name="40% - Accent1 6 2 2 33" xfId="23634"/>
    <cellStyle name="40% - Accent1 6 2 2 4" xfId="5123"/>
    <cellStyle name="40% - Accent1 6 2 2 4 2" xfId="27898"/>
    <cellStyle name="40% - Accent1 6 2 2 5" xfId="5779"/>
    <cellStyle name="40% - Accent1 6 2 2 5 2" xfId="28554"/>
    <cellStyle name="40% - Accent1 6 2 2 6" xfId="6435"/>
    <cellStyle name="40% - Accent1 6 2 2 6 2" xfId="29210"/>
    <cellStyle name="40% - Accent1 6 2 2 7" xfId="3155"/>
    <cellStyle name="40% - Accent1 6 2 2 7 2" xfId="25930"/>
    <cellStyle name="40% - Accent1 6 2 2 8" xfId="7091"/>
    <cellStyle name="40% - Accent1 6 2 2 8 2" xfId="29866"/>
    <cellStyle name="40% - Accent1 6 2 2 9" xfId="7747"/>
    <cellStyle name="40% - Accent1 6 2 2 9 2" xfId="30522"/>
    <cellStyle name="40% - Accent1 6 2 20" xfId="13323"/>
    <cellStyle name="40% - Accent1 6 2 20 2" xfId="36098"/>
    <cellStyle name="40% - Accent1 6 2 21" xfId="13979"/>
    <cellStyle name="40% - Accent1 6 2 21 2" xfId="36754"/>
    <cellStyle name="40% - Accent1 6 2 22" xfId="14635"/>
    <cellStyle name="40% - Accent1 6 2 22 2" xfId="37410"/>
    <cellStyle name="40% - Accent1 6 2 23" xfId="15291"/>
    <cellStyle name="40% - Accent1 6 2 23 2" xfId="38066"/>
    <cellStyle name="40% - Accent1 6 2 24" xfId="15947"/>
    <cellStyle name="40% - Accent1 6 2 24 2" xfId="38722"/>
    <cellStyle name="40% - Accent1 6 2 25" xfId="16603"/>
    <cellStyle name="40% - Accent1 6 2 25 2" xfId="39378"/>
    <cellStyle name="40% - Accent1 6 2 26" xfId="17259"/>
    <cellStyle name="40% - Accent1 6 2 26 2" xfId="40034"/>
    <cellStyle name="40% - Accent1 6 2 27" xfId="17915"/>
    <cellStyle name="40% - Accent1 6 2 27 2" xfId="40690"/>
    <cellStyle name="40% - Accent1 6 2 28" xfId="18571"/>
    <cellStyle name="40% - Accent1 6 2 28 2" xfId="41346"/>
    <cellStyle name="40% - Accent1 6 2 29" xfId="19227"/>
    <cellStyle name="40% - Accent1 6 2 29 2" xfId="42002"/>
    <cellStyle name="40% - Accent1 6 2 3" xfId="1187"/>
    <cellStyle name="40% - Accent1 6 2 3 2" xfId="2827"/>
    <cellStyle name="40% - Accent1 6 2 3 2 2" xfId="25602"/>
    <cellStyle name="40% - Accent1 6 2 3 3" xfId="23962"/>
    <cellStyle name="40% - Accent1 6 2 30" xfId="19883"/>
    <cellStyle name="40% - Accent1 6 2 30 2" xfId="42658"/>
    <cellStyle name="40% - Accent1 6 2 31" xfId="20539"/>
    <cellStyle name="40% - Accent1 6 2 31 2" xfId="43314"/>
    <cellStyle name="40% - Accent1 6 2 32" xfId="21195"/>
    <cellStyle name="40% - Accent1 6 2 32 2" xfId="43970"/>
    <cellStyle name="40% - Accent1 6 2 33" xfId="21851"/>
    <cellStyle name="40% - Accent1 6 2 33 2" xfId="44626"/>
    <cellStyle name="40% - Accent1 6 2 34" xfId="22507"/>
    <cellStyle name="40% - Accent1 6 2 34 2" xfId="45282"/>
    <cellStyle name="40% - Accent1 6 2 35" xfId="23306"/>
    <cellStyle name="40% - Accent1 6 2 4" xfId="1843"/>
    <cellStyle name="40% - Accent1 6 2 4 2" xfId="3483"/>
    <cellStyle name="40% - Accent1 6 2 4 2 2" xfId="26258"/>
    <cellStyle name="40% - Accent1 6 2 4 3" xfId="24618"/>
    <cellStyle name="40% - Accent1 6 2 5" xfId="4139"/>
    <cellStyle name="40% - Accent1 6 2 5 2" xfId="26914"/>
    <cellStyle name="40% - Accent1 6 2 6" xfId="4795"/>
    <cellStyle name="40% - Accent1 6 2 6 2" xfId="27570"/>
    <cellStyle name="40% - Accent1 6 2 7" xfId="5451"/>
    <cellStyle name="40% - Accent1 6 2 7 2" xfId="28226"/>
    <cellStyle name="40% - Accent1 6 2 8" xfId="6107"/>
    <cellStyle name="40% - Accent1 6 2 8 2" xfId="28882"/>
    <cellStyle name="40% - Accent1 6 2 9" xfId="2499"/>
    <cellStyle name="40% - Accent1 6 2 9 2" xfId="25274"/>
    <cellStyle name="40% - Accent1 6 20" xfId="12482"/>
    <cellStyle name="40% - Accent1 6 20 2" xfId="35257"/>
    <cellStyle name="40% - Accent1 6 21" xfId="13138"/>
    <cellStyle name="40% - Accent1 6 21 2" xfId="35913"/>
    <cellStyle name="40% - Accent1 6 22" xfId="13794"/>
    <cellStyle name="40% - Accent1 6 22 2" xfId="36569"/>
    <cellStyle name="40% - Accent1 6 23" xfId="14450"/>
    <cellStyle name="40% - Accent1 6 23 2" xfId="37225"/>
    <cellStyle name="40% - Accent1 6 24" xfId="15106"/>
    <cellStyle name="40% - Accent1 6 24 2" xfId="37881"/>
    <cellStyle name="40% - Accent1 6 25" xfId="15762"/>
    <cellStyle name="40% - Accent1 6 25 2" xfId="38537"/>
    <cellStyle name="40% - Accent1 6 26" xfId="16418"/>
    <cellStyle name="40% - Accent1 6 26 2" xfId="39193"/>
    <cellStyle name="40% - Accent1 6 27" xfId="17074"/>
    <cellStyle name="40% - Accent1 6 27 2" xfId="39849"/>
    <cellStyle name="40% - Accent1 6 28" xfId="17730"/>
    <cellStyle name="40% - Accent1 6 28 2" xfId="40505"/>
    <cellStyle name="40% - Accent1 6 29" xfId="18386"/>
    <cellStyle name="40% - Accent1 6 29 2" xfId="41161"/>
    <cellStyle name="40% - Accent1 6 3" xfId="674"/>
    <cellStyle name="40% - Accent1 6 3 10" xfId="8218"/>
    <cellStyle name="40% - Accent1 6 3 10 2" xfId="30993"/>
    <cellStyle name="40% - Accent1 6 3 11" xfId="8874"/>
    <cellStyle name="40% - Accent1 6 3 11 2" xfId="31649"/>
    <cellStyle name="40% - Accent1 6 3 12" xfId="9530"/>
    <cellStyle name="40% - Accent1 6 3 12 2" xfId="32305"/>
    <cellStyle name="40% - Accent1 6 3 13" xfId="10186"/>
    <cellStyle name="40% - Accent1 6 3 13 2" xfId="32961"/>
    <cellStyle name="40% - Accent1 6 3 14" xfId="10842"/>
    <cellStyle name="40% - Accent1 6 3 14 2" xfId="33617"/>
    <cellStyle name="40% - Accent1 6 3 15" xfId="11498"/>
    <cellStyle name="40% - Accent1 6 3 15 2" xfId="34273"/>
    <cellStyle name="40% - Accent1 6 3 16" xfId="12154"/>
    <cellStyle name="40% - Accent1 6 3 16 2" xfId="34929"/>
    <cellStyle name="40% - Accent1 6 3 17" xfId="12810"/>
    <cellStyle name="40% - Accent1 6 3 17 2" xfId="35585"/>
    <cellStyle name="40% - Accent1 6 3 18" xfId="13466"/>
    <cellStyle name="40% - Accent1 6 3 18 2" xfId="36241"/>
    <cellStyle name="40% - Accent1 6 3 19" xfId="14122"/>
    <cellStyle name="40% - Accent1 6 3 19 2" xfId="36897"/>
    <cellStyle name="40% - Accent1 6 3 2" xfId="1330"/>
    <cellStyle name="40% - Accent1 6 3 2 2" xfId="3626"/>
    <cellStyle name="40% - Accent1 6 3 2 2 2" xfId="26401"/>
    <cellStyle name="40% - Accent1 6 3 2 3" xfId="24105"/>
    <cellStyle name="40% - Accent1 6 3 20" xfId="14778"/>
    <cellStyle name="40% - Accent1 6 3 20 2" xfId="37553"/>
    <cellStyle name="40% - Accent1 6 3 21" xfId="15434"/>
    <cellStyle name="40% - Accent1 6 3 21 2" xfId="38209"/>
    <cellStyle name="40% - Accent1 6 3 22" xfId="16090"/>
    <cellStyle name="40% - Accent1 6 3 22 2" xfId="38865"/>
    <cellStyle name="40% - Accent1 6 3 23" xfId="16746"/>
    <cellStyle name="40% - Accent1 6 3 23 2" xfId="39521"/>
    <cellStyle name="40% - Accent1 6 3 24" xfId="17402"/>
    <cellStyle name="40% - Accent1 6 3 24 2" xfId="40177"/>
    <cellStyle name="40% - Accent1 6 3 25" xfId="18058"/>
    <cellStyle name="40% - Accent1 6 3 25 2" xfId="40833"/>
    <cellStyle name="40% - Accent1 6 3 26" xfId="18714"/>
    <cellStyle name="40% - Accent1 6 3 26 2" xfId="41489"/>
    <cellStyle name="40% - Accent1 6 3 27" xfId="19370"/>
    <cellStyle name="40% - Accent1 6 3 27 2" xfId="42145"/>
    <cellStyle name="40% - Accent1 6 3 28" xfId="20026"/>
    <cellStyle name="40% - Accent1 6 3 28 2" xfId="42801"/>
    <cellStyle name="40% - Accent1 6 3 29" xfId="20682"/>
    <cellStyle name="40% - Accent1 6 3 29 2" xfId="43457"/>
    <cellStyle name="40% - Accent1 6 3 3" xfId="1986"/>
    <cellStyle name="40% - Accent1 6 3 3 2" xfId="4282"/>
    <cellStyle name="40% - Accent1 6 3 3 2 2" xfId="27057"/>
    <cellStyle name="40% - Accent1 6 3 3 3" xfId="24761"/>
    <cellStyle name="40% - Accent1 6 3 30" xfId="21338"/>
    <cellStyle name="40% - Accent1 6 3 30 2" xfId="44113"/>
    <cellStyle name="40% - Accent1 6 3 31" xfId="21994"/>
    <cellStyle name="40% - Accent1 6 3 31 2" xfId="44769"/>
    <cellStyle name="40% - Accent1 6 3 32" xfId="22650"/>
    <cellStyle name="40% - Accent1 6 3 32 2" xfId="45425"/>
    <cellStyle name="40% - Accent1 6 3 33" xfId="23449"/>
    <cellStyle name="40% - Accent1 6 3 4" xfId="4938"/>
    <cellStyle name="40% - Accent1 6 3 4 2" xfId="27713"/>
    <cellStyle name="40% - Accent1 6 3 5" xfId="5594"/>
    <cellStyle name="40% - Accent1 6 3 5 2" xfId="28369"/>
    <cellStyle name="40% - Accent1 6 3 6" xfId="6250"/>
    <cellStyle name="40% - Accent1 6 3 6 2" xfId="29025"/>
    <cellStyle name="40% - Accent1 6 3 7" xfId="2970"/>
    <cellStyle name="40% - Accent1 6 3 7 2" xfId="25745"/>
    <cellStyle name="40% - Accent1 6 3 8" xfId="6906"/>
    <cellStyle name="40% - Accent1 6 3 8 2" xfId="29681"/>
    <cellStyle name="40% - Accent1 6 3 9" xfId="7562"/>
    <cellStyle name="40% - Accent1 6 3 9 2" xfId="30337"/>
    <cellStyle name="40% - Accent1 6 30" xfId="19042"/>
    <cellStyle name="40% - Accent1 6 30 2" xfId="41817"/>
    <cellStyle name="40% - Accent1 6 31" xfId="19698"/>
    <cellStyle name="40% - Accent1 6 31 2" xfId="42473"/>
    <cellStyle name="40% - Accent1 6 32" xfId="20354"/>
    <cellStyle name="40% - Accent1 6 32 2" xfId="43129"/>
    <cellStyle name="40% - Accent1 6 33" xfId="21010"/>
    <cellStyle name="40% - Accent1 6 33 2" xfId="43785"/>
    <cellStyle name="40% - Accent1 6 34" xfId="21666"/>
    <cellStyle name="40% - Accent1 6 34 2" xfId="44441"/>
    <cellStyle name="40% - Accent1 6 35" xfId="22322"/>
    <cellStyle name="40% - Accent1 6 35 2" xfId="45097"/>
    <cellStyle name="40% - Accent1 6 36" xfId="261"/>
    <cellStyle name="40% - Accent1 6 37" xfId="22978"/>
    <cellStyle name="40% - Accent1 6 4" xfId="347"/>
    <cellStyle name="40% - Accent1 6 4 2" xfId="2642"/>
    <cellStyle name="40% - Accent1 6 4 2 2" xfId="25417"/>
    <cellStyle name="40% - Accent1 6 4 3" xfId="23121"/>
    <cellStyle name="40% - Accent1 6 5" xfId="1002"/>
    <cellStyle name="40% - Accent1 6 5 2" xfId="3298"/>
    <cellStyle name="40% - Accent1 6 5 2 2" xfId="26073"/>
    <cellStyle name="40% - Accent1 6 5 3" xfId="23777"/>
    <cellStyle name="40% - Accent1 6 6" xfId="1658"/>
    <cellStyle name="40% - Accent1 6 6 2" xfId="3954"/>
    <cellStyle name="40% - Accent1 6 6 2 2" xfId="26729"/>
    <cellStyle name="40% - Accent1 6 6 3" xfId="24433"/>
    <cellStyle name="40% - Accent1 6 7" xfId="4610"/>
    <cellStyle name="40% - Accent1 6 7 2" xfId="27385"/>
    <cellStyle name="40% - Accent1 6 8" xfId="5266"/>
    <cellStyle name="40% - Accent1 6 8 2" xfId="28041"/>
    <cellStyle name="40% - Accent1 6 9" xfId="5922"/>
    <cellStyle name="40% - Accent1 6 9 2" xfId="28697"/>
    <cellStyle name="40% - Accent1 7" xfId="420"/>
    <cellStyle name="40% - Accent1 7 10" xfId="6651"/>
    <cellStyle name="40% - Accent1 7 10 2" xfId="29426"/>
    <cellStyle name="40% - Accent1 7 11" xfId="7307"/>
    <cellStyle name="40% - Accent1 7 11 2" xfId="30082"/>
    <cellStyle name="40% - Accent1 7 12" xfId="7963"/>
    <cellStyle name="40% - Accent1 7 12 2" xfId="30738"/>
    <cellStyle name="40% - Accent1 7 13" xfId="8619"/>
    <cellStyle name="40% - Accent1 7 13 2" xfId="31394"/>
    <cellStyle name="40% - Accent1 7 14" xfId="9275"/>
    <cellStyle name="40% - Accent1 7 14 2" xfId="32050"/>
    <cellStyle name="40% - Accent1 7 15" xfId="9931"/>
    <cellStyle name="40% - Accent1 7 15 2" xfId="32706"/>
    <cellStyle name="40% - Accent1 7 16" xfId="10587"/>
    <cellStyle name="40% - Accent1 7 16 2" xfId="33362"/>
    <cellStyle name="40% - Accent1 7 17" xfId="11243"/>
    <cellStyle name="40% - Accent1 7 17 2" xfId="34018"/>
    <cellStyle name="40% - Accent1 7 18" xfId="11899"/>
    <cellStyle name="40% - Accent1 7 18 2" xfId="34674"/>
    <cellStyle name="40% - Accent1 7 19" xfId="12555"/>
    <cellStyle name="40% - Accent1 7 19 2" xfId="35330"/>
    <cellStyle name="40% - Accent1 7 2" xfId="747"/>
    <cellStyle name="40% - Accent1 7 2 10" xfId="8291"/>
    <cellStyle name="40% - Accent1 7 2 10 2" xfId="31066"/>
    <cellStyle name="40% - Accent1 7 2 11" xfId="8947"/>
    <cellStyle name="40% - Accent1 7 2 11 2" xfId="31722"/>
    <cellStyle name="40% - Accent1 7 2 12" xfId="9603"/>
    <cellStyle name="40% - Accent1 7 2 12 2" xfId="32378"/>
    <cellStyle name="40% - Accent1 7 2 13" xfId="10259"/>
    <cellStyle name="40% - Accent1 7 2 13 2" xfId="33034"/>
    <cellStyle name="40% - Accent1 7 2 14" xfId="10915"/>
    <cellStyle name="40% - Accent1 7 2 14 2" xfId="33690"/>
    <cellStyle name="40% - Accent1 7 2 15" xfId="11571"/>
    <cellStyle name="40% - Accent1 7 2 15 2" xfId="34346"/>
    <cellStyle name="40% - Accent1 7 2 16" xfId="12227"/>
    <cellStyle name="40% - Accent1 7 2 16 2" xfId="35002"/>
    <cellStyle name="40% - Accent1 7 2 17" xfId="12883"/>
    <cellStyle name="40% - Accent1 7 2 17 2" xfId="35658"/>
    <cellStyle name="40% - Accent1 7 2 18" xfId="13539"/>
    <cellStyle name="40% - Accent1 7 2 18 2" xfId="36314"/>
    <cellStyle name="40% - Accent1 7 2 19" xfId="14195"/>
    <cellStyle name="40% - Accent1 7 2 19 2" xfId="36970"/>
    <cellStyle name="40% - Accent1 7 2 2" xfId="1403"/>
    <cellStyle name="40% - Accent1 7 2 2 2" xfId="3699"/>
    <cellStyle name="40% - Accent1 7 2 2 2 2" xfId="26474"/>
    <cellStyle name="40% - Accent1 7 2 2 3" xfId="24178"/>
    <cellStyle name="40% - Accent1 7 2 20" xfId="14851"/>
    <cellStyle name="40% - Accent1 7 2 20 2" xfId="37626"/>
    <cellStyle name="40% - Accent1 7 2 21" xfId="15507"/>
    <cellStyle name="40% - Accent1 7 2 21 2" xfId="38282"/>
    <cellStyle name="40% - Accent1 7 2 22" xfId="16163"/>
    <cellStyle name="40% - Accent1 7 2 22 2" xfId="38938"/>
    <cellStyle name="40% - Accent1 7 2 23" xfId="16819"/>
    <cellStyle name="40% - Accent1 7 2 23 2" xfId="39594"/>
    <cellStyle name="40% - Accent1 7 2 24" xfId="17475"/>
    <cellStyle name="40% - Accent1 7 2 24 2" xfId="40250"/>
    <cellStyle name="40% - Accent1 7 2 25" xfId="18131"/>
    <cellStyle name="40% - Accent1 7 2 25 2" xfId="40906"/>
    <cellStyle name="40% - Accent1 7 2 26" xfId="18787"/>
    <cellStyle name="40% - Accent1 7 2 26 2" xfId="41562"/>
    <cellStyle name="40% - Accent1 7 2 27" xfId="19443"/>
    <cellStyle name="40% - Accent1 7 2 27 2" xfId="42218"/>
    <cellStyle name="40% - Accent1 7 2 28" xfId="20099"/>
    <cellStyle name="40% - Accent1 7 2 28 2" xfId="42874"/>
    <cellStyle name="40% - Accent1 7 2 29" xfId="20755"/>
    <cellStyle name="40% - Accent1 7 2 29 2" xfId="43530"/>
    <cellStyle name="40% - Accent1 7 2 3" xfId="2059"/>
    <cellStyle name="40% - Accent1 7 2 3 2" xfId="4355"/>
    <cellStyle name="40% - Accent1 7 2 3 2 2" xfId="27130"/>
    <cellStyle name="40% - Accent1 7 2 3 3" xfId="24834"/>
    <cellStyle name="40% - Accent1 7 2 30" xfId="21411"/>
    <cellStyle name="40% - Accent1 7 2 30 2" xfId="44186"/>
    <cellStyle name="40% - Accent1 7 2 31" xfId="22067"/>
    <cellStyle name="40% - Accent1 7 2 31 2" xfId="44842"/>
    <cellStyle name="40% - Accent1 7 2 32" xfId="22723"/>
    <cellStyle name="40% - Accent1 7 2 32 2" xfId="45498"/>
    <cellStyle name="40% - Accent1 7 2 33" xfId="23522"/>
    <cellStyle name="40% - Accent1 7 2 4" xfId="5011"/>
    <cellStyle name="40% - Accent1 7 2 4 2" xfId="27786"/>
    <cellStyle name="40% - Accent1 7 2 5" xfId="5667"/>
    <cellStyle name="40% - Accent1 7 2 5 2" xfId="28442"/>
    <cellStyle name="40% - Accent1 7 2 6" xfId="6323"/>
    <cellStyle name="40% - Accent1 7 2 6 2" xfId="29098"/>
    <cellStyle name="40% - Accent1 7 2 7" xfId="3043"/>
    <cellStyle name="40% - Accent1 7 2 7 2" xfId="25818"/>
    <cellStyle name="40% - Accent1 7 2 8" xfId="6979"/>
    <cellStyle name="40% - Accent1 7 2 8 2" xfId="29754"/>
    <cellStyle name="40% - Accent1 7 2 9" xfId="7635"/>
    <cellStyle name="40% - Accent1 7 2 9 2" xfId="30410"/>
    <cellStyle name="40% - Accent1 7 20" xfId="13211"/>
    <cellStyle name="40% - Accent1 7 20 2" xfId="35986"/>
    <cellStyle name="40% - Accent1 7 21" xfId="13867"/>
    <cellStyle name="40% - Accent1 7 21 2" xfId="36642"/>
    <cellStyle name="40% - Accent1 7 22" xfId="14523"/>
    <cellStyle name="40% - Accent1 7 22 2" xfId="37298"/>
    <cellStyle name="40% - Accent1 7 23" xfId="15179"/>
    <cellStyle name="40% - Accent1 7 23 2" xfId="37954"/>
    <cellStyle name="40% - Accent1 7 24" xfId="15835"/>
    <cellStyle name="40% - Accent1 7 24 2" xfId="38610"/>
    <cellStyle name="40% - Accent1 7 25" xfId="16491"/>
    <cellStyle name="40% - Accent1 7 25 2" xfId="39266"/>
    <cellStyle name="40% - Accent1 7 26" xfId="17147"/>
    <cellStyle name="40% - Accent1 7 26 2" xfId="39922"/>
    <cellStyle name="40% - Accent1 7 27" xfId="17803"/>
    <cellStyle name="40% - Accent1 7 27 2" xfId="40578"/>
    <cellStyle name="40% - Accent1 7 28" xfId="18459"/>
    <cellStyle name="40% - Accent1 7 28 2" xfId="41234"/>
    <cellStyle name="40% - Accent1 7 29" xfId="19115"/>
    <cellStyle name="40% - Accent1 7 29 2" xfId="41890"/>
    <cellStyle name="40% - Accent1 7 3" xfId="1075"/>
    <cellStyle name="40% - Accent1 7 3 2" xfId="2715"/>
    <cellStyle name="40% - Accent1 7 3 2 2" xfId="25490"/>
    <cellStyle name="40% - Accent1 7 3 3" xfId="23850"/>
    <cellStyle name="40% - Accent1 7 30" xfId="19771"/>
    <cellStyle name="40% - Accent1 7 30 2" xfId="42546"/>
    <cellStyle name="40% - Accent1 7 31" xfId="20427"/>
    <cellStyle name="40% - Accent1 7 31 2" xfId="43202"/>
    <cellStyle name="40% - Accent1 7 32" xfId="21083"/>
    <cellStyle name="40% - Accent1 7 32 2" xfId="43858"/>
    <cellStyle name="40% - Accent1 7 33" xfId="21739"/>
    <cellStyle name="40% - Accent1 7 33 2" xfId="44514"/>
    <cellStyle name="40% - Accent1 7 34" xfId="22395"/>
    <cellStyle name="40% - Accent1 7 34 2" xfId="45170"/>
    <cellStyle name="40% - Accent1 7 35" xfId="23194"/>
    <cellStyle name="40% - Accent1 7 4" xfId="1731"/>
    <cellStyle name="40% - Accent1 7 4 2" xfId="3371"/>
    <cellStyle name="40% - Accent1 7 4 2 2" xfId="26146"/>
    <cellStyle name="40% - Accent1 7 4 3" xfId="24506"/>
    <cellStyle name="40% - Accent1 7 5" xfId="4027"/>
    <cellStyle name="40% - Accent1 7 5 2" xfId="26802"/>
    <cellStyle name="40% - Accent1 7 6" xfId="4683"/>
    <cellStyle name="40% - Accent1 7 6 2" xfId="27458"/>
    <cellStyle name="40% - Accent1 7 7" xfId="5339"/>
    <cellStyle name="40% - Accent1 7 7 2" xfId="28114"/>
    <cellStyle name="40% - Accent1 7 8" xfId="5995"/>
    <cellStyle name="40% - Accent1 7 8 2" xfId="28770"/>
    <cellStyle name="40% - Accent1 7 9" xfId="2387"/>
    <cellStyle name="40% - Accent1 7 9 2" xfId="25162"/>
    <cellStyle name="40% - Accent1 8" xfId="434"/>
    <cellStyle name="40% - Accent1 8 10" xfId="6665"/>
    <cellStyle name="40% - Accent1 8 10 2" xfId="29440"/>
    <cellStyle name="40% - Accent1 8 11" xfId="7321"/>
    <cellStyle name="40% - Accent1 8 11 2" xfId="30096"/>
    <cellStyle name="40% - Accent1 8 12" xfId="7977"/>
    <cellStyle name="40% - Accent1 8 12 2" xfId="30752"/>
    <cellStyle name="40% - Accent1 8 13" xfId="8633"/>
    <cellStyle name="40% - Accent1 8 13 2" xfId="31408"/>
    <cellStyle name="40% - Accent1 8 14" xfId="9289"/>
    <cellStyle name="40% - Accent1 8 14 2" xfId="32064"/>
    <cellStyle name="40% - Accent1 8 15" xfId="9945"/>
    <cellStyle name="40% - Accent1 8 15 2" xfId="32720"/>
    <cellStyle name="40% - Accent1 8 16" xfId="10601"/>
    <cellStyle name="40% - Accent1 8 16 2" xfId="33376"/>
    <cellStyle name="40% - Accent1 8 17" xfId="11257"/>
    <cellStyle name="40% - Accent1 8 17 2" xfId="34032"/>
    <cellStyle name="40% - Accent1 8 18" xfId="11913"/>
    <cellStyle name="40% - Accent1 8 18 2" xfId="34688"/>
    <cellStyle name="40% - Accent1 8 19" xfId="12569"/>
    <cellStyle name="40% - Accent1 8 19 2" xfId="35344"/>
    <cellStyle name="40% - Accent1 8 2" xfId="761"/>
    <cellStyle name="40% - Accent1 8 2 10" xfId="8305"/>
    <cellStyle name="40% - Accent1 8 2 10 2" xfId="31080"/>
    <cellStyle name="40% - Accent1 8 2 11" xfId="8961"/>
    <cellStyle name="40% - Accent1 8 2 11 2" xfId="31736"/>
    <cellStyle name="40% - Accent1 8 2 12" xfId="9617"/>
    <cellStyle name="40% - Accent1 8 2 12 2" xfId="32392"/>
    <cellStyle name="40% - Accent1 8 2 13" xfId="10273"/>
    <cellStyle name="40% - Accent1 8 2 13 2" xfId="33048"/>
    <cellStyle name="40% - Accent1 8 2 14" xfId="10929"/>
    <cellStyle name="40% - Accent1 8 2 14 2" xfId="33704"/>
    <cellStyle name="40% - Accent1 8 2 15" xfId="11585"/>
    <cellStyle name="40% - Accent1 8 2 15 2" xfId="34360"/>
    <cellStyle name="40% - Accent1 8 2 16" xfId="12241"/>
    <cellStyle name="40% - Accent1 8 2 16 2" xfId="35016"/>
    <cellStyle name="40% - Accent1 8 2 17" xfId="12897"/>
    <cellStyle name="40% - Accent1 8 2 17 2" xfId="35672"/>
    <cellStyle name="40% - Accent1 8 2 18" xfId="13553"/>
    <cellStyle name="40% - Accent1 8 2 18 2" xfId="36328"/>
    <cellStyle name="40% - Accent1 8 2 19" xfId="14209"/>
    <cellStyle name="40% - Accent1 8 2 19 2" xfId="36984"/>
    <cellStyle name="40% - Accent1 8 2 2" xfId="1417"/>
    <cellStyle name="40% - Accent1 8 2 2 2" xfId="3713"/>
    <cellStyle name="40% - Accent1 8 2 2 2 2" xfId="26488"/>
    <cellStyle name="40% - Accent1 8 2 2 3" xfId="24192"/>
    <cellStyle name="40% - Accent1 8 2 20" xfId="14865"/>
    <cellStyle name="40% - Accent1 8 2 20 2" xfId="37640"/>
    <cellStyle name="40% - Accent1 8 2 21" xfId="15521"/>
    <cellStyle name="40% - Accent1 8 2 21 2" xfId="38296"/>
    <cellStyle name="40% - Accent1 8 2 22" xfId="16177"/>
    <cellStyle name="40% - Accent1 8 2 22 2" xfId="38952"/>
    <cellStyle name="40% - Accent1 8 2 23" xfId="16833"/>
    <cellStyle name="40% - Accent1 8 2 23 2" xfId="39608"/>
    <cellStyle name="40% - Accent1 8 2 24" xfId="17489"/>
    <cellStyle name="40% - Accent1 8 2 24 2" xfId="40264"/>
    <cellStyle name="40% - Accent1 8 2 25" xfId="18145"/>
    <cellStyle name="40% - Accent1 8 2 25 2" xfId="40920"/>
    <cellStyle name="40% - Accent1 8 2 26" xfId="18801"/>
    <cellStyle name="40% - Accent1 8 2 26 2" xfId="41576"/>
    <cellStyle name="40% - Accent1 8 2 27" xfId="19457"/>
    <cellStyle name="40% - Accent1 8 2 27 2" xfId="42232"/>
    <cellStyle name="40% - Accent1 8 2 28" xfId="20113"/>
    <cellStyle name="40% - Accent1 8 2 28 2" xfId="42888"/>
    <cellStyle name="40% - Accent1 8 2 29" xfId="20769"/>
    <cellStyle name="40% - Accent1 8 2 29 2" xfId="43544"/>
    <cellStyle name="40% - Accent1 8 2 3" xfId="2073"/>
    <cellStyle name="40% - Accent1 8 2 3 2" xfId="4369"/>
    <cellStyle name="40% - Accent1 8 2 3 2 2" xfId="27144"/>
    <cellStyle name="40% - Accent1 8 2 3 3" xfId="24848"/>
    <cellStyle name="40% - Accent1 8 2 30" xfId="21425"/>
    <cellStyle name="40% - Accent1 8 2 30 2" xfId="44200"/>
    <cellStyle name="40% - Accent1 8 2 31" xfId="22081"/>
    <cellStyle name="40% - Accent1 8 2 31 2" xfId="44856"/>
    <cellStyle name="40% - Accent1 8 2 32" xfId="22737"/>
    <cellStyle name="40% - Accent1 8 2 32 2" xfId="45512"/>
    <cellStyle name="40% - Accent1 8 2 33" xfId="23536"/>
    <cellStyle name="40% - Accent1 8 2 4" xfId="5025"/>
    <cellStyle name="40% - Accent1 8 2 4 2" xfId="27800"/>
    <cellStyle name="40% - Accent1 8 2 5" xfId="5681"/>
    <cellStyle name="40% - Accent1 8 2 5 2" xfId="28456"/>
    <cellStyle name="40% - Accent1 8 2 6" xfId="6337"/>
    <cellStyle name="40% - Accent1 8 2 6 2" xfId="29112"/>
    <cellStyle name="40% - Accent1 8 2 7" xfId="3057"/>
    <cellStyle name="40% - Accent1 8 2 7 2" xfId="25832"/>
    <cellStyle name="40% - Accent1 8 2 8" xfId="6993"/>
    <cellStyle name="40% - Accent1 8 2 8 2" xfId="29768"/>
    <cellStyle name="40% - Accent1 8 2 9" xfId="7649"/>
    <cellStyle name="40% - Accent1 8 2 9 2" xfId="30424"/>
    <cellStyle name="40% - Accent1 8 20" xfId="13225"/>
    <cellStyle name="40% - Accent1 8 20 2" xfId="36000"/>
    <cellStyle name="40% - Accent1 8 21" xfId="13881"/>
    <cellStyle name="40% - Accent1 8 21 2" xfId="36656"/>
    <cellStyle name="40% - Accent1 8 22" xfId="14537"/>
    <cellStyle name="40% - Accent1 8 22 2" xfId="37312"/>
    <cellStyle name="40% - Accent1 8 23" xfId="15193"/>
    <cellStyle name="40% - Accent1 8 23 2" xfId="37968"/>
    <cellStyle name="40% - Accent1 8 24" xfId="15849"/>
    <cellStyle name="40% - Accent1 8 24 2" xfId="38624"/>
    <cellStyle name="40% - Accent1 8 25" xfId="16505"/>
    <cellStyle name="40% - Accent1 8 25 2" xfId="39280"/>
    <cellStyle name="40% - Accent1 8 26" xfId="17161"/>
    <cellStyle name="40% - Accent1 8 26 2" xfId="39936"/>
    <cellStyle name="40% - Accent1 8 27" xfId="17817"/>
    <cellStyle name="40% - Accent1 8 27 2" xfId="40592"/>
    <cellStyle name="40% - Accent1 8 28" xfId="18473"/>
    <cellStyle name="40% - Accent1 8 28 2" xfId="41248"/>
    <cellStyle name="40% - Accent1 8 29" xfId="19129"/>
    <cellStyle name="40% - Accent1 8 29 2" xfId="41904"/>
    <cellStyle name="40% - Accent1 8 3" xfId="1089"/>
    <cellStyle name="40% - Accent1 8 3 2" xfId="2729"/>
    <cellStyle name="40% - Accent1 8 3 2 2" xfId="25504"/>
    <cellStyle name="40% - Accent1 8 3 3" xfId="23864"/>
    <cellStyle name="40% - Accent1 8 30" xfId="19785"/>
    <cellStyle name="40% - Accent1 8 30 2" xfId="42560"/>
    <cellStyle name="40% - Accent1 8 31" xfId="20441"/>
    <cellStyle name="40% - Accent1 8 31 2" xfId="43216"/>
    <cellStyle name="40% - Accent1 8 32" xfId="21097"/>
    <cellStyle name="40% - Accent1 8 32 2" xfId="43872"/>
    <cellStyle name="40% - Accent1 8 33" xfId="21753"/>
    <cellStyle name="40% - Accent1 8 33 2" xfId="44528"/>
    <cellStyle name="40% - Accent1 8 34" xfId="22409"/>
    <cellStyle name="40% - Accent1 8 34 2" xfId="45184"/>
    <cellStyle name="40% - Accent1 8 35" xfId="23208"/>
    <cellStyle name="40% - Accent1 8 4" xfId="1745"/>
    <cellStyle name="40% - Accent1 8 4 2" xfId="3385"/>
    <cellStyle name="40% - Accent1 8 4 2 2" xfId="26160"/>
    <cellStyle name="40% - Accent1 8 4 3" xfId="24520"/>
    <cellStyle name="40% - Accent1 8 5" xfId="4041"/>
    <cellStyle name="40% - Accent1 8 5 2" xfId="26816"/>
    <cellStyle name="40% - Accent1 8 6" xfId="4697"/>
    <cellStyle name="40% - Accent1 8 6 2" xfId="27472"/>
    <cellStyle name="40% - Accent1 8 7" xfId="5353"/>
    <cellStyle name="40% - Accent1 8 7 2" xfId="28128"/>
    <cellStyle name="40% - Accent1 8 8" xfId="6009"/>
    <cellStyle name="40% - Accent1 8 8 2" xfId="28784"/>
    <cellStyle name="40% - Accent1 8 9" xfId="2401"/>
    <cellStyle name="40% - Accent1 8 9 2" xfId="25176"/>
    <cellStyle name="40% - Accent1 9" xfId="448"/>
    <cellStyle name="40% - Accent1 9 10" xfId="6679"/>
    <cellStyle name="40% - Accent1 9 10 2" xfId="29454"/>
    <cellStyle name="40% - Accent1 9 11" xfId="7335"/>
    <cellStyle name="40% - Accent1 9 11 2" xfId="30110"/>
    <cellStyle name="40% - Accent1 9 12" xfId="7991"/>
    <cellStyle name="40% - Accent1 9 12 2" xfId="30766"/>
    <cellStyle name="40% - Accent1 9 13" xfId="8647"/>
    <cellStyle name="40% - Accent1 9 13 2" xfId="31422"/>
    <cellStyle name="40% - Accent1 9 14" xfId="9303"/>
    <cellStyle name="40% - Accent1 9 14 2" xfId="32078"/>
    <cellStyle name="40% - Accent1 9 15" xfId="9959"/>
    <cellStyle name="40% - Accent1 9 15 2" xfId="32734"/>
    <cellStyle name="40% - Accent1 9 16" xfId="10615"/>
    <cellStyle name="40% - Accent1 9 16 2" xfId="33390"/>
    <cellStyle name="40% - Accent1 9 17" xfId="11271"/>
    <cellStyle name="40% - Accent1 9 17 2" xfId="34046"/>
    <cellStyle name="40% - Accent1 9 18" xfId="11927"/>
    <cellStyle name="40% - Accent1 9 18 2" xfId="34702"/>
    <cellStyle name="40% - Accent1 9 19" xfId="12583"/>
    <cellStyle name="40% - Accent1 9 19 2" xfId="35358"/>
    <cellStyle name="40% - Accent1 9 2" xfId="775"/>
    <cellStyle name="40% - Accent1 9 2 10" xfId="8319"/>
    <cellStyle name="40% - Accent1 9 2 10 2" xfId="31094"/>
    <cellStyle name="40% - Accent1 9 2 11" xfId="8975"/>
    <cellStyle name="40% - Accent1 9 2 11 2" xfId="31750"/>
    <cellStyle name="40% - Accent1 9 2 12" xfId="9631"/>
    <cellStyle name="40% - Accent1 9 2 12 2" xfId="32406"/>
    <cellStyle name="40% - Accent1 9 2 13" xfId="10287"/>
    <cellStyle name="40% - Accent1 9 2 13 2" xfId="33062"/>
    <cellStyle name="40% - Accent1 9 2 14" xfId="10943"/>
    <cellStyle name="40% - Accent1 9 2 14 2" xfId="33718"/>
    <cellStyle name="40% - Accent1 9 2 15" xfId="11599"/>
    <cellStyle name="40% - Accent1 9 2 15 2" xfId="34374"/>
    <cellStyle name="40% - Accent1 9 2 16" xfId="12255"/>
    <cellStyle name="40% - Accent1 9 2 16 2" xfId="35030"/>
    <cellStyle name="40% - Accent1 9 2 17" xfId="12911"/>
    <cellStyle name="40% - Accent1 9 2 17 2" xfId="35686"/>
    <cellStyle name="40% - Accent1 9 2 18" xfId="13567"/>
    <cellStyle name="40% - Accent1 9 2 18 2" xfId="36342"/>
    <cellStyle name="40% - Accent1 9 2 19" xfId="14223"/>
    <cellStyle name="40% - Accent1 9 2 19 2" xfId="36998"/>
    <cellStyle name="40% - Accent1 9 2 2" xfId="1431"/>
    <cellStyle name="40% - Accent1 9 2 2 2" xfId="3727"/>
    <cellStyle name="40% - Accent1 9 2 2 2 2" xfId="26502"/>
    <cellStyle name="40% - Accent1 9 2 2 3" xfId="24206"/>
    <cellStyle name="40% - Accent1 9 2 20" xfId="14879"/>
    <cellStyle name="40% - Accent1 9 2 20 2" xfId="37654"/>
    <cellStyle name="40% - Accent1 9 2 21" xfId="15535"/>
    <cellStyle name="40% - Accent1 9 2 21 2" xfId="38310"/>
    <cellStyle name="40% - Accent1 9 2 22" xfId="16191"/>
    <cellStyle name="40% - Accent1 9 2 22 2" xfId="38966"/>
    <cellStyle name="40% - Accent1 9 2 23" xfId="16847"/>
    <cellStyle name="40% - Accent1 9 2 23 2" xfId="39622"/>
    <cellStyle name="40% - Accent1 9 2 24" xfId="17503"/>
    <cellStyle name="40% - Accent1 9 2 24 2" xfId="40278"/>
    <cellStyle name="40% - Accent1 9 2 25" xfId="18159"/>
    <cellStyle name="40% - Accent1 9 2 25 2" xfId="40934"/>
    <cellStyle name="40% - Accent1 9 2 26" xfId="18815"/>
    <cellStyle name="40% - Accent1 9 2 26 2" xfId="41590"/>
    <cellStyle name="40% - Accent1 9 2 27" xfId="19471"/>
    <cellStyle name="40% - Accent1 9 2 27 2" xfId="42246"/>
    <cellStyle name="40% - Accent1 9 2 28" xfId="20127"/>
    <cellStyle name="40% - Accent1 9 2 28 2" xfId="42902"/>
    <cellStyle name="40% - Accent1 9 2 29" xfId="20783"/>
    <cellStyle name="40% - Accent1 9 2 29 2" xfId="43558"/>
    <cellStyle name="40% - Accent1 9 2 3" xfId="2087"/>
    <cellStyle name="40% - Accent1 9 2 3 2" xfId="4383"/>
    <cellStyle name="40% - Accent1 9 2 3 2 2" xfId="27158"/>
    <cellStyle name="40% - Accent1 9 2 3 3" xfId="24862"/>
    <cellStyle name="40% - Accent1 9 2 30" xfId="21439"/>
    <cellStyle name="40% - Accent1 9 2 30 2" xfId="44214"/>
    <cellStyle name="40% - Accent1 9 2 31" xfId="22095"/>
    <cellStyle name="40% - Accent1 9 2 31 2" xfId="44870"/>
    <cellStyle name="40% - Accent1 9 2 32" xfId="22751"/>
    <cellStyle name="40% - Accent1 9 2 32 2" xfId="45526"/>
    <cellStyle name="40% - Accent1 9 2 33" xfId="23550"/>
    <cellStyle name="40% - Accent1 9 2 4" xfId="5039"/>
    <cellStyle name="40% - Accent1 9 2 4 2" xfId="27814"/>
    <cellStyle name="40% - Accent1 9 2 5" xfId="5695"/>
    <cellStyle name="40% - Accent1 9 2 5 2" xfId="28470"/>
    <cellStyle name="40% - Accent1 9 2 6" xfId="6351"/>
    <cellStyle name="40% - Accent1 9 2 6 2" xfId="29126"/>
    <cellStyle name="40% - Accent1 9 2 7" xfId="3071"/>
    <cellStyle name="40% - Accent1 9 2 7 2" xfId="25846"/>
    <cellStyle name="40% - Accent1 9 2 8" xfId="7007"/>
    <cellStyle name="40% - Accent1 9 2 8 2" xfId="29782"/>
    <cellStyle name="40% - Accent1 9 2 9" xfId="7663"/>
    <cellStyle name="40% - Accent1 9 2 9 2" xfId="30438"/>
    <cellStyle name="40% - Accent1 9 20" xfId="13239"/>
    <cellStyle name="40% - Accent1 9 20 2" xfId="36014"/>
    <cellStyle name="40% - Accent1 9 21" xfId="13895"/>
    <cellStyle name="40% - Accent1 9 21 2" xfId="36670"/>
    <cellStyle name="40% - Accent1 9 22" xfId="14551"/>
    <cellStyle name="40% - Accent1 9 22 2" xfId="37326"/>
    <cellStyle name="40% - Accent1 9 23" xfId="15207"/>
    <cellStyle name="40% - Accent1 9 23 2" xfId="37982"/>
    <cellStyle name="40% - Accent1 9 24" xfId="15863"/>
    <cellStyle name="40% - Accent1 9 24 2" xfId="38638"/>
    <cellStyle name="40% - Accent1 9 25" xfId="16519"/>
    <cellStyle name="40% - Accent1 9 25 2" xfId="39294"/>
    <cellStyle name="40% - Accent1 9 26" xfId="17175"/>
    <cellStyle name="40% - Accent1 9 26 2" xfId="39950"/>
    <cellStyle name="40% - Accent1 9 27" xfId="17831"/>
    <cellStyle name="40% - Accent1 9 27 2" xfId="40606"/>
    <cellStyle name="40% - Accent1 9 28" xfId="18487"/>
    <cellStyle name="40% - Accent1 9 28 2" xfId="41262"/>
    <cellStyle name="40% - Accent1 9 29" xfId="19143"/>
    <cellStyle name="40% - Accent1 9 29 2" xfId="41918"/>
    <cellStyle name="40% - Accent1 9 3" xfId="1103"/>
    <cellStyle name="40% - Accent1 9 3 2" xfId="2743"/>
    <cellStyle name="40% - Accent1 9 3 2 2" xfId="25518"/>
    <cellStyle name="40% - Accent1 9 3 3" xfId="23878"/>
    <cellStyle name="40% - Accent1 9 30" xfId="19799"/>
    <cellStyle name="40% - Accent1 9 30 2" xfId="42574"/>
    <cellStyle name="40% - Accent1 9 31" xfId="20455"/>
    <cellStyle name="40% - Accent1 9 31 2" xfId="43230"/>
    <cellStyle name="40% - Accent1 9 32" xfId="21111"/>
    <cellStyle name="40% - Accent1 9 32 2" xfId="43886"/>
    <cellStyle name="40% - Accent1 9 33" xfId="21767"/>
    <cellStyle name="40% - Accent1 9 33 2" xfId="44542"/>
    <cellStyle name="40% - Accent1 9 34" xfId="22423"/>
    <cellStyle name="40% - Accent1 9 34 2" xfId="45198"/>
    <cellStyle name="40% - Accent1 9 35" xfId="23222"/>
    <cellStyle name="40% - Accent1 9 4" xfId="1759"/>
    <cellStyle name="40% - Accent1 9 4 2" xfId="3399"/>
    <cellStyle name="40% - Accent1 9 4 2 2" xfId="26174"/>
    <cellStyle name="40% - Accent1 9 4 3" xfId="24534"/>
    <cellStyle name="40% - Accent1 9 5" xfId="4055"/>
    <cellStyle name="40% - Accent1 9 5 2" xfId="26830"/>
    <cellStyle name="40% - Accent1 9 6" xfId="4711"/>
    <cellStyle name="40% - Accent1 9 6 2" xfId="27486"/>
    <cellStyle name="40% - Accent1 9 7" xfId="5367"/>
    <cellStyle name="40% - Accent1 9 7 2" xfId="28142"/>
    <cellStyle name="40% - Accent1 9 8" xfId="6023"/>
    <cellStyle name="40% - Accent1 9 8 2" xfId="28798"/>
    <cellStyle name="40% - Accent1 9 9" xfId="2415"/>
    <cellStyle name="40% - Accent1 9 9 2" xfId="25190"/>
    <cellStyle name="40% - Accent2" xfId="27" builtinId="35" customBuiltin="1"/>
    <cellStyle name="40% - Accent2 10" xfId="462"/>
    <cellStyle name="40% - Accent2 10 10" xfId="6693"/>
    <cellStyle name="40% - Accent2 10 10 2" xfId="29468"/>
    <cellStyle name="40% - Accent2 10 11" xfId="7349"/>
    <cellStyle name="40% - Accent2 10 11 2" xfId="30124"/>
    <cellStyle name="40% - Accent2 10 12" xfId="8005"/>
    <cellStyle name="40% - Accent2 10 12 2" xfId="30780"/>
    <cellStyle name="40% - Accent2 10 13" xfId="8661"/>
    <cellStyle name="40% - Accent2 10 13 2" xfId="31436"/>
    <cellStyle name="40% - Accent2 10 14" xfId="9317"/>
    <cellStyle name="40% - Accent2 10 14 2" xfId="32092"/>
    <cellStyle name="40% - Accent2 10 15" xfId="9973"/>
    <cellStyle name="40% - Accent2 10 15 2" xfId="32748"/>
    <cellStyle name="40% - Accent2 10 16" xfId="10629"/>
    <cellStyle name="40% - Accent2 10 16 2" xfId="33404"/>
    <cellStyle name="40% - Accent2 10 17" xfId="11285"/>
    <cellStyle name="40% - Accent2 10 17 2" xfId="34060"/>
    <cellStyle name="40% - Accent2 10 18" xfId="11941"/>
    <cellStyle name="40% - Accent2 10 18 2" xfId="34716"/>
    <cellStyle name="40% - Accent2 10 19" xfId="12597"/>
    <cellStyle name="40% - Accent2 10 19 2" xfId="35372"/>
    <cellStyle name="40% - Accent2 10 2" xfId="789"/>
    <cellStyle name="40% - Accent2 10 2 10" xfId="8333"/>
    <cellStyle name="40% - Accent2 10 2 10 2" xfId="31108"/>
    <cellStyle name="40% - Accent2 10 2 11" xfId="8989"/>
    <cellStyle name="40% - Accent2 10 2 11 2" xfId="31764"/>
    <cellStyle name="40% - Accent2 10 2 12" xfId="9645"/>
    <cellStyle name="40% - Accent2 10 2 12 2" xfId="32420"/>
    <cellStyle name="40% - Accent2 10 2 13" xfId="10301"/>
    <cellStyle name="40% - Accent2 10 2 13 2" xfId="33076"/>
    <cellStyle name="40% - Accent2 10 2 14" xfId="10957"/>
    <cellStyle name="40% - Accent2 10 2 14 2" xfId="33732"/>
    <cellStyle name="40% - Accent2 10 2 15" xfId="11613"/>
    <cellStyle name="40% - Accent2 10 2 15 2" xfId="34388"/>
    <cellStyle name="40% - Accent2 10 2 16" xfId="12269"/>
    <cellStyle name="40% - Accent2 10 2 16 2" xfId="35044"/>
    <cellStyle name="40% - Accent2 10 2 17" xfId="12925"/>
    <cellStyle name="40% - Accent2 10 2 17 2" xfId="35700"/>
    <cellStyle name="40% - Accent2 10 2 18" xfId="13581"/>
    <cellStyle name="40% - Accent2 10 2 18 2" xfId="36356"/>
    <cellStyle name="40% - Accent2 10 2 19" xfId="14237"/>
    <cellStyle name="40% - Accent2 10 2 19 2" xfId="37012"/>
    <cellStyle name="40% - Accent2 10 2 2" xfId="1445"/>
    <cellStyle name="40% - Accent2 10 2 2 2" xfId="3741"/>
    <cellStyle name="40% - Accent2 10 2 2 2 2" xfId="26516"/>
    <cellStyle name="40% - Accent2 10 2 2 3" xfId="24220"/>
    <cellStyle name="40% - Accent2 10 2 20" xfId="14893"/>
    <cellStyle name="40% - Accent2 10 2 20 2" xfId="37668"/>
    <cellStyle name="40% - Accent2 10 2 21" xfId="15549"/>
    <cellStyle name="40% - Accent2 10 2 21 2" xfId="38324"/>
    <cellStyle name="40% - Accent2 10 2 22" xfId="16205"/>
    <cellStyle name="40% - Accent2 10 2 22 2" xfId="38980"/>
    <cellStyle name="40% - Accent2 10 2 23" xfId="16861"/>
    <cellStyle name="40% - Accent2 10 2 23 2" xfId="39636"/>
    <cellStyle name="40% - Accent2 10 2 24" xfId="17517"/>
    <cellStyle name="40% - Accent2 10 2 24 2" xfId="40292"/>
    <cellStyle name="40% - Accent2 10 2 25" xfId="18173"/>
    <cellStyle name="40% - Accent2 10 2 25 2" xfId="40948"/>
    <cellStyle name="40% - Accent2 10 2 26" xfId="18829"/>
    <cellStyle name="40% - Accent2 10 2 26 2" xfId="41604"/>
    <cellStyle name="40% - Accent2 10 2 27" xfId="19485"/>
    <cellStyle name="40% - Accent2 10 2 27 2" xfId="42260"/>
    <cellStyle name="40% - Accent2 10 2 28" xfId="20141"/>
    <cellStyle name="40% - Accent2 10 2 28 2" xfId="42916"/>
    <cellStyle name="40% - Accent2 10 2 29" xfId="20797"/>
    <cellStyle name="40% - Accent2 10 2 29 2" xfId="43572"/>
    <cellStyle name="40% - Accent2 10 2 3" xfId="2101"/>
    <cellStyle name="40% - Accent2 10 2 3 2" xfId="4397"/>
    <cellStyle name="40% - Accent2 10 2 3 2 2" xfId="27172"/>
    <cellStyle name="40% - Accent2 10 2 3 3" xfId="24876"/>
    <cellStyle name="40% - Accent2 10 2 30" xfId="21453"/>
    <cellStyle name="40% - Accent2 10 2 30 2" xfId="44228"/>
    <cellStyle name="40% - Accent2 10 2 31" xfId="22109"/>
    <cellStyle name="40% - Accent2 10 2 31 2" xfId="44884"/>
    <cellStyle name="40% - Accent2 10 2 32" xfId="22765"/>
    <cellStyle name="40% - Accent2 10 2 32 2" xfId="45540"/>
    <cellStyle name="40% - Accent2 10 2 33" xfId="23564"/>
    <cellStyle name="40% - Accent2 10 2 4" xfId="5053"/>
    <cellStyle name="40% - Accent2 10 2 4 2" xfId="27828"/>
    <cellStyle name="40% - Accent2 10 2 5" xfId="5709"/>
    <cellStyle name="40% - Accent2 10 2 5 2" xfId="28484"/>
    <cellStyle name="40% - Accent2 10 2 6" xfId="6365"/>
    <cellStyle name="40% - Accent2 10 2 6 2" xfId="29140"/>
    <cellStyle name="40% - Accent2 10 2 7" xfId="3085"/>
    <cellStyle name="40% - Accent2 10 2 7 2" xfId="25860"/>
    <cellStyle name="40% - Accent2 10 2 8" xfId="7021"/>
    <cellStyle name="40% - Accent2 10 2 8 2" xfId="29796"/>
    <cellStyle name="40% - Accent2 10 2 9" xfId="7677"/>
    <cellStyle name="40% - Accent2 10 2 9 2" xfId="30452"/>
    <cellStyle name="40% - Accent2 10 20" xfId="13253"/>
    <cellStyle name="40% - Accent2 10 20 2" xfId="36028"/>
    <cellStyle name="40% - Accent2 10 21" xfId="13909"/>
    <cellStyle name="40% - Accent2 10 21 2" xfId="36684"/>
    <cellStyle name="40% - Accent2 10 22" xfId="14565"/>
    <cellStyle name="40% - Accent2 10 22 2" xfId="37340"/>
    <cellStyle name="40% - Accent2 10 23" xfId="15221"/>
    <cellStyle name="40% - Accent2 10 23 2" xfId="37996"/>
    <cellStyle name="40% - Accent2 10 24" xfId="15877"/>
    <cellStyle name="40% - Accent2 10 24 2" xfId="38652"/>
    <cellStyle name="40% - Accent2 10 25" xfId="16533"/>
    <cellStyle name="40% - Accent2 10 25 2" xfId="39308"/>
    <cellStyle name="40% - Accent2 10 26" xfId="17189"/>
    <cellStyle name="40% - Accent2 10 26 2" xfId="39964"/>
    <cellStyle name="40% - Accent2 10 27" xfId="17845"/>
    <cellStyle name="40% - Accent2 10 27 2" xfId="40620"/>
    <cellStyle name="40% - Accent2 10 28" xfId="18501"/>
    <cellStyle name="40% - Accent2 10 28 2" xfId="41276"/>
    <cellStyle name="40% - Accent2 10 29" xfId="19157"/>
    <cellStyle name="40% - Accent2 10 29 2" xfId="41932"/>
    <cellStyle name="40% - Accent2 10 3" xfId="1117"/>
    <cellStyle name="40% - Accent2 10 3 2" xfId="2757"/>
    <cellStyle name="40% - Accent2 10 3 2 2" xfId="25532"/>
    <cellStyle name="40% - Accent2 10 3 3" xfId="23892"/>
    <cellStyle name="40% - Accent2 10 30" xfId="19813"/>
    <cellStyle name="40% - Accent2 10 30 2" xfId="42588"/>
    <cellStyle name="40% - Accent2 10 31" xfId="20469"/>
    <cellStyle name="40% - Accent2 10 31 2" xfId="43244"/>
    <cellStyle name="40% - Accent2 10 32" xfId="21125"/>
    <cellStyle name="40% - Accent2 10 32 2" xfId="43900"/>
    <cellStyle name="40% - Accent2 10 33" xfId="21781"/>
    <cellStyle name="40% - Accent2 10 33 2" xfId="44556"/>
    <cellStyle name="40% - Accent2 10 34" xfId="22437"/>
    <cellStyle name="40% - Accent2 10 34 2" xfId="45212"/>
    <cellStyle name="40% - Accent2 10 35" xfId="23236"/>
    <cellStyle name="40% - Accent2 10 4" xfId="1773"/>
    <cellStyle name="40% - Accent2 10 4 2" xfId="3413"/>
    <cellStyle name="40% - Accent2 10 4 2 2" xfId="26188"/>
    <cellStyle name="40% - Accent2 10 4 3" xfId="24548"/>
    <cellStyle name="40% - Accent2 10 5" xfId="4069"/>
    <cellStyle name="40% - Accent2 10 5 2" xfId="26844"/>
    <cellStyle name="40% - Accent2 10 6" xfId="4725"/>
    <cellStyle name="40% - Accent2 10 6 2" xfId="27500"/>
    <cellStyle name="40% - Accent2 10 7" xfId="5381"/>
    <cellStyle name="40% - Accent2 10 7 2" xfId="28156"/>
    <cellStyle name="40% - Accent2 10 8" xfId="6037"/>
    <cellStyle name="40% - Accent2 10 8 2" xfId="28812"/>
    <cellStyle name="40% - Accent2 10 9" xfId="2429"/>
    <cellStyle name="40% - Accent2 10 9 2" xfId="25204"/>
    <cellStyle name="40% - Accent2 11" xfId="604"/>
    <cellStyle name="40% - Accent2 11 10" xfId="8148"/>
    <cellStyle name="40% - Accent2 11 10 2" xfId="30923"/>
    <cellStyle name="40% - Accent2 11 11" xfId="8804"/>
    <cellStyle name="40% - Accent2 11 11 2" xfId="31579"/>
    <cellStyle name="40% - Accent2 11 12" xfId="9460"/>
    <cellStyle name="40% - Accent2 11 12 2" xfId="32235"/>
    <cellStyle name="40% - Accent2 11 13" xfId="10116"/>
    <cellStyle name="40% - Accent2 11 13 2" xfId="32891"/>
    <cellStyle name="40% - Accent2 11 14" xfId="10772"/>
    <cellStyle name="40% - Accent2 11 14 2" xfId="33547"/>
    <cellStyle name="40% - Accent2 11 15" xfId="11428"/>
    <cellStyle name="40% - Accent2 11 15 2" xfId="34203"/>
    <cellStyle name="40% - Accent2 11 16" xfId="12084"/>
    <cellStyle name="40% - Accent2 11 16 2" xfId="34859"/>
    <cellStyle name="40% - Accent2 11 17" xfId="12740"/>
    <cellStyle name="40% - Accent2 11 17 2" xfId="35515"/>
    <cellStyle name="40% - Accent2 11 18" xfId="13396"/>
    <cellStyle name="40% - Accent2 11 18 2" xfId="36171"/>
    <cellStyle name="40% - Accent2 11 19" xfId="14052"/>
    <cellStyle name="40% - Accent2 11 19 2" xfId="36827"/>
    <cellStyle name="40% - Accent2 11 2" xfId="1260"/>
    <cellStyle name="40% - Accent2 11 2 2" xfId="3556"/>
    <cellStyle name="40% - Accent2 11 2 2 2" xfId="26331"/>
    <cellStyle name="40% - Accent2 11 2 3" xfId="24035"/>
    <cellStyle name="40% - Accent2 11 20" xfId="14708"/>
    <cellStyle name="40% - Accent2 11 20 2" xfId="37483"/>
    <cellStyle name="40% - Accent2 11 21" xfId="15364"/>
    <cellStyle name="40% - Accent2 11 21 2" xfId="38139"/>
    <cellStyle name="40% - Accent2 11 22" xfId="16020"/>
    <cellStyle name="40% - Accent2 11 22 2" xfId="38795"/>
    <cellStyle name="40% - Accent2 11 23" xfId="16676"/>
    <cellStyle name="40% - Accent2 11 23 2" xfId="39451"/>
    <cellStyle name="40% - Accent2 11 24" xfId="17332"/>
    <cellStyle name="40% - Accent2 11 24 2" xfId="40107"/>
    <cellStyle name="40% - Accent2 11 25" xfId="17988"/>
    <cellStyle name="40% - Accent2 11 25 2" xfId="40763"/>
    <cellStyle name="40% - Accent2 11 26" xfId="18644"/>
    <cellStyle name="40% - Accent2 11 26 2" xfId="41419"/>
    <cellStyle name="40% - Accent2 11 27" xfId="19300"/>
    <cellStyle name="40% - Accent2 11 27 2" xfId="42075"/>
    <cellStyle name="40% - Accent2 11 28" xfId="19956"/>
    <cellStyle name="40% - Accent2 11 28 2" xfId="42731"/>
    <cellStyle name="40% - Accent2 11 29" xfId="20612"/>
    <cellStyle name="40% - Accent2 11 29 2" xfId="43387"/>
    <cellStyle name="40% - Accent2 11 3" xfId="1916"/>
    <cellStyle name="40% - Accent2 11 3 2" xfId="4212"/>
    <cellStyle name="40% - Accent2 11 3 2 2" xfId="26987"/>
    <cellStyle name="40% - Accent2 11 3 3" xfId="24691"/>
    <cellStyle name="40% - Accent2 11 30" xfId="21268"/>
    <cellStyle name="40% - Accent2 11 30 2" xfId="44043"/>
    <cellStyle name="40% - Accent2 11 31" xfId="21924"/>
    <cellStyle name="40% - Accent2 11 31 2" xfId="44699"/>
    <cellStyle name="40% - Accent2 11 32" xfId="22580"/>
    <cellStyle name="40% - Accent2 11 32 2" xfId="45355"/>
    <cellStyle name="40% - Accent2 11 33" xfId="23379"/>
    <cellStyle name="40% - Accent2 11 4" xfId="4868"/>
    <cellStyle name="40% - Accent2 11 4 2" xfId="27643"/>
    <cellStyle name="40% - Accent2 11 5" xfId="5524"/>
    <cellStyle name="40% - Accent2 11 5 2" xfId="28299"/>
    <cellStyle name="40% - Accent2 11 6" xfId="6180"/>
    <cellStyle name="40% - Accent2 11 6 2" xfId="28955"/>
    <cellStyle name="40% - Accent2 11 7" xfId="2900"/>
    <cellStyle name="40% - Accent2 11 7 2" xfId="25675"/>
    <cellStyle name="40% - Accent2 11 8" xfId="6836"/>
    <cellStyle name="40% - Accent2 11 8 2" xfId="29611"/>
    <cellStyle name="40% - Accent2 11 9" xfId="7492"/>
    <cellStyle name="40% - Accent2 11 9 2" xfId="30267"/>
    <cellStyle name="40% - Accent2 12" xfId="277"/>
    <cellStyle name="40% - Accent2 12 2" xfId="2572"/>
    <cellStyle name="40% - Accent2 12 2 2" xfId="25347"/>
    <cellStyle name="40% - Accent2 12 3" xfId="23051"/>
    <cellStyle name="40% - Accent2 13" xfId="932"/>
    <cellStyle name="40% - Accent2 13 2" xfId="3228"/>
    <cellStyle name="40% - Accent2 13 2 2" xfId="26003"/>
    <cellStyle name="40% - Accent2 13 3" xfId="23707"/>
    <cellStyle name="40% - Accent2 14" xfId="1588"/>
    <cellStyle name="40% - Accent2 14 2" xfId="3884"/>
    <cellStyle name="40% - Accent2 14 2 2" xfId="26659"/>
    <cellStyle name="40% - Accent2 14 3" xfId="24363"/>
    <cellStyle name="40% - Accent2 15" xfId="4540"/>
    <cellStyle name="40% - Accent2 15 2" xfId="27315"/>
    <cellStyle name="40% - Accent2 16" xfId="5196"/>
    <cellStyle name="40% - Accent2 16 2" xfId="27971"/>
    <cellStyle name="40% - Accent2 17" xfId="5852"/>
    <cellStyle name="40% - Accent2 17 2" xfId="28627"/>
    <cellStyle name="40% - Accent2 18" xfId="2244"/>
    <cellStyle name="40% - Accent2 18 2" xfId="25019"/>
    <cellStyle name="40% - Accent2 19" xfId="6508"/>
    <cellStyle name="40% - Accent2 19 2" xfId="29283"/>
    <cellStyle name="40% - Accent2 2" xfId="72"/>
    <cellStyle name="40% - Accent2 2 10" xfId="5868"/>
    <cellStyle name="40% - Accent2 2 10 2" xfId="28643"/>
    <cellStyle name="40% - Accent2 2 11" xfId="2260"/>
    <cellStyle name="40% - Accent2 2 11 2" xfId="25035"/>
    <cellStyle name="40% - Accent2 2 12" xfId="6524"/>
    <cellStyle name="40% - Accent2 2 12 2" xfId="29299"/>
    <cellStyle name="40% - Accent2 2 13" xfId="7180"/>
    <cellStyle name="40% - Accent2 2 13 2" xfId="29955"/>
    <cellStyle name="40% - Accent2 2 14" xfId="7836"/>
    <cellStyle name="40% - Accent2 2 14 2" xfId="30611"/>
    <cellStyle name="40% - Accent2 2 15" xfId="8492"/>
    <cellStyle name="40% - Accent2 2 15 2" xfId="31267"/>
    <cellStyle name="40% - Accent2 2 16" xfId="9148"/>
    <cellStyle name="40% - Accent2 2 16 2" xfId="31923"/>
    <cellStyle name="40% - Accent2 2 17" xfId="9804"/>
    <cellStyle name="40% - Accent2 2 17 2" xfId="32579"/>
    <cellStyle name="40% - Accent2 2 18" xfId="10460"/>
    <cellStyle name="40% - Accent2 2 18 2" xfId="33235"/>
    <cellStyle name="40% - Accent2 2 19" xfId="11116"/>
    <cellStyle name="40% - Accent2 2 19 2" xfId="33891"/>
    <cellStyle name="40% - Accent2 2 2" xfId="148"/>
    <cellStyle name="40% - Accent2 2 2 10" xfId="2346"/>
    <cellStyle name="40% - Accent2 2 2 10 2" xfId="25121"/>
    <cellStyle name="40% - Accent2 2 2 11" xfId="6610"/>
    <cellStyle name="40% - Accent2 2 2 11 2" xfId="29385"/>
    <cellStyle name="40% - Accent2 2 2 12" xfId="7266"/>
    <cellStyle name="40% - Accent2 2 2 12 2" xfId="30041"/>
    <cellStyle name="40% - Accent2 2 2 13" xfId="7922"/>
    <cellStyle name="40% - Accent2 2 2 13 2" xfId="30697"/>
    <cellStyle name="40% - Accent2 2 2 14" xfId="8578"/>
    <cellStyle name="40% - Accent2 2 2 14 2" xfId="31353"/>
    <cellStyle name="40% - Accent2 2 2 15" xfId="9234"/>
    <cellStyle name="40% - Accent2 2 2 15 2" xfId="32009"/>
    <cellStyle name="40% - Accent2 2 2 16" xfId="9890"/>
    <cellStyle name="40% - Accent2 2 2 16 2" xfId="32665"/>
    <cellStyle name="40% - Accent2 2 2 17" xfId="10546"/>
    <cellStyle name="40% - Accent2 2 2 17 2" xfId="33321"/>
    <cellStyle name="40% - Accent2 2 2 18" xfId="11202"/>
    <cellStyle name="40% - Accent2 2 2 18 2" xfId="33977"/>
    <cellStyle name="40% - Accent2 2 2 19" xfId="11858"/>
    <cellStyle name="40% - Accent2 2 2 19 2" xfId="34633"/>
    <cellStyle name="40% - Accent2 2 2 2" xfId="562"/>
    <cellStyle name="40% - Accent2 2 2 2 10" xfId="6795"/>
    <cellStyle name="40% - Accent2 2 2 2 10 2" xfId="29570"/>
    <cellStyle name="40% - Accent2 2 2 2 11" xfId="7451"/>
    <cellStyle name="40% - Accent2 2 2 2 11 2" xfId="30226"/>
    <cellStyle name="40% - Accent2 2 2 2 12" xfId="8107"/>
    <cellStyle name="40% - Accent2 2 2 2 12 2" xfId="30882"/>
    <cellStyle name="40% - Accent2 2 2 2 13" xfId="8763"/>
    <cellStyle name="40% - Accent2 2 2 2 13 2" xfId="31538"/>
    <cellStyle name="40% - Accent2 2 2 2 14" xfId="9419"/>
    <cellStyle name="40% - Accent2 2 2 2 14 2" xfId="32194"/>
    <cellStyle name="40% - Accent2 2 2 2 15" xfId="10075"/>
    <cellStyle name="40% - Accent2 2 2 2 15 2" xfId="32850"/>
    <cellStyle name="40% - Accent2 2 2 2 16" xfId="10731"/>
    <cellStyle name="40% - Accent2 2 2 2 16 2" xfId="33506"/>
    <cellStyle name="40% - Accent2 2 2 2 17" xfId="11387"/>
    <cellStyle name="40% - Accent2 2 2 2 17 2" xfId="34162"/>
    <cellStyle name="40% - Accent2 2 2 2 18" xfId="12043"/>
    <cellStyle name="40% - Accent2 2 2 2 18 2" xfId="34818"/>
    <cellStyle name="40% - Accent2 2 2 2 19" xfId="12699"/>
    <cellStyle name="40% - Accent2 2 2 2 19 2" xfId="35474"/>
    <cellStyle name="40% - Accent2 2 2 2 2" xfId="891"/>
    <cellStyle name="40% - Accent2 2 2 2 2 10" xfId="8435"/>
    <cellStyle name="40% - Accent2 2 2 2 2 10 2" xfId="31210"/>
    <cellStyle name="40% - Accent2 2 2 2 2 11" xfId="9091"/>
    <cellStyle name="40% - Accent2 2 2 2 2 11 2" xfId="31866"/>
    <cellStyle name="40% - Accent2 2 2 2 2 12" xfId="9747"/>
    <cellStyle name="40% - Accent2 2 2 2 2 12 2" xfId="32522"/>
    <cellStyle name="40% - Accent2 2 2 2 2 13" xfId="10403"/>
    <cellStyle name="40% - Accent2 2 2 2 2 13 2" xfId="33178"/>
    <cellStyle name="40% - Accent2 2 2 2 2 14" xfId="11059"/>
    <cellStyle name="40% - Accent2 2 2 2 2 14 2" xfId="33834"/>
    <cellStyle name="40% - Accent2 2 2 2 2 15" xfId="11715"/>
    <cellStyle name="40% - Accent2 2 2 2 2 15 2" xfId="34490"/>
    <cellStyle name="40% - Accent2 2 2 2 2 16" xfId="12371"/>
    <cellStyle name="40% - Accent2 2 2 2 2 16 2" xfId="35146"/>
    <cellStyle name="40% - Accent2 2 2 2 2 17" xfId="13027"/>
    <cellStyle name="40% - Accent2 2 2 2 2 17 2" xfId="35802"/>
    <cellStyle name="40% - Accent2 2 2 2 2 18" xfId="13683"/>
    <cellStyle name="40% - Accent2 2 2 2 2 18 2" xfId="36458"/>
    <cellStyle name="40% - Accent2 2 2 2 2 19" xfId="14339"/>
    <cellStyle name="40% - Accent2 2 2 2 2 19 2" xfId="37114"/>
    <cellStyle name="40% - Accent2 2 2 2 2 2" xfId="1547"/>
    <cellStyle name="40% - Accent2 2 2 2 2 2 2" xfId="3843"/>
    <cellStyle name="40% - Accent2 2 2 2 2 2 2 2" xfId="26618"/>
    <cellStyle name="40% - Accent2 2 2 2 2 2 3" xfId="24322"/>
    <cellStyle name="40% - Accent2 2 2 2 2 20" xfId="14995"/>
    <cellStyle name="40% - Accent2 2 2 2 2 20 2" xfId="37770"/>
    <cellStyle name="40% - Accent2 2 2 2 2 21" xfId="15651"/>
    <cellStyle name="40% - Accent2 2 2 2 2 21 2" xfId="38426"/>
    <cellStyle name="40% - Accent2 2 2 2 2 22" xfId="16307"/>
    <cellStyle name="40% - Accent2 2 2 2 2 22 2" xfId="39082"/>
    <cellStyle name="40% - Accent2 2 2 2 2 23" xfId="16963"/>
    <cellStyle name="40% - Accent2 2 2 2 2 23 2" xfId="39738"/>
    <cellStyle name="40% - Accent2 2 2 2 2 24" xfId="17619"/>
    <cellStyle name="40% - Accent2 2 2 2 2 24 2" xfId="40394"/>
    <cellStyle name="40% - Accent2 2 2 2 2 25" xfId="18275"/>
    <cellStyle name="40% - Accent2 2 2 2 2 25 2" xfId="41050"/>
    <cellStyle name="40% - Accent2 2 2 2 2 26" xfId="18931"/>
    <cellStyle name="40% - Accent2 2 2 2 2 26 2" xfId="41706"/>
    <cellStyle name="40% - Accent2 2 2 2 2 27" xfId="19587"/>
    <cellStyle name="40% - Accent2 2 2 2 2 27 2" xfId="42362"/>
    <cellStyle name="40% - Accent2 2 2 2 2 28" xfId="20243"/>
    <cellStyle name="40% - Accent2 2 2 2 2 28 2" xfId="43018"/>
    <cellStyle name="40% - Accent2 2 2 2 2 29" xfId="20899"/>
    <cellStyle name="40% - Accent2 2 2 2 2 29 2" xfId="43674"/>
    <cellStyle name="40% - Accent2 2 2 2 2 3" xfId="2203"/>
    <cellStyle name="40% - Accent2 2 2 2 2 3 2" xfId="4499"/>
    <cellStyle name="40% - Accent2 2 2 2 2 3 2 2" xfId="27274"/>
    <cellStyle name="40% - Accent2 2 2 2 2 3 3" xfId="24978"/>
    <cellStyle name="40% - Accent2 2 2 2 2 30" xfId="21555"/>
    <cellStyle name="40% - Accent2 2 2 2 2 30 2" xfId="44330"/>
    <cellStyle name="40% - Accent2 2 2 2 2 31" xfId="22211"/>
    <cellStyle name="40% - Accent2 2 2 2 2 31 2" xfId="44986"/>
    <cellStyle name="40% - Accent2 2 2 2 2 32" xfId="22867"/>
    <cellStyle name="40% - Accent2 2 2 2 2 32 2" xfId="45642"/>
    <cellStyle name="40% - Accent2 2 2 2 2 33" xfId="23666"/>
    <cellStyle name="40% - Accent2 2 2 2 2 4" xfId="5155"/>
    <cellStyle name="40% - Accent2 2 2 2 2 4 2" xfId="27930"/>
    <cellStyle name="40% - Accent2 2 2 2 2 5" xfId="5811"/>
    <cellStyle name="40% - Accent2 2 2 2 2 5 2" xfId="28586"/>
    <cellStyle name="40% - Accent2 2 2 2 2 6" xfId="6467"/>
    <cellStyle name="40% - Accent2 2 2 2 2 6 2" xfId="29242"/>
    <cellStyle name="40% - Accent2 2 2 2 2 7" xfId="3187"/>
    <cellStyle name="40% - Accent2 2 2 2 2 7 2" xfId="25962"/>
    <cellStyle name="40% - Accent2 2 2 2 2 8" xfId="7123"/>
    <cellStyle name="40% - Accent2 2 2 2 2 8 2" xfId="29898"/>
    <cellStyle name="40% - Accent2 2 2 2 2 9" xfId="7779"/>
    <cellStyle name="40% - Accent2 2 2 2 2 9 2" xfId="30554"/>
    <cellStyle name="40% - Accent2 2 2 2 20" xfId="13355"/>
    <cellStyle name="40% - Accent2 2 2 2 20 2" xfId="36130"/>
    <cellStyle name="40% - Accent2 2 2 2 21" xfId="14011"/>
    <cellStyle name="40% - Accent2 2 2 2 21 2" xfId="36786"/>
    <cellStyle name="40% - Accent2 2 2 2 22" xfId="14667"/>
    <cellStyle name="40% - Accent2 2 2 2 22 2" xfId="37442"/>
    <cellStyle name="40% - Accent2 2 2 2 23" xfId="15323"/>
    <cellStyle name="40% - Accent2 2 2 2 23 2" xfId="38098"/>
    <cellStyle name="40% - Accent2 2 2 2 24" xfId="15979"/>
    <cellStyle name="40% - Accent2 2 2 2 24 2" xfId="38754"/>
    <cellStyle name="40% - Accent2 2 2 2 25" xfId="16635"/>
    <cellStyle name="40% - Accent2 2 2 2 25 2" xfId="39410"/>
    <cellStyle name="40% - Accent2 2 2 2 26" xfId="17291"/>
    <cellStyle name="40% - Accent2 2 2 2 26 2" xfId="40066"/>
    <cellStyle name="40% - Accent2 2 2 2 27" xfId="17947"/>
    <cellStyle name="40% - Accent2 2 2 2 27 2" xfId="40722"/>
    <cellStyle name="40% - Accent2 2 2 2 28" xfId="18603"/>
    <cellStyle name="40% - Accent2 2 2 2 28 2" xfId="41378"/>
    <cellStyle name="40% - Accent2 2 2 2 29" xfId="19259"/>
    <cellStyle name="40% - Accent2 2 2 2 29 2" xfId="42034"/>
    <cellStyle name="40% - Accent2 2 2 2 3" xfId="1219"/>
    <cellStyle name="40% - Accent2 2 2 2 3 2" xfId="2859"/>
    <cellStyle name="40% - Accent2 2 2 2 3 2 2" xfId="25634"/>
    <cellStyle name="40% - Accent2 2 2 2 3 3" xfId="23994"/>
    <cellStyle name="40% - Accent2 2 2 2 30" xfId="19915"/>
    <cellStyle name="40% - Accent2 2 2 2 30 2" xfId="42690"/>
    <cellStyle name="40% - Accent2 2 2 2 31" xfId="20571"/>
    <cellStyle name="40% - Accent2 2 2 2 31 2" xfId="43346"/>
    <cellStyle name="40% - Accent2 2 2 2 32" xfId="21227"/>
    <cellStyle name="40% - Accent2 2 2 2 32 2" xfId="44002"/>
    <cellStyle name="40% - Accent2 2 2 2 33" xfId="21883"/>
    <cellStyle name="40% - Accent2 2 2 2 33 2" xfId="44658"/>
    <cellStyle name="40% - Accent2 2 2 2 34" xfId="22539"/>
    <cellStyle name="40% - Accent2 2 2 2 34 2" xfId="45314"/>
    <cellStyle name="40% - Accent2 2 2 2 35" xfId="23338"/>
    <cellStyle name="40% - Accent2 2 2 2 4" xfId="1875"/>
    <cellStyle name="40% - Accent2 2 2 2 4 2" xfId="3515"/>
    <cellStyle name="40% - Accent2 2 2 2 4 2 2" xfId="26290"/>
    <cellStyle name="40% - Accent2 2 2 2 4 3" xfId="24650"/>
    <cellStyle name="40% - Accent2 2 2 2 5" xfId="4171"/>
    <cellStyle name="40% - Accent2 2 2 2 5 2" xfId="26946"/>
    <cellStyle name="40% - Accent2 2 2 2 6" xfId="4827"/>
    <cellStyle name="40% - Accent2 2 2 2 6 2" xfId="27602"/>
    <cellStyle name="40% - Accent2 2 2 2 7" xfId="5483"/>
    <cellStyle name="40% - Accent2 2 2 2 7 2" xfId="28258"/>
    <cellStyle name="40% - Accent2 2 2 2 8" xfId="6139"/>
    <cellStyle name="40% - Accent2 2 2 2 8 2" xfId="28914"/>
    <cellStyle name="40% - Accent2 2 2 2 9" xfId="2531"/>
    <cellStyle name="40% - Accent2 2 2 2 9 2" xfId="25306"/>
    <cellStyle name="40% - Accent2 2 2 20" xfId="12514"/>
    <cellStyle name="40% - Accent2 2 2 20 2" xfId="35289"/>
    <cellStyle name="40% - Accent2 2 2 21" xfId="13170"/>
    <cellStyle name="40% - Accent2 2 2 21 2" xfId="35945"/>
    <cellStyle name="40% - Accent2 2 2 22" xfId="13826"/>
    <cellStyle name="40% - Accent2 2 2 22 2" xfId="36601"/>
    <cellStyle name="40% - Accent2 2 2 23" xfId="14482"/>
    <cellStyle name="40% - Accent2 2 2 23 2" xfId="37257"/>
    <cellStyle name="40% - Accent2 2 2 24" xfId="15138"/>
    <cellStyle name="40% - Accent2 2 2 24 2" xfId="37913"/>
    <cellStyle name="40% - Accent2 2 2 25" xfId="15794"/>
    <cellStyle name="40% - Accent2 2 2 25 2" xfId="38569"/>
    <cellStyle name="40% - Accent2 2 2 26" xfId="16450"/>
    <cellStyle name="40% - Accent2 2 2 26 2" xfId="39225"/>
    <cellStyle name="40% - Accent2 2 2 27" xfId="17106"/>
    <cellStyle name="40% - Accent2 2 2 27 2" xfId="39881"/>
    <cellStyle name="40% - Accent2 2 2 28" xfId="17762"/>
    <cellStyle name="40% - Accent2 2 2 28 2" xfId="40537"/>
    <cellStyle name="40% - Accent2 2 2 29" xfId="18418"/>
    <cellStyle name="40% - Accent2 2 2 29 2" xfId="41193"/>
    <cellStyle name="40% - Accent2 2 2 3" xfId="706"/>
    <cellStyle name="40% - Accent2 2 2 3 10" xfId="8250"/>
    <cellStyle name="40% - Accent2 2 2 3 10 2" xfId="31025"/>
    <cellStyle name="40% - Accent2 2 2 3 11" xfId="8906"/>
    <cellStyle name="40% - Accent2 2 2 3 11 2" xfId="31681"/>
    <cellStyle name="40% - Accent2 2 2 3 12" xfId="9562"/>
    <cellStyle name="40% - Accent2 2 2 3 12 2" xfId="32337"/>
    <cellStyle name="40% - Accent2 2 2 3 13" xfId="10218"/>
    <cellStyle name="40% - Accent2 2 2 3 13 2" xfId="32993"/>
    <cellStyle name="40% - Accent2 2 2 3 14" xfId="10874"/>
    <cellStyle name="40% - Accent2 2 2 3 14 2" xfId="33649"/>
    <cellStyle name="40% - Accent2 2 2 3 15" xfId="11530"/>
    <cellStyle name="40% - Accent2 2 2 3 15 2" xfId="34305"/>
    <cellStyle name="40% - Accent2 2 2 3 16" xfId="12186"/>
    <cellStyle name="40% - Accent2 2 2 3 16 2" xfId="34961"/>
    <cellStyle name="40% - Accent2 2 2 3 17" xfId="12842"/>
    <cellStyle name="40% - Accent2 2 2 3 17 2" xfId="35617"/>
    <cellStyle name="40% - Accent2 2 2 3 18" xfId="13498"/>
    <cellStyle name="40% - Accent2 2 2 3 18 2" xfId="36273"/>
    <cellStyle name="40% - Accent2 2 2 3 19" xfId="14154"/>
    <cellStyle name="40% - Accent2 2 2 3 19 2" xfId="36929"/>
    <cellStyle name="40% - Accent2 2 2 3 2" xfId="1362"/>
    <cellStyle name="40% - Accent2 2 2 3 2 2" xfId="3658"/>
    <cellStyle name="40% - Accent2 2 2 3 2 2 2" xfId="26433"/>
    <cellStyle name="40% - Accent2 2 2 3 2 3" xfId="24137"/>
    <cellStyle name="40% - Accent2 2 2 3 20" xfId="14810"/>
    <cellStyle name="40% - Accent2 2 2 3 20 2" xfId="37585"/>
    <cellStyle name="40% - Accent2 2 2 3 21" xfId="15466"/>
    <cellStyle name="40% - Accent2 2 2 3 21 2" xfId="38241"/>
    <cellStyle name="40% - Accent2 2 2 3 22" xfId="16122"/>
    <cellStyle name="40% - Accent2 2 2 3 22 2" xfId="38897"/>
    <cellStyle name="40% - Accent2 2 2 3 23" xfId="16778"/>
    <cellStyle name="40% - Accent2 2 2 3 23 2" xfId="39553"/>
    <cellStyle name="40% - Accent2 2 2 3 24" xfId="17434"/>
    <cellStyle name="40% - Accent2 2 2 3 24 2" xfId="40209"/>
    <cellStyle name="40% - Accent2 2 2 3 25" xfId="18090"/>
    <cellStyle name="40% - Accent2 2 2 3 25 2" xfId="40865"/>
    <cellStyle name="40% - Accent2 2 2 3 26" xfId="18746"/>
    <cellStyle name="40% - Accent2 2 2 3 26 2" xfId="41521"/>
    <cellStyle name="40% - Accent2 2 2 3 27" xfId="19402"/>
    <cellStyle name="40% - Accent2 2 2 3 27 2" xfId="42177"/>
    <cellStyle name="40% - Accent2 2 2 3 28" xfId="20058"/>
    <cellStyle name="40% - Accent2 2 2 3 28 2" xfId="42833"/>
    <cellStyle name="40% - Accent2 2 2 3 29" xfId="20714"/>
    <cellStyle name="40% - Accent2 2 2 3 29 2" xfId="43489"/>
    <cellStyle name="40% - Accent2 2 2 3 3" xfId="2018"/>
    <cellStyle name="40% - Accent2 2 2 3 3 2" xfId="4314"/>
    <cellStyle name="40% - Accent2 2 2 3 3 2 2" xfId="27089"/>
    <cellStyle name="40% - Accent2 2 2 3 3 3" xfId="24793"/>
    <cellStyle name="40% - Accent2 2 2 3 30" xfId="21370"/>
    <cellStyle name="40% - Accent2 2 2 3 30 2" xfId="44145"/>
    <cellStyle name="40% - Accent2 2 2 3 31" xfId="22026"/>
    <cellStyle name="40% - Accent2 2 2 3 31 2" xfId="44801"/>
    <cellStyle name="40% - Accent2 2 2 3 32" xfId="22682"/>
    <cellStyle name="40% - Accent2 2 2 3 32 2" xfId="45457"/>
    <cellStyle name="40% - Accent2 2 2 3 33" xfId="23481"/>
    <cellStyle name="40% - Accent2 2 2 3 4" xfId="4970"/>
    <cellStyle name="40% - Accent2 2 2 3 4 2" xfId="27745"/>
    <cellStyle name="40% - Accent2 2 2 3 5" xfId="5626"/>
    <cellStyle name="40% - Accent2 2 2 3 5 2" xfId="28401"/>
    <cellStyle name="40% - Accent2 2 2 3 6" xfId="6282"/>
    <cellStyle name="40% - Accent2 2 2 3 6 2" xfId="29057"/>
    <cellStyle name="40% - Accent2 2 2 3 7" xfId="3002"/>
    <cellStyle name="40% - Accent2 2 2 3 7 2" xfId="25777"/>
    <cellStyle name="40% - Accent2 2 2 3 8" xfId="6938"/>
    <cellStyle name="40% - Accent2 2 2 3 8 2" xfId="29713"/>
    <cellStyle name="40% - Accent2 2 2 3 9" xfId="7594"/>
    <cellStyle name="40% - Accent2 2 2 3 9 2" xfId="30369"/>
    <cellStyle name="40% - Accent2 2 2 30" xfId="19074"/>
    <cellStyle name="40% - Accent2 2 2 30 2" xfId="41849"/>
    <cellStyle name="40% - Accent2 2 2 31" xfId="19730"/>
    <cellStyle name="40% - Accent2 2 2 31 2" xfId="42505"/>
    <cellStyle name="40% - Accent2 2 2 32" xfId="20386"/>
    <cellStyle name="40% - Accent2 2 2 32 2" xfId="43161"/>
    <cellStyle name="40% - Accent2 2 2 33" xfId="21042"/>
    <cellStyle name="40% - Accent2 2 2 33 2" xfId="43817"/>
    <cellStyle name="40% - Accent2 2 2 34" xfId="21698"/>
    <cellStyle name="40% - Accent2 2 2 34 2" xfId="44473"/>
    <cellStyle name="40% - Accent2 2 2 35" xfId="22354"/>
    <cellStyle name="40% - Accent2 2 2 35 2" xfId="45129"/>
    <cellStyle name="40% - Accent2 2 2 36" xfId="23010"/>
    <cellStyle name="40% - Accent2 2 2 4" xfId="379"/>
    <cellStyle name="40% - Accent2 2 2 4 2" xfId="2674"/>
    <cellStyle name="40% - Accent2 2 2 4 2 2" xfId="25449"/>
    <cellStyle name="40% - Accent2 2 2 4 3" xfId="23153"/>
    <cellStyle name="40% - Accent2 2 2 5" xfId="1034"/>
    <cellStyle name="40% - Accent2 2 2 5 2" xfId="3330"/>
    <cellStyle name="40% - Accent2 2 2 5 2 2" xfId="26105"/>
    <cellStyle name="40% - Accent2 2 2 5 3" xfId="23809"/>
    <cellStyle name="40% - Accent2 2 2 6" xfId="1690"/>
    <cellStyle name="40% - Accent2 2 2 6 2" xfId="3986"/>
    <cellStyle name="40% - Accent2 2 2 6 2 2" xfId="26761"/>
    <cellStyle name="40% - Accent2 2 2 6 3" xfId="24465"/>
    <cellStyle name="40% - Accent2 2 2 7" xfId="4642"/>
    <cellStyle name="40% - Accent2 2 2 7 2" xfId="27417"/>
    <cellStyle name="40% - Accent2 2 2 8" xfId="5298"/>
    <cellStyle name="40% - Accent2 2 2 8 2" xfId="28073"/>
    <cellStyle name="40% - Accent2 2 2 9" xfId="5954"/>
    <cellStyle name="40% - Accent2 2 2 9 2" xfId="28729"/>
    <cellStyle name="40% - Accent2 2 20" xfId="11772"/>
    <cellStyle name="40% - Accent2 2 20 2" xfId="34547"/>
    <cellStyle name="40% - Accent2 2 21" xfId="12428"/>
    <cellStyle name="40% - Accent2 2 21 2" xfId="35203"/>
    <cellStyle name="40% - Accent2 2 22" xfId="13084"/>
    <cellStyle name="40% - Accent2 2 22 2" xfId="35859"/>
    <cellStyle name="40% - Accent2 2 23" xfId="13740"/>
    <cellStyle name="40% - Accent2 2 23 2" xfId="36515"/>
    <cellStyle name="40% - Accent2 2 24" xfId="14396"/>
    <cellStyle name="40% - Accent2 2 24 2" xfId="37171"/>
    <cellStyle name="40% - Accent2 2 25" xfId="15052"/>
    <cellStyle name="40% - Accent2 2 25 2" xfId="37827"/>
    <cellStyle name="40% - Accent2 2 26" xfId="15708"/>
    <cellStyle name="40% - Accent2 2 26 2" xfId="38483"/>
    <cellStyle name="40% - Accent2 2 27" xfId="16364"/>
    <cellStyle name="40% - Accent2 2 27 2" xfId="39139"/>
    <cellStyle name="40% - Accent2 2 28" xfId="17020"/>
    <cellStyle name="40% - Accent2 2 28 2" xfId="39795"/>
    <cellStyle name="40% - Accent2 2 29" xfId="17676"/>
    <cellStyle name="40% - Accent2 2 29 2" xfId="40451"/>
    <cellStyle name="40% - Accent2 2 3" xfId="478"/>
    <cellStyle name="40% - Accent2 2 3 10" xfId="6709"/>
    <cellStyle name="40% - Accent2 2 3 10 2" xfId="29484"/>
    <cellStyle name="40% - Accent2 2 3 11" xfId="7365"/>
    <cellStyle name="40% - Accent2 2 3 11 2" xfId="30140"/>
    <cellStyle name="40% - Accent2 2 3 12" xfId="8021"/>
    <cellStyle name="40% - Accent2 2 3 12 2" xfId="30796"/>
    <cellStyle name="40% - Accent2 2 3 13" xfId="8677"/>
    <cellStyle name="40% - Accent2 2 3 13 2" xfId="31452"/>
    <cellStyle name="40% - Accent2 2 3 14" xfId="9333"/>
    <cellStyle name="40% - Accent2 2 3 14 2" xfId="32108"/>
    <cellStyle name="40% - Accent2 2 3 15" xfId="9989"/>
    <cellStyle name="40% - Accent2 2 3 15 2" xfId="32764"/>
    <cellStyle name="40% - Accent2 2 3 16" xfId="10645"/>
    <cellStyle name="40% - Accent2 2 3 16 2" xfId="33420"/>
    <cellStyle name="40% - Accent2 2 3 17" xfId="11301"/>
    <cellStyle name="40% - Accent2 2 3 17 2" xfId="34076"/>
    <cellStyle name="40% - Accent2 2 3 18" xfId="11957"/>
    <cellStyle name="40% - Accent2 2 3 18 2" xfId="34732"/>
    <cellStyle name="40% - Accent2 2 3 19" xfId="12613"/>
    <cellStyle name="40% - Accent2 2 3 19 2" xfId="35388"/>
    <cellStyle name="40% - Accent2 2 3 2" xfId="805"/>
    <cellStyle name="40% - Accent2 2 3 2 10" xfId="8349"/>
    <cellStyle name="40% - Accent2 2 3 2 10 2" xfId="31124"/>
    <cellStyle name="40% - Accent2 2 3 2 11" xfId="9005"/>
    <cellStyle name="40% - Accent2 2 3 2 11 2" xfId="31780"/>
    <cellStyle name="40% - Accent2 2 3 2 12" xfId="9661"/>
    <cellStyle name="40% - Accent2 2 3 2 12 2" xfId="32436"/>
    <cellStyle name="40% - Accent2 2 3 2 13" xfId="10317"/>
    <cellStyle name="40% - Accent2 2 3 2 13 2" xfId="33092"/>
    <cellStyle name="40% - Accent2 2 3 2 14" xfId="10973"/>
    <cellStyle name="40% - Accent2 2 3 2 14 2" xfId="33748"/>
    <cellStyle name="40% - Accent2 2 3 2 15" xfId="11629"/>
    <cellStyle name="40% - Accent2 2 3 2 15 2" xfId="34404"/>
    <cellStyle name="40% - Accent2 2 3 2 16" xfId="12285"/>
    <cellStyle name="40% - Accent2 2 3 2 16 2" xfId="35060"/>
    <cellStyle name="40% - Accent2 2 3 2 17" xfId="12941"/>
    <cellStyle name="40% - Accent2 2 3 2 17 2" xfId="35716"/>
    <cellStyle name="40% - Accent2 2 3 2 18" xfId="13597"/>
    <cellStyle name="40% - Accent2 2 3 2 18 2" xfId="36372"/>
    <cellStyle name="40% - Accent2 2 3 2 19" xfId="14253"/>
    <cellStyle name="40% - Accent2 2 3 2 19 2" xfId="37028"/>
    <cellStyle name="40% - Accent2 2 3 2 2" xfId="1461"/>
    <cellStyle name="40% - Accent2 2 3 2 2 2" xfId="3757"/>
    <cellStyle name="40% - Accent2 2 3 2 2 2 2" xfId="26532"/>
    <cellStyle name="40% - Accent2 2 3 2 2 3" xfId="24236"/>
    <cellStyle name="40% - Accent2 2 3 2 20" xfId="14909"/>
    <cellStyle name="40% - Accent2 2 3 2 20 2" xfId="37684"/>
    <cellStyle name="40% - Accent2 2 3 2 21" xfId="15565"/>
    <cellStyle name="40% - Accent2 2 3 2 21 2" xfId="38340"/>
    <cellStyle name="40% - Accent2 2 3 2 22" xfId="16221"/>
    <cellStyle name="40% - Accent2 2 3 2 22 2" xfId="38996"/>
    <cellStyle name="40% - Accent2 2 3 2 23" xfId="16877"/>
    <cellStyle name="40% - Accent2 2 3 2 23 2" xfId="39652"/>
    <cellStyle name="40% - Accent2 2 3 2 24" xfId="17533"/>
    <cellStyle name="40% - Accent2 2 3 2 24 2" xfId="40308"/>
    <cellStyle name="40% - Accent2 2 3 2 25" xfId="18189"/>
    <cellStyle name="40% - Accent2 2 3 2 25 2" xfId="40964"/>
    <cellStyle name="40% - Accent2 2 3 2 26" xfId="18845"/>
    <cellStyle name="40% - Accent2 2 3 2 26 2" xfId="41620"/>
    <cellStyle name="40% - Accent2 2 3 2 27" xfId="19501"/>
    <cellStyle name="40% - Accent2 2 3 2 27 2" xfId="42276"/>
    <cellStyle name="40% - Accent2 2 3 2 28" xfId="20157"/>
    <cellStyle name="40% - Accent2 2 3 2 28 2" xfId="42932"/>
    <cellStyle name="40% - Accent2 2 3 2 29" xfId="20813"/>
    <cellStyle name="40% - Accent2 2 3 2 29 2" xfId="43588"/>
    <cellStyle name="40% - Accent2 2 3 2 3" xfId="2117"/>
    <cellStyle name="40% - Accent2 2 3 2 3 2" xfId="4413"/>
    <cellStyle name="40% - Accent2 2 3 2 3 2 2" xfId="27188"/>
    <cellStyle name="40% - Accent2 2 3 2 3 3" xfId="24892"/>
    <cellStyle name="40% - Accent2 2 3 2 30" xfId="21469"/>
    <cellStyle name="40% - Accent2 2 3 2 30 2" xfId="44244"/>
    <cellStyle name="40% - Accent2 2 3 2 31" xfId="22125"/>
    <cellStyle name="40% - Accent2 2 3 2 31 2" xfId="44900"/>
    <cellStyle name="40% - Accent2 2 3 2 32" xfId="22781"/>
    <cellStyle name="40% - Accent2 2 3 2 32 2" xfId="45556"/>
    <cellStyle name="40% - Accent2 2 3 2 33" xfId="23580"/>
    <cellStyle name="40% - Accent2 2 3 2 4" xfId="5069"/>
    <cellStyle name="40% - Accent2 2 3 2 4 2" xfId="27844"/>
    <cellStyle name="40% - Accent2 2 3 2 5" xfId="5725"/>
    <cellStyle name="40% - Accent2 2 3 2 5 2" xfId="28500"/>
    <cellStyle name="40% - Accent2 2 3 2 6" xfId="6381"/>
    <cellStyle name="40% - Accent2 2 3 2 6 2" xfId="29156"/>
    <cellStyle name="40% - Accent2 2 3 2 7" xfId="3101"/>
    <cellStyle name="40% - Accent2 2 3 2 7 2" xfId="25876"/>
    <cellStyle name="40% - Accent2 2 3 2 8" xfId="7037"/>
    <cellStyle name="40% - Accent2 2 3 2 8 2" xfId="29812"/>
    <cellStyle name="40% - Accent2 2 3 2 9" xfId="7693"/>
    <cellStyle name="40% - Accent2 2 3 2 9 2" xfId="30468"/>
    <cellStyle name="40% - Accent2 2 3 20" xfId="13269"/>
    <cellStyle name="40% - Accent2 2 3 20 2" xfId="36044"/>
    <cellStyle name="40% - Accent2 2 3 21" xfId="13925"/>
    <cellStyle name="40% - Accent2 2 3 21 2" xfId="36700"/>
    <cellStyle name="40% - Accent2 2 3 22" xfId="14581"/>
    <cellStyle name="40% - Accent2 2 3 22 2" xfId="37356"/>
    <cellStyle name="40% - Accent2 2 3 23" xfId="15237"/>
    <cellStyle name="40% - Accent2 2 3 23 2" xfId="38012"/>
    <cellStyle name="40% - Accent2 2 3 24" xfId="15893"/>
    <cellStyle name="40% - Accent2 2 3 24 2" xfId="38668"/>
    <cellStyle name="40% - Accent2 2 3 25" xfId="16549"/>
    <cellStyle name="40% - Accent2 2 3 25 2" xfId="39324"/>
    <cellStyle name="40% - Accent2 2 3 26" xfId="17205"/>
    <cellStyle name="40% - Accent2 2 3 26 2" xfId="39980"/>
    <cellStyle name="40% - Accent2 2 3 27" xfId="17861"/>
    <cellStyle name="40% - Accent2 2 3 27 2" xfId="40636"/>
    <cellStyle name="40% - Accent2 2 3 28" xfId="18517"/>
    <cellStyle name="40% - Accent2 2 3 28 2" xfId="41292"/>
    <cellStyle name="40% - Accent2 2 3 29" xfId="19173"/>
    <cellStyle name="40% - Accent2 2 3 29 2" xfId="41948"/>
    <cellStyle name="40% - Accent2 2 3 3" xfId="1133"/>
    <cellStyle name="40% - Accent2 2 3 3 2" xfId="2773"/>
    <cellStyle name="40% - Accent2 2 3 3 2 2" xfId="25548"/>
    <cellStyle name="40% - Accent2 2 3 3 3" xfId="23908"/>
    <cellStyle name="40% - Accent2 2 3 30" xfId="19829"/>
    <cellStyle name="40% - Accent2 2 3 30 2" xfId="42604"/>
    <cellStyle name="40% - Accent2 2 3 31" xfId="20485"/>
    <cellStyle name="40% - Accent2 2 3 31 2" xfId="43260"/>
    <cellStyle name="40% - Accent2 2 3 32" xfId="21141"/>
    <cellStyle name="40% - Accent2 2 3 32 2" xfId="43916"/>
    <cellStyle name="40% - Accent2 2 3 33" xfId="21797"/>
    <cellStyle name="40% - Accent2 2 3 33 2" xfId="44572"/>
    <cellStyle name="40% - Accent2 2 3 34" xfId="22453"/>
    <cellStyle name="40% - Accent2 2 3 34 2" xfId="45228"/>
    <cellStyle name="40% - Accent2 2 3 35" xfId="23252"/>
    <cellStyle name="40% - Accent2 2 3 4" xfId="1789"/>
    <cellStyle name="40% - Accent2 2 3 4 2" xfId="3429"/>
    <cellStyle name="40% - Accent2 2 3 4 2 2" xfId="26204"/>
    <cellStyle name="40% - Accent2 2 3 4 3" xfId="24564"/>
    <cellStyle name="40% - Accent2 2 3 5" xfId="4085"/>
    <cellStyle name="40% - Accent2 2 3 5 2" xfId="26860"/>
    <cellStyle name="40% - Accent2 2 3 6" xfId="4741"/>
    <cellStyle name="40% - Accent2 2 3 6 2" xfId="27516"/>
    <cellStyle name="40% - Accent2 2 3 7" xfId="5397"/>
    <cellStyle name="40% - Accent2 2 3 7 2" xfId="28172"/>
    <cellStyle name="40% - Accent2 2 3 8" xfId="6053"/>
    <cellStyle name="40% - Accent2 2 3 8 2" xfId="28828"/>
    <cellStyle name="40% - Accent2 2 3 9" xfId="2445"/>
    <cellStyle name="40% - Accent2 2 3 9 2" xfId="25220"/>
    <cellStyle name="40% - Accent2 2 30" xfId="18332"/>
    <cellStyle name="40% - Accent2 2 30 2" xfId="41107"/>
    <cellStyle name="40% - Accent2 2 31" xfId="18988"/>
    <cellStyle name="40% - Accent2 2 31 2" xfId="41763"/>
    <cellStyle name="40% - Accent2 2 32" xfId="19644"/>
    <cellStyle name="40% - Accent2 2 32 2" xfId="42419"/>
    <cellStyle name="40% - Accent2 2 33" xfId="20300"/>
    <cellStyle name="40% - Accent2 2 33 2" xfId="43075"/>
    <cellStyle name="40% - Accent2 2 34" xfId="20956"/>
    <cellStyle name="40% - Accent2 2 34 2" xfId="43731"/>
    <cellStyle name="40% - Accent2 2 35" xfId="21612"/>
    <cellStyle name="40% - Accent2 2 35 2" xfId="44387"/>
    <cellStyle name="40% - Accent2 2 36" xfId="22268"/>
    <cellStyle name="40% - Accent2 2 36 2" xfId="45043"/>
    <cellStyle name="40% - Accent2 2 37" xfId="207"/>
    <cellStyle name="40% - Accent2 2 38" xfId="22924"/>
    <cellStyle name="40% - Accent2 2 4" xfId="620"/>
    <cellStyle name="40% - Accent2 2 4 10" xfId="8164"/>
    <cellStyle name="40% - Accent2 2 4 10 2" xfId="30939"/>
    <cellStyle name="40% - Accent2 2 4 11" xfId="8820"/>
    <cellStyle name="40% - Accent2 2 4 11 2" xfId="31595"/>
    <cellStyle name="40% - Accent2 2 4 12" xfId="9476"/>
    <cellStyle name="40% - Accent2 2 4 12 2" xfId="32251"/>
    <cellStyle name="40% - Accent2 2 4 13" xfId="10132"/>
    <cellStyle name="40% - Accent2 2 4 13 2" xfId="32907"/>
    <cellStyle name="40% - Accent2 2 4 14" xfId="10788"/>
    <cellStyle name="40% - Accent2 2 4 14 2" xfId="33563"/>
    <cellStyle name="40% - Accent2 2 4 15" xfId="11444"/>
    <cellStyle name="40% - Accent2 2 4 15 2" xfId="34219"/>
    <cellStyle name="40% - Accent2 2 4 16" xfId="12100"/>
    <cellStyle name="40% - Accent2 2 4 16 2" xfId="34875"/>
    <cellStyle name="40% - Accent2 2 4 17" xfId="12756"/>
    <cellStyle name="40% - Accent2 2 4 17 2" xfId="35531"/>
    <cellStyle name="40% - Accent2 2 4 18" xfId="13412"/>
    <cellStyle name="40% - Accent2 2 4 18 2" xfId="36187"/>
    <cellStyle name="40% - Accent2 2 4 19" xfId="14068"/>
    <cellStyle name="40% - Accent2 2 4 19 2" xfId="36843"/>
    <cellStyle name="40% - Accent2 2 4 2" xfId="1276"/>
    <cellStyle name="40% - Accent2 2 4 2 2" xfId="3572"/>
    <cellStyle name="40% - Accent2 2 4 2 2 2" xfId="26347"/>
    <cellStyle name="40% - Accent2 2 4 2 3" xfId="24051"/>
    <cellStyle name="40% - Accent2 2 4 20" xfId="14724"/>
    <cellStyle name="40% - Accent2 2 4 20 2" xfId="37499"/>
    <cellStyle name="40% - Accent2 2 4 21" xfId="15380"/>
    <cellStyle name="40% - Accent2 2 4 21 2" xfId="38155"/>
    <cellStyle name="40% - Accent2 2 4 22" xfId="16036"/>
    <cellStyle name="40% - Accent2 2 4 22 2" xfId="38811"/>
    <cellStyle name="40% - Accent2 2 4 23" xfId="16692"/>
    <cellStyle name="40% - Accent2 2 4 23 2" xfId="39467"/>
    <cellStyle name="40% - Accent2 2 4 24" xfId="17348"/>
    <cellStyle name="40% - Accent2 2 4 24 2" xfId="40123"/>
    <cellStyle name="40% - Accent2 2 4 25" xfId="18004"/>
    <cellStyle name="40% - Accent2 2 4 25 2" xfId="40779"/>
    <cellStyle name="40% - Accent2 2 4 26" xfId="18660"/>
    <cellStyle name="40% - Accent2 2 4 26 2" xfId="41435"/>
    <cellStyle name="40% - Accent2 2 4 27" xfId="19316"/>
    <cellStyle name="40% - Accent2 2 4 27 2" xfId="42091"/>
    <cellStyle name="40% - Accent2 2 4 28" xfId="19972"/>
    <cellStyle name="40% - Accent2 2 4 28 2" xfId="42747"/>
    <cellStyle name="40% - Accent2 2 4 29" xfId="20628"/>
    <cellStyle name="40% - Accent2 2 4 29 2" xfId="43403"/>
    <cellStyle name="40% - Accent2 2 4 3" xfId="1932"/>
    <cellStyle name="40% - Accent2 2 4 3 2" xfId="4228"/>
    <cellStyle name="40% - Accent2 2 4 3 2 2" xfId="27003"/>
    <cellStyle name="40% - Accent2 2 4 3 3" xfId="24707"/>
    <cellStyle name="40% - Accent2 2 4 30" xfId="21284"/>
    <cellStyle name="40% - Accent2 2 4 30 2" xfId="44059"/>
    <cellStyle name="40% - Accent2 2 4 31" xfId="21940"/>
    <cellStyle name="40% - Accent2 2 4 31 2" xfId="44715"/>
    <cellStyle name="40% - Accent2 2 4 32" xfId="22596"/>
    <cellStyle name="40% - Accent2 2 4 32 2" xfId="45371"/>
    <cellStyle name="40% - Accent2 2 4 33" xfId="23395"/>
    <cellStyle name="40% - Accent2 2 4 4" xfId="4884"/>
    <cellStyle name="40% - Accent2 2 4 4 2" xfId="27659"/>
    <cellStyle name="40% - Accent2 2 4 5" xfId="5540"/>
    <cellStyle name="40% - Accent2 2 4 5 2" xfId="28315"/>
    <cellStyle name="40% - Accent2 2 4 6" xfId="6196"/>
    <cellStyle name="40% - Accent2 2 4 6 2" xfId="28971"/>
    <cellStyle name="40% - Accent2 2 4 7" xfId="2916"/>
    <cellStyle name="40% - Accent2 2 4 7 2" xfId="25691"/>
    <cellStyle name="40% - Accent2 2 4 8" xfId="6852"/>
    <cellStyle name="40% - Accent2 2 4 8 2" xfId="29627"/>
    <cellStyle name="40% - Accent2 2 4 9" xfId="7508"/>
    <cellStyle name="40% - Accent2 2 4 9 2" xfId="30283"/>
    <cellStyle name="40% - Accent2 2 5" xfId="293"/>
    <cellStyle name="40% - Accent2 2 5 2" xfId="2588"/>
    <cellStyle name="40% - Accent2 2 5 2 2" xfId="25363"/>
    <cellStyle name="40% - Accent2 2 5 3" xfId="23067"/>
    <cellStyle name="40% - Accent2 2 6" xfId="948"/>
    <cellStyle name="40% - Accent2 2 6 2" xfId="3244"/>
    <cellStyle name="40% - Accent2 2 6 2 2" xfId="26019"/>
    <cellStyle name="40% - Accent2 2 6 3" xfId="23723"/>
    <cellStyle name="40% - Accent2 2 7" xfId="1604"/>
    <cellStyle name="40% - Accent2 2 7 2" xfId="3900"/>
    <cellStyle name="40% - Accent2 2 7 2 2" xfId="26675"/>
    <cellStyle name="40% - Accent2 2 7 3" xfId="24379"/>
    <cellStyle name="40% - Accent2 2 8" xfId="4556"/>
    <cellStyle name="40% - Accent2 2 8 2" xfId="27331"/>
    <cellStyle name="40% - Accent2 2 9" xfId="5212"/>
    <cellStyle name="40% - Accent2 2 9 2" xfId="27987"/>
    <cellStyle name="40% - Accent2 20" xfId="7164"/>
    <cellStyle name="40% - Accent2 20 2" xfId="29939"/>
    <cellStyle name="40% - Accent2 21" xfId="7820"/>
    <cellStyle name="40% - Accent2 21 2" xfId="30595"/>
    <cellStyle name="40% - Accent2 22" xfId="8476"/>
    <cellStyle name="40% - Accent2 22 2" xfId="31251"/>
    <cellStyle name="40% - Accent2 23" xfId="9132"/>
    <cellStyle name="40% - Accent2 23 2" xfId="31907"/>
    <cellStyle name="40% - Accent2 24" xfId="9788"/>
    <cellStyle name="40% - Accent2 24 2" xfId="32563"/>
    <cellStyle name="40% - Accent2 25" xfId="10444"/>
    <cellStyle name="40% - Accent2 25 2" xfId="33219"/>
    <cellStyle name="40% - Accent2 26" xfId="11100"/>
    <cellStyle name="40% - Accent2 26 2" xfId="33875"/>
    <cellStyle name="40% - Accent2 27" xfId="11756"/>
    <cellStyle name="40% - Accent2 27 2" xfId="34531"/>
    <cellStyle name="40% - Accent2 28" xfId="12412"/>
    <cellStyle name="40% - Accent2 28 2" xfId="35187"/>
    <cellStyle name="40% - Accent2 29" xfId="13068"/>
    <cellStyle name="40% - Accent2 29 2" xfId="35843"/>
    <cellStyle name="40% - Accent2 3" xfId="56"/>
    <cellStyle name="40% - Accent2 3 10" xfId="5883"/>
    <cellStyle name="40% - Accent2 3 10 2" xfId="28658"/>
    <cellStyle name="40% - Accent2 3 11" xfId="2275"/>
    <cellStyle name="40% - Accent2 3 11 2" xfId="25050"/>
    <cellStyle name="40% - Accent2 3 12" xfId="6539"/>
    <cellStyle name="40% - Accent2 3 12 2" xfId="29314"/>
    <cellStyle name="40% - Accent2 3 13" xfId="7195"/>
    <cellStyle name="40% - Accent2 3 13 2" xfId="29970"/>
    <cellStyle name="40% - Accent2 3 14" xfId="7851"/>
    <cellStyle name="40% - Accent2 3 14 2" xfId="30626"/>
    <cellStyle name="40% - Accent2 3 15" xfId="8507"/>
    <cellStyle name="40% - Accent2 3 15 2" xfId="31282"/>
    <cellStyle name="40% - Accent2 3 16" xfId="9163"/>
    <cellStyle name="40% - Accent2 3 16 2" xfId="31938"/>
    <cellStyle name="40% - Accent2 3 17" xfId="9819"/>
    <cellStyle name="40% - Accent2 3 17 2" xfId="32594"/>
    <cellStyle name="40% - Accent2 3 18" xfId="10475"/>
    <cellStyle name="40% - Accent2 3 18 2" xfId="33250"/>
    <cellStyle name="40% - Accent2 3 19" xfId="11131"/>
    <cellStyle name="40% - Accent2 3 19 2" xfId="33906"/>
    <cellStyle name="40% - Accent2 3 2" xfId="134"/>
    <cellStyle name="40% - Accent2 3 2 10" xfId="2330"/>
    <cellStyle name="40% - Accent2 3 2 10 2" xfId="25105"/>
    <cellStyle name="40% - Accent2 3 2 11" xfId="6594"/>
    <cellStyle name="40% - Accent2 3 2 11 2" xfId="29369"/>
    <cellStyle name="40% - Accent2 3 2 12" xfId="7250"/>
    <cellStyle name="40% - Accent2 3 2 12 2" xfId="30025"/>
    <cellStyle name="40% - Accent2 3 2 13" xfId="7906"/>
    <cellStyle name="40% - Accent2 3 2 13 2" xfId="30681"/>
    <cellStyle name="40% - Accent2 3 2 14" xfId="8562"/>
    <cellStyle name="40% - Accent2 3 2 14 2" xfId="31337"/>
    <cellStyle name="40% - Accent2 3 2 15" xfId="9218"/>
    <cellStyle name="40% - Accent2 3 2 15 2" xfId="31993"/>
    <cellStyle name="40% - Accent2 3 2 16" xfId="9874"/>
    <cellStyle name="40% - Accent2 3 2 16 2" xfId="32649"/>
    <cellStyle name="40% - Accent2 3 2 17" xfId="10530"/>
    <cellStyle name="40% - Accent2 3 2 17 2" xfId="33305"/>
    <cellStyle name="40% - Accent2 3 2 18" xfId="11186"/>
    <cellStyle name="40% - Accent2 3 2 18 2" xfId="33961"/>
    <cellStyle name="40% - Accent2 3 2 19" xfId="11842"/>
    <cellStyle name="40% - Accent2 3 2 19 2" xfId="34617"/>
    <cellStyle name="40% - Accent2 3 2 2" xfId="546"/>
    <cellStyle name="40% - Accent2 3 2 2 10" xfId="6779"/>
    <cellStyle name="40% - Accent2 3 2 2 10 2" xfId="29554"/>
    <cellStyle name="40% - Accent2 3 2 2 11" xfId="7435"/>
    <cellStyle name="40% - Accent2 3 2 2 11 2" xfId="30210"/>
    <cellStyle name="40% - Accent2 3 2 2 12" xfId="8091"/>
    <cellStyle name="40% - Accent2 3 2 2 12 2" xfId="30866"/>
    <cellStyle name="40% - Accent2 3 2 2 13" xfId="8747"/>
    <cellStyle name="40% - Accent2 3 2 2 13 2" xfId="31522"/>
    <cellStyle name="40% - Accent2 3 2 2 14" xfId="9403"/>
    <cellStyle name="40% - Accent2 3 2 2 14 2" xfId="32178"/>
    <cellStyle name="40% - Accent2 3 2 2 15" xfId="10059"/>
    <cellStyle name="40% - Accent2 3 2 2 15 2" xfId="32834"/>
    <cellStyle name="40% - Accent2 3 2 2 16" xfId="10715"/>
    <cellStyle name="40% - Accent2 3 2 2 16 2" xfId="33490"/>
    <cellStyle name="40% - Accent2 3 2 2 17" xfId="11371"/>
    <cellStyle name="40% - Accent2 3 2 2 17 2" xfId="34146"/>
    <cellStyle name="40% - Accent2 3 2 2 18" xfId="12027"/>
    <cellStyle name="40% - Accent2 3 2 2 18 2" xfId="34802"/>
    <cellStyle name="40% - Accent2 3 2 2 19" xfId="12683"/>
    <cellStyle name="40% - Accent2 3 2 2 19 2" xfId="35458"/>
    <cellStyle name="40% - Accent2 3 2 2 2" xfId="875"/>
    <cellStyle name="40% - Accent2 3 2 2 2 10" xfId="8419"/>
    <cellStyle name="40% - Accent2 3 2 2 2 10 2" xfId="31194"/>
    <cellStyle name="40% - Accent2 3 2 2 2 11" xfId="9075"/>
    <cellStyle name="40% - Accent2 3 2 2 2 11 2" xfId="31850"/>
    <cellStyle name="40% - Accent2 3 2 2 2 12" xfId="9731"/>
    <cellStyle name="40% - Accent2 3 2 2 2 12 2" xfId="32506"/>
    <cellStyle name="40% - Accent2 3 2 2 2 13" xfId="10387"/>
    <cellStyle name="40% - Accent2 3 2 2 2 13 2" xfId="33162"/>
    <cellStyle name="40% - Accent2 3 2 2 2 14" xfId="11043"/>
    <cellStyle name="40% - Accent2 3 2 2 2 14 2" xfId="33818"/>
    <cellStyle name="40% - Accent2 3 2 2 2 15" xfId="11699"/>
    <cellStyle name="40% - Accent2 3 2 2 2 15 2" xfId="34474"/>
    <cellStyle name="40% - Accent2 3 2 2 2 16" xfId="12355"/>
    <cellStyle name="40% - Accent2 3 2 2 2 16 2" xfId="35130"/>
    <cellStyle name="40% - Accent2 3 2 2 2 17" xfId="13011"/>
    <cellStyle name="40% - Accent2 3 2 2 2 17 2" xfId="35786"/>
    <cellStyle name="40% - Accent2 3 2 2 2 18" xfId="13667"/>
    <cellStyle name="40% - Accent2 3 2 2 2 18 2" xfId="36442"/>
    <cellStyle name="40% - Accent2 3 2 2 2 19" xfId="14323"/>
    <cellStyle name="40% - Accent2 3 2 2 2 19 2" xfId="37098"/>
    <cellStyle name="40% - Accent2 3 2 2 2 2" xfId="1531"/>
    <cellStyle name="40% - Accent2 3 2 2 2 2 2" xfId="3827"/>
    <cellStyle name="40% - Accent2 3 2 2 2 2 2 2" xfId="26602"/>
    <cellStyle name="40% - Accent2 3 2 2 2 2 3" xfId="24306"/>
    <cellStyle name="40% - Accent2 3 2 2 2 20" xfId="14979"/>
    <cellStyle name="40% - Accent2 3 2 2 2 20 2" xfId="37754"/>
    <cellStyle name="40% - Accent2 3 2 2 2 21" xfId="15635"/>
    <cellStyle name="40% - Accent2 3 2 2 2 21 2" xfId="38410"/>
    <cellStyle name="40% - Accent2 3 2 2 2 22" xfId="16291"/>
    <cellStyle name="40% - Accent2 3 2 2 2 22 2" xfId="39066"/>
    <cellStyle name="40% - Accent2 3 2 2 2 23" xfId="16947"/>
    <cellStyle name="40% - Accent2 3 2 2 2 23 2" xfId="39722"/>
    <cellStyle name="40% - Accent2 3 2 2 2 24" xfId="17603"/>
    <cellStyle name="40% - Accent2 3 2 2 2 24 2" xfId="40378"/>
    <cellStyle name="40% - Accent2 3 2 2 2 25" xfId="18259"/>
    <cellStyle name="40% - Accent2 3 2 2 2 25 2" xfId="41034"/>
    <cellStyle name="40% - Accent2 3 2 2 2 26" xfId="18915"/>
    <cellStyle name="40% - Accent2 3 2 2 2 26 2" xfId="41690"/>
    <cellStyle name="40% - Accent2 3 2 2 2 27" xfId="19571"/>
    <cellStyle name="40% - Accent2 3 2 2 2 27 2" xfId="42346"/>
    <cellStyle name="40% - Accent2 3 2 2 2 28" xfId="20227"/>
    <cellStyle name="40% - Accent2 3 2 2 2 28 2" xfId="43002"/>
    <cellStyle name="40% - Accent2 3 2 2 2 29" xfId="20883"/>
    <cellStyle name="40% - Accent2 3 2 2 2 29 2" xfId="43658"/>
    <cellStyle name="40% - Accent2 3 2 2 2 3" xfId="2187"/>
    <cellStyle name="40% - Accent2 3 2 2 2 3 2" xfId="4483"/>
    <cellStyle name="40% - Accent2 3 2 2 2 3 2 2" xfId="27258"/>
    <cellStyle name="40% - Accent2 3 2 2 2 3 3" xfId="24962"/>
    <cellStyle name="40% - Accent2 3 2 2 2 30" xfId="21539"/>
    <cellStyle name="40% - Accent2 3 2 2 2 30 2" xfId="44314"/>
    <cellStyle name="40% - Accent2 3 2 2 2 31" xfId="22195"/>
    <cellStyle name="40% - Accent2 3 2 2 2 31 2" xfId="44970"/>
    <cellStyle name="40% - Accent2 3 2 2 2 32" xfId="22851"/>
    <cellStyle name="40% - Accent2 3 2 2 2 32 2" xfId="45626"/>
    <cellStyle name="40% - Accent2 3 2 2 2 33" xfId="23650"/>
    <cellStyle name="40% - Accent2 3 2 2 2 4" xfId="5139"/>
    <cellStyle name="40% - Accent2 3 2 2 2 4 2" xfId="27914"/>
    <cellStyle name="40% - Accent2 3 2 2 2 5" xfId="5795"/>
    <cellStyle name="40% - Accent2 3 2 2 2 5 2" xfId="28570"/>
    <cellStyle name="40% - Accent2 3 2 2 2 6" xfId="6451"/>
    <cellStyle name="40% - Accent2 3 2 2 2 6 2" xfId="29226"/>
    <cellStyle name="40% - Accent2 3 2 2 2 7" xfId="3171"/>
    <cellStyle name="40% - Accent2 3 2 2 2 7 2" xfId="25946"/>
    <cellStyle name="40% - Accent2 3 2 2 2 8" xfId="7107"/>
    <cellStyle name="40% - Accent2 3 2 2 2 8 2" xfId="29882"/>
    <cellStyle name="40% - Accent2 3 2 2 2 9" xfId="7763"/>
    <cellStyle name="40% - Accent2 3 2 2 2 9 2" xfId="30538"/>
    <cellStyle name="40% - Accent2 3 2 2 20" xfId="13339"/>
    <cellStyle name="40% - Accent2 3 2 2 20 2" xfId="36114"/>
    <cellStyle name="40% - Accent2 3 2 2 21" xfId="13995"/>
    <cellStyle name="40% - Accent2 3 2 2 21 2" xfId="36770"/>
    <cellStyle name="40% - Accent2 3 2 2 22" xfId="14651"/>
    <cellStyle name="40% - Accent2 3 2 2 22 2" xfId="37426"/>
    <cellStyle name="40% - Accent2 3 2 2 23" xfId="15307"/>
    <cellStyle name="40% - Accent2 3 2 2 23 2" xfId="38082"/>
    <cellStyle name="40% - Accent2 3 2 2 24" xfId="15963"/>
    <cellStyle name="40% - Accent2 3 2 2 24 2" xfId="38738"/>
    <cellStyle name="40% - Accent2 3 2 2 25" xfId="16619"/>
    <cellStyle name="40% - Accent2 3 2 2 25 2" xfId="39394"/>
    <cellStyle name="40% - Accent2 3 2 2 26" xfId="17275"/>
    <cellStyle name="40% - Accent2 3 2 2 26 2" xfId="40050"/>
    <cellStyle name="40% - Accent2 3 2 2 27" xfId="17931"/>
    <cellStyle name="40% - Accent2 3 2 2 27 2" xfId="40706"/>
    <cellStyle name="40% - Accent2 3 2 2 28" xfId="18587"/>
    <cellStyle name="40% - Accent2 3 2 2 28 2" xfId="41362"/>
    <cellStyle name="40% - Accent2 3 2 2 29" xfId="19243"/>
    <cellStyle name="40% - Accent2 3 2 2 29 2" xfId="42018"/>
    <cellStyle name="40% - Accent2 3 2 2 3" xfId="1203"/>
    <cellStyle name="40% - Accent2 3 2 2 3 2" xfId="2843"/>
    <cellStyle name="40% - Accent2 3 2 2 3 2 2" xfId="25618"/>
    <cellStyle name="40% - Accent2 3 2 2 3 3" xfId="23978"/>
    <cellStyle name="40% - Accent2 3 2 2 30" xfId="19899"/>
    <cellStyle name="40% - Accent2 3 2 2 30 2" xfId="42674"/>
    <cellStyle name="40% - Accent2 3 2 2 31" xfId="20555"/>
    <cellStyle name="40% - Accent2 3 2 2 31 2" xfId="43330"/>
    <cellStyle name="40% - Accent2 3 2 2 32" xfId="21211"/>
    <cellStyle name="40% - Accent2 3 2 2 32 2" xfId="43986"/>
    <cellStyle name="40% - Accent2 3 2 2 33" xfId="21867"/>
    <cellStyle name="40% - Accent2 3 2 2 33 2" xfId="44642"/>
    <cellStyle name="40% - Accent2 3 2 2 34" xfId="22523"/>
    <cellStyle name="40% - Accent2 3 2 2 34 2" xfId="45298"/>
    <cellStyle name="40% - Accent2 3 2 2 35" xfId="23322"/>
    <cellStyle name="40% - Accent2 3 2 2 4" xfId="1859"/>
    <cellStyle name="40% - Accent2 3 2 2 4 2" xfId="3499"/>
    <cellStyle name="40% - Accent2 3 2 2 4 2 2" xfId="26274"/>
    <cellStyle name="40% - Accent2 3 2 2 4 3" xfId="24634"/>
    <cellStyle name="40% - Accent2 3 2 2 5" xfId="4155"/>
    <cellStyle name="40% - Accent2 3 2 2 5 2" xfId="26930"/>
    <cellStyle name="40% - Accent2 3 2 2 6" xfId="4811"/>
    <cellStyle name="40% - Accent2 3 2 2 6 2" xfId="27586"/>
    <cellStyle name="40% - Accent2 3 2 2 7" xfId="5467"/>
    <cellStyle name="40% - Accent2 3 2 2 7 2" xfId="28242"/>
    <cellStyle name="40% - Accent2 3 2 2 8" xfId="6123"/>
    <cellStyle name="40% - Accent2 3 2 2 8 2" xfId="28898"/>
    <cellStyle name="40% - Accent2 3 2 2 9" xfId="2515"/>
    <cellStyle name="40% - Accent2 3 2 2 9 2" xfId="25290"/>
    <cellStyle name="40% - Accent2 3 2 20" xfId="12498"/>
    <cellStyle name="40% - Accent2 3 2 20 2" xfId="35273"/>
    <cellStyle name="40% - Accent2 3 2 21" xfId="13154"/>
    <cellStyle name="40% - Accent2 3 2 21 2" xfId="35929"/>
    <cellStyle name="40% - Accent2 3 2 22" xfId="13810"/>
    <cellStyle name="40% - Accent2 3 2 22 2" xfId="36585"/>
    <cellStyle name="40% - Accent2 3 2 23" xfId="14466"/>
    <cellStyle name="40% - Accent2 3 2 23 2" xfId="37241"/>
    <cellStyle name="40% - Accent2 3 2 24" xfId="15122"/>
    <cellStyle name="40% - Accent2 3 2 24 2" xfId="37897"/>
    <cellStyle name="40% - Accent2 3 2 25" xfId="15778"/>
    <cellStyle name="40% - Accent2 3 2 25 2" xfId="38553"/>
    <cellStyle name="40% - Accent2 3 2 26" xfId="16434"/>
    <cellStyle name="40% - Accent2 3 2 26 2" xfId="39209"/>
    <cellStyle name="40% - Accent2 3 2 27" xfId="17090"/>
    <cellStyle name="40% - Accent2 3 2 27 2" xfId="39865"/>
    <cellStyle name="40% - Accent2 3 2 28" xfId="17746"/>
    <cellStyle name="40% - Accent2 3 2 28 2" xfId="40521"/>
    <cellStyle name="40% - Accent2 3 2 29" xfId="18402"/>
    <cellStyle name="40% - Accent2 3 2 29 2" xfId="41177"/>
    <cellStyle name="40% - Accent2 3 2 3" xfId="690"/>
    <cellStyle name="40% - Accent2 3 2 3 10" xfId="8234"/>
    <cellStyle name="40% - Accent2 3 2 3 10 2" xfId="31009"/>
    <cellStyle name="40% - Accent2 3 2 3 11" xfId="8890"/>
    <cellStyle name="40% - Accent2 3 2 3 11 2" xfId="31665"/>
    <cellStyle name="40% - Accent2 3 2 3 12" xfId="9546"/>
    <cellStyle name="40% - Accent2 3 2 3 12 2" xfId="32321"/>
    <cellStyle name="40% - Accent2 3 2 3 13" xfId="10202"/>
    <cellStyle name="40% - Accent2 3 2 3 13 2" xfId="32977"/>
    <cellStyle name="40% - Accent2 3 2 3 14" xfId="10858"/>
    <cellStyle name="40% - Accent2 3 2 3 14 2" xfId="33633"/>
    <cellStyle name="40% - Accent2 3 2 3 15" xfId="11514"/>
    <cellStyle name="40% - Accent2 3 2 3 15 2" xfId="34289"/>
    <cellStyle name="40% - Accent2 3 2 3 16" xfId="12170"/>
    <cellStyle name="40% - Accent2 3 2 3 16 2" xfId="34945"/>
    <cellStyle name="40% - Accent2 3 2 3 17" xfId="12826"/>
    <cellStyle name="40% - Accent2 3 2 3 17 2" xfId="35601"/>
    <cellStyle name="40% - Accent2 3 2 3 18" xfId="13482"/>
    <cellStyle name="40% - Accent2 3 2 3 18 2" xfId="36257"/>
    <cellStyle name="40% - Accent2 3 2 3 19" xfId="14138"/>
    <cellStyle name="40% - Accent2 3 2 3 19 2" xfId="36913"/>
    <cellStyle name="40% - Accent2 3 2 3 2" xfId="1346"/>
    <cellStyle name="40% - Accent2 3 2 3 2 2" xfId="3642"/>
    <cellStyle name="40% - Accent2 3 2 3 2 2 2" xfId="26417"/>
    <cellStyle name="40% - Accent2 3 2 3 2 3" xfId="24121"/>
    <cellStyle name="40% - Accent2 3 2 3 20" xfId="14794"/>
    <cellStyle name="40% - Accent2 3 2 3 20 2" xfId="37569"/>
    <cellStyle name="40% - Accent2 3 2 3 21" xfId="15450"/>
    <cellStyle name="40% - Accent2 3 2 3 21 2" xfId="38225"/>
    <cellStyle name="40% - Accent2 3 2 3 22" xfId="16106"/>
    <cellStyle name="40% - Accent2 3 2 3 22 2" xfId="38881"/>
    <cellStyle name="40% - Accent2 3 2 3 23" xfId="16762"/>
    <cellStyle name="40% - Accent2 3 2 3 23 2" xfId="39537"/>
    <cellStyle name="40% - Accent2 3 2 3 24" xfId="17418"/>
    <cellStyle name="40% - Accent2 3 2 3 24 2" xfId="40193"/>
    <cellStyle name="40% - Accent2 3 2 3 25" xfId="18074"/>
    <cellStyle name="40% - Accent2 3 2 3 25 2" xfId="40849"/>
    <cellStyle name="40% - Accent2 3 2 3 26" xfId="18730"/>
    <cellStyle name="40% - Accent2 3 2 3 26 2" xfId="41505"/>
    <cellStyle name="40% - Accent2 3 2 3 27" xfId="19386"/>
    <cellStyle name="40% - Accent2 3 2 3 27 2" xfId="42161"/>
    <cellStyle name="40% - Accent2 3 2 3 28" xfId="20042"/>
    <cellStyle name="40% - Accent2 3 2 3 28 2" xfId="42817"/>
    <cellStyle name="40% - Accent2 3 2 3 29" xfId="20698"/>
    <cellStyle name="40% - Accent2 3 2 3 29 2" xfId="43473"/>
    <cellStyle name="40% - Accent2 3 2 3 3" xfId="2002"/>
    <cellStyle name="40% - Accent2 3 2 3 3 2" xfId="4298"/>
    <cellStyle name="40% - Accent2 3 2 3 3 2 2" xfId="27073"/>
    <cellStyle name="40% - Accent2 3 2 3 3 3" xfId="24777"/>
    <cellStyle name="40% - Accent2 3 2 3 30" xfId="21354"/>
    <cellStyle name="40% - Accent2 3 2 3 30 2" xfId="44129"/>
    <cellStyle name="40% - Accent2 3 2 3 31" xfId="22010"/>
    <cellStyle name="40% - Accent2 3 2 3 31 2" xfId="44785"/>
    <cellStyle name="40% - Accent2 3 2 3 32" xfId="22666"/>
    <cellStyle name="40% - Accent2 3 2 3 32 2" xfId="45441"/>
    <cellStyle name="40% - Accent2 3 2 3 33" xfId="23465"/>
    <cellStyle name="40% - Accent2 3 2 3 4" xfId="4954"/>
    <cellStyle name="40% - Accent2 3 2 3 4 2" xfId="27729"/>
    <cellStyle name="40% - Accent2 3 2 3 5" xfId="5610"/>
    <cellStyle name="40% - Accent2 3 2 3 5 2" xfId="28385"/>
    <cellStyle name="40% - Accent2 3 2 3 6" xfId="6266"/>
    <cellStyle name="40% - Accent2 3 2 3 6 2" xfId="29041"/>
    <cellStyle name="40% - Accent2 3 2 3 7" xfId="2986"/>
    <cellStyle name="40% - Accent2 3 2 3 7 2" xfId="25761"/>
    <cellStyle name="40% - Accent2 3 2 3 8" xfId="6922"/>
    <cellStyle name="40% - Accent2 3 2 3 8 2" xfId="29697"/>
    <cellStyle name="40% - Accent2 3 2 3 9" xfId="7578"/>
    <cellStyle name="40% - Accent2 3 2 3 9 2" xfId="30353"/>
    <cellStyle name="40% - Accent2 3 2 30" xfId="19058"/>
    <cellStyle name="40% - Accent2 3 2 30 2" xfId="41833"/>
    <cellStyle name="40% - Accent2 3 2 31" xfId="19714"/>
    <cellStyle name="40% - Accent2 3 2 31 2" xfId="42489"/>
    <cellStyle name="40% - Accent2 3 2 32" xfId="20370"/>
    <cellStyle name="40% - Accent2 3 2 32 2" xfId="43145"/>
    <cellStyle name="40% - Accent2 3 2 33" xfId="21026"/>
    <cellStyle name="40% - Accent2 3 2 33 2" xfId="43801"/>
    <cellStyle name="40% - Accent2 3 2 34" xfId="21682"/>
    <cellStyle name="40% - Accent2 3 2 34 2" xfId="44457"/>
    <cellStyle name="40% - Accent2 3 2 35" xfId="22338"/>
    <cellStyle name="40% - Accent2 3 2 35 2" xfId="45113"/>
    <cellStyle name="40% - Accent2 3 2 36" xfId="22994"/>
    <cellStyle name="40% - Accent2 3 2 4" xfId="363"/>
    <cellStyle name="40% - Accent2 3 2 4 2" xfId="2658"/>
    <cellStyle name="40% - Accent2 3 2 4 2 2" xfId="25433"/>
    <cellStyle name="40% - Accent2 3 2 4 3" xfId="23137"/>
    <cellStyle name="40% - Accent2 3 2 5" xfId="1018"/>
    <cellStyle name="40% - Accent2 3 2 5 2" xfId="3314"/>
    <cellStyle name="40% - Accent2 3 2 5 2 2" xfId="26089"/>
    <cellStyle name="40% - Accent2 3 2 5 3" xfId="23793"/>
    <cellStyle name="40% - Accent2 3 2 6" xfId="1674"/>
    <cellStyle name="40% - Accent2 3 2 6 2" xfId="3970"/>
    <cellStyle name="40% - Accent2 3 2 6 2 2" xfId="26745"/>
    <cellStyle name="40% - Accent2 3 2 6 3" xfId="24449"/>
    <cellStyle name="40% - Accent2 3 2 7" xfId="4626"/>
    <cellStyle name="40% - Accent2 3 2 7 2" xfId="27401"/>
    <cellStyle name="40% - Accent2 3 2 8" xfId="5282"/>
    <cellStyle name="40% - Accent2 3 2 8 2" xfId="28057"/>
    <cellStyle name="40% - Accent2 3 2 9" xfId="5938"/>
    <cellStyle name="40% - Accent2 3 2 9 2" xfId="28713"/>
    <cellStyle name="40% - Accent2 3 20" xfId="11787"/>
    <cellStyle name="40% - Accent2 3 20 2" xfId="34562"/>
    <cellStyle name="40% - Accent2 3 21" xfId="12443"/>
    <cellStyle name="40% - Accent2 3 21 2" xfId="35218"/>
    <cellStyle name="40% - Accent2 3 22" xfId="13099"/>
    <cellStyle name="40% - Accent2 3 22 2" xfId="35874"/>
    <cellStyle name="40% - Accent2 3 23" xfId="13755"/>
    <cellStyle name="40% - Accent2 3 23 2" xfId="36530"/>
    <cellStyle name="40% - Accent2 3 24" xfId="14411"/>
    <cellStyle name="40% - Accent2 3 24 2" xfId="37186"/>
    <cellStyle name="40% - Accent2 3 25" xfId="15067"/>
    <cellStyle name="40% - Accent2 3 25 2" xfId="37842"/>
    <cellStyle name="40% - Accent2 3 26" xfId="15723"/>
    <cellStyle name="40% - Accent2 3 26 2" xfId="38498"/>
    <cellStyle name="40% - Accent2 3 27" xfId="16379"/>
    <cellStyle name="40% - Accent2 3 27 2" xfId="39154"/>
    <cellStyle name="40% - Accent2 3 28" xfId="17035"/>
    <cellStyle name="40% - Accent2 3 28 2" xfId="39810"/>
    <cellStyle name="40% - Accent2 3 29" xfId="17691"/>
    <cellStyle name="40% - Accent2 3 29 2" xfId="40466"/>
    <cellStyle name="40% - Accent2 3 3" xfId="492"/>
    <cellStyle name="40% - Accent2 3 3 10" xfId="6724"/>
    <cellStyle name="40% - Accent2 3 3 10 2" xfId="29499"/>
    <cellStyle name="40% - Accent2 3 3 11" xfId="7380"/>
    <cellStyle name="40% - Accent2 3 3 11 2" xfId="30155"/>
    <cellStyle name="40% - Accent2 3 3 12" xfId="8036"/>
    <cellStyle name="40% - Accent2 3 3 12 2" xfId="30811"/>
    <cellStyle name="40% - Accent2 3 3 13" xfId="8692"/>
    <cellStyle name="40% - Accent2 3 3 13 2" xfId="31467"/>
    <cellStyle name="40% - Accent2 3 3 14" xfId="9348"/>
    <cellStyle name="40% - Accent2 3 3 14 2" xfId="32123"/>
    <cellStyle name="40% - Accent2 3 3 15" xfId="10004"/>
    <cellStyle name="40% - Accent2 3 3 15 2" xfId="32779"/>
    <cellStyle name="40% - Accent2 3 3 16" xfId="10660"/>
    <cellStyle name="40% - Accent2 3 3 16 2" xfId="33435"/>
    <cellStyle name="40% - Accent2 3 3 17" xfId="11316"/>
    <cellStyle name="40% - Accent2 3 3 17 2" xfId="34091"/>
    <cellStyle name="40% - Accent2 3 3 18" xfId="11972"/>
    <cellStyle name="40% - Accent2 3 3 18 2" xfId="34747"/>
    <cellStyle name="40% - Accent2 3 3 19" xfId="12628"/>
    <cellStyle name="40% - Accent2 3 3 19 2" xfId="35403"/>
    <cellStyle name="40% - Accent2 3 3 2" xfId="820"/>
    <cellStyle name="40% - Accent2 3 3 2 10" xfId="8364"/>
    <cellStyle name="40% - Accent2 3 3 2 10 2" xfId="31139"/>
    <cellStyle name="40% - Accent2 3 3 2 11" xfId="9020"/>
    <cellStyle name="40% - Accent2 3 3 2 11 2" xfId="31795"/>
    <cellStyle name="40% - Accent2 3 3 2 12" xfId="9676"/>
    <cellStyle name="40% - Accent2 3 3 2 12 2" xfId="32451"/>
    <cellStyle name="40% - Accent2 3 3 2 13" xfId="10332"/>
    <cellStyle name="40% - Accent2 3 3 2 13 2" xfId="33107"/>
    <cellStyle name="40% - Accent2 3 3 2 14" xfId="10988"/>
    <cellStyle name="40% - Accent2 3 3 2 14 2" xfId="33763"/>
    <cellStyle name="40% - Accent2 3 3 2 15" xfId="11644"/>
    <cellStyle name="40% - Accent2 3 3 2 15 2" xfId="34419"/>
    <cellStyle name="40% - Accent2 3 3 2 16" xfId="12300"/>
    <cellStyle name="40% - Accent2 3 3 2 16 2" xfId="35075"/>
    <cellStyle name="40% - Accent2 3 3 2 17" xfId="12956"/>
    <cellStyle name="40% - Accent2 3 3 2 17 2" xfId="35731"/>
    <cellStyle name="40% - Accent2 3 3 2 18" xfId="13612"/>
    <cellStyle name="40% - Accent2 3 3 2 18 2" xfId="36387"/>
    <cellStyle name="40% - Accent2 3 3 2 19" xfId="14268"/>
    <cellStyle name="40% - Accent2 3 3 2 19 2" xfId="37043"/>
    <cellStyle name="40% - Accent2 3 3 2 2" xfId="1476"/>
    <cellStyle name="40% - Accent2 3 3 2 2 2" xfId="3772"/>
    <cellStyle name="40% - Accent2 3 3 2 2 2 2" xfId="26547"/>
    <cellStyle name="40% - Accent2 3 3 2 2 3" xfId="24251"/>
    <cellStyle name="40% - Accent2 3 3 2 20" xfId="14924"/>
    <cellStyle name="40% - Accent2 3 3 2 20 2" xfId="37699"/>
    <cellStyle name="40% - Accent2 3 3 2 21" xfId="15580"/>
    <cellStyle name="40% - Accent2 3 3 2 21 2" xfId="38355"/>
    <cellStyle name="40% - Accent2 3 3 2 22" xfId="16236"/>
    <cellStyle name="40% - Accent2 3 3 2 22 2" xfId="39011"/>
    <cellStyle name="40% - Accent2 3 3 2 23" xfId="16892"/>
    <cellStyle name="40% - Accent2 3 3 2 23 2" xfId="39667"/>
    <cellStyle name="40% - Accent2 3 3 2 24" xfId="17548"/>
    <cellStyle name="40% - Accent2 3 3 2 24 2" xfId="40323"/>
    <cellStyle name="40% - Accent2 3 3 2 25" xfId="18204"/>
    <cellStyle name="40% - Accent2 3 3 2 25 2" xfId="40979"/>
    <cellStyle name="40% - Accent2 3 3 2 26" xfId="18860"/>
    <cellStyle name="40% - Accent2 3 3 2 26 2" xfId="41635"/>
    <cellStyle name="40% - Accent2 3 3 2 27" xfId="19516"/>
    <cellStyle name="40% - Accent2 3 3 2 27 2" xfId="42291"/>
    <cellStyle name="40% - Accent2 3 3 2 28" xfId="20172"/>
    <cellStyle name="40% - Accent2 3 3 2 28 2" xfId="42947"/>
    <cellStyle name="40% - Accent2 3 3 2 29" xfId="20828"/>
    <cellStyle name="40% - Accent2 3 3 2 29 2" xfId="43603"/>
    <cellStyle name="40% - Accent2 3 3 2 3" xfId="2132"/>
    <cellStyle name="40% - Accent2 3 3 2 3 2" xfId="4428"/>
    <cellStyle name="40% - Accent2 3 3 2 3 2 2" xfId="27203"/>
    <cellStyle name="40% - Accent2 3 3 2 3 3" xfId="24907"/>
    <cellStyle name="40% - Accent2 3 3 2 30" xfId="21484"/>
    <cellStyle name="40% - Accent2 3 3 2 30 2" xfId="44259"/>
    <cellStyle name="40% - Accent2 3 3 2 31" xfId="22140"/>
    <cellStyle name="40% - Accent2 3 3 2 31 2" xfId="44915"/>
    <cellStyle name="40% - Accent2 3 3 2 32" xfId="22796"/>
    <cellStyle name="40% - Accent2 3 3 2 32 2" xfId="45571"/>
    <cellStyle name="40% - Accent2 3 3 2 33" xfId="23595"/>
    <cellStyle name="40% - Accent2 3 3 2 4" xfId="5084"/>
    <cellStyle name="40% - Accent2 3 3 2 4 2" xfId="27859"/>
    <cellStyle name="40% - Accent2 3 3 2 5" xfId="5740"/>
    <cellStyle name="40% - Accent2 3 3 2 5 2" xfId="28515"/>
    <cellStyle name="40% - Accent2 3 3 2 6" xfId="6396"/>
    <cellStyle name="40% - Accent2 3 3 2 6 2" xfId="29171"/>
    <cellStyle name="40% - Accent2 3 3 2 7" xfId="3116"/>
    <cellStyle name="40% - Accent2 3 3 2 7 2" xfId="25891"/>
    <cellStyle name="40% - Accent2 3 3 2 8" xfId="7052"/>
    <cellStyle name="40% - Accent2 3 3 2 8 2" xfId="29827"/>
    <cellStyle name="40% - Accent2 3 3 2 9" xfId="7708"/>
    <cellStyle name="40% - Accent2 3 3 2 9 2" xfId="30483"/>
    <cellStyle name="40% - Accent2 3 3 20" xfId="13284"/>
    <cellStyle name="40% - Accent2 3 3 20 2" xfId="36059"/>
    <cellStyle name="40% - Accent2 3 3 21" xfId="13940"/>
    <cellStyle name="40% - Accent2 3 3 21 2" xfId="36715"/>
    <cellStyle name="40% - Accent2 3 3 22" xfId="14596"/>
    <cellStyle name="40% - Accent2 3 3 22 2" xfId="37371"/>
    <cellStyle name="40% - Accent2 3 3 23" xfId="15252"/>
    <cellStyle name="40% - Accent2 3 3 23 2" xfId="38027"/>
    <cellStyle name="40% - Accent2 3 3 24" xfId="15908"/>
    <cellStyle name="40% - Accent2 3 3 24 2" xfId="38683"/>
    <cellStyle name="40% - Accent2 3 3 25" xfId="16564"/>
    <cellStyle name="40% - Accent2 3 3 25 2" xfId="39339"/>
    <cellStyle name="40% - Accent2 3 3 26" xfId="17220"/>
    <cellStyle name="40% - Accent2 3 3 26 2" xfId="39995"/>
    <cellStyle name="40% - Accent2 3 3 27" xfId="17876"/>
    <cellStyle name="40% - Accent2 3 3 27 2" xfId="40651"/>
    <cellStyle name="40% - Accent2 3 3 28" xfId="18532"/>
    <cellStyle name="40% - Accent2 3 3 28 2" xfId="41307"/>
    <cellStyle name="40% - Accent2 3 3 29" xfId="19188"/>
    <cellStyle name="40% - Accent2 3 3 29 2" xfId="41963"/>
    <cellStyle name="40% - Accent2 3 3 3" xfId="1148"/>
    <cellStyle name="40% - Accent2 3 3 3 2" xfId="2788"/>
    <cellStyle name="40% - Accent2 3 3 3 2 2" xfId="25563"/>
    <cellStyle name="40% - Accent2 3 3 3 3" xfId="23923"/>
    <cellStyle name="40% - Accent2 3 3 30" xfId="19844"/>
    <cellStyle name="40% - Accent2 3 3 30 2" xfId="42619"/>
    <cellStyle name="40% - Accent2 3 3 31" xfId="20500"/>
    <cellStyle name="40% - Accent2 3 3 31 2" xfId="43275"/>
    <cellStyle name="40% - Accent2 3 3 32" xfId="21156"/>
    <cellStyle name="40% - Accent2 3 3 32 2" xfId="43931"/>
    <cellStyle name="40% - Accent2 3 3 33" xfId="21812"/>
    <cellStyle name="40% - Accent2 3 3 33 2" xfId="44587"/>
    <cellStyle name="40% - Accent2 3 3 34" xfId="22468"/>
    <cellStyle name="40% - Accent2 3 3 34 2" xfId="45243"/>
    <cellStyle name="40% - Accent2 3 3 35" xfId="23267"/>
    <cellStyle name="40% - Accent2 3 3 4" xfId="1804"/>
    <cellStyle name="40% - Accent2 3 3 4 2" xfId="3444"/>
    <cellStyle name="40% - Accent2 3 3 4 2 2" xfId="26219"/>
    <cellStyle name="40% - Accent2 3 3 4 3" xfId="24579"/>
    <cellStyle name="40% - Accent2 3 3 5" xfId="4100"/>
    <cellStyle name="40% - Accent2 3 3 5 2" xfId="26875"/>
    <cellStyle name="40% - Accent2 3 3 6" xfId="4756"/>
    <cellStyle name="40% - Accent2 3 3 6 2" xfId="27531"/>
    <cellStyle name="40% - Accent2 3 3 7" xfId="5412"/>
    <cellStyle name="40% - Accent2 3 3 7 2" xfId="28187"/>
    <cellStyle name="40% - Accent2 3 3 8" xfId="6068"/>
    <cellStyle name="40% - Accent2 3 3 8 2" xfId="28843"/>
    <cellStyle name="40% - Accent2 3 3 9" xfId="2460"/>
    <cellStyle name="40% - Accent2 3 3 9 2" xfId="25235"/>
    <cellStyle name="40% - Accent2 3 30" xfId="18347"/>
    <cellStyle name="40% - Accent2 3 30 2" xfId="41122"/>
    <cellStyle name="40% - Accent2 3 31" xfId="19003"/>
    <cellStyle name="40% - Accent2 3 31 2" xfId="41778"/>
    <cellStyle name="40% - Accent2 3 32" xfId="19659"/>
    <cellStyle name="40% - Accent2 3 32 2" xfId="42434"/>
    <cellStyle name="40% - Accent2 3 33" xfId="20315"/>
    <cellStyle name="40% - Accent2 3 33 2" xfId="43090"/>
    <cellStyle name="40% - Accent2 3 34" xfId="20971"/>
    <cellStyle name="40% - Accent2 3 34 2" xfId="43746"/>
    <cellStyle name="40% - Accent2 3 35" xfId="21627"/>
    <cellStyle name="40% - Accent2 3 35 2" xfId="44402"/>
    <cellStyle name="40% - Accent2 3 36" xfId="22283"/>
    <cellStyle name="40% - Accent2 3 36 2" xfId="45058"/>
    <cellStyle name="40% - Accent2 3 37" xfId="222"/>
    <cellStyle name="40% - Accent2 3 38" xfId="22939"/>
    <cellStyle name="40% - Accent2 3 4" xfId="635"/>
    <cellStyle name="40% - Accent2 3 4 10" xfId="8179"/>
    <cellStyle name="40% - Accent2 3 4 10 2" xfId="30954"/>
    <cellStyle name="40% - Accent2 3 4 11" xfId="8835"/>
    <cellStyle name="40% - Accent2 3 4 11 2" xfId="31610"/>
    <cellStyle name="40% - Accent2 3 4 12" xfId="9491"/>
    <cellStyle name="40% - Accent2 3 4 12 2" xfId="32266"/>
    <cellStyle name="40% - Accent2 3 4 13" xfId="10147"/>
    <cellStyle name="40% - Accent2 3 4 13 2" xfId="32922"/>
    <cellStyle name="40% - Accent2 3 4 14" xfId="10803"/>
    <cellStyle name="40% - Accent2 3 4 14 2" xfId="33578"/>
    <cellStyle name="40% - Accent2 3 4 15" xfId="11459"/>
    <cellStyle name="40% - Accent2 3 4 15 2" xfId="34234"/>
    <cellStyle name="40% - Accent2 3 4 16" xfId="12115"/>
    <cellStyle name="40% - Accent2 3 4 16 2" xfId="34890"/>
    <cellStyle name="40% - Accent2 3 4 17" xfId="12771"/>
    <cellStyle name="40% - Accent2 3 4 17 2" xfId="35546"/>
    <cellStyle name="40% - Accent2 3 4 18" xfId="13427"/>
    <cellStyle name="40% - Accent2 3 4 18 2" xfId="36202"/>
    <cellStyle name="40% - Accent2 3 4 19" xfId="14083"/>
    <cellStyle name="40% - Accent2 3 4 19 2" xfId="36858"/>
    <cellStyle name="40% - Accent2 3 4 2" xfId="1291"/>
    <cellStyle name="40% - Accent2 3 4 2 2" xfId="3587"/>
    <cellStyle name="40% - Accent2 3 4 2 2 2" xfId="26362"/>
    <cellStyle name="40% - Accent2 3 4 2 3" xfId="24066"/>
    <cellStyle name="40% - Accent2 3 4 20" xfId="14739"/>
    <cellStyle name="40% - Accent2 3 4 20 2" xfId="37514"/>
    <cellStyle name="40% - Accent2 3 4 21" xfId="15395"/>
    <cellStyle name="40% - Accent2 3 4 21 2" xfId="38170"/>
    <cellStyle name="40% - Accent2 3 4 22" xfId="16051"/>
    <cellStyle name="40% - Accent2 3 4 22 2" xfId="38826"/>
    <cellStyle name="40% - Accent2 3 4 23" xfId="16707"/>
    <cellStyle name="40% - Accent2 3 4 23 2" xfId="39482"/>
    <cellStyle name="40% - Accent2 3 4 24" xfId="17363"/>
    <cellStyle name="40% - Accent2 3 4 24 2" xfId="40138"/>
    <cellStyle name="40% - Accent2 3 4 25" xfId="18019"/>
    <cellStyle name="40% - Accent2 3 4 25 2" xfId="40794"/>
    <cellStyle name="40% - Accent2 3 4 26" xfId="18675"/>
    <cellStyle name="40% - Accent2 3 4 26 2" xfId="41450"/>
    <cellStyle name="40% - Accent2 3 4 27" xfId="19331"/>
    <cellStyle name="40% - Accent2 3 4 27 2" xfId="42106"/>
    <cellStyle name="40% - Accent2 3 4 28" xfId="19987"/>
    <cellStyle name="40% - Accent2 3 4 28 2" xfId="42762"/>
    <cellStyle name="40% - Accent2 3 4 29" xfId="20643"/>
    <cellStyle name="40% - Accent2 3 4 29 2" xfId="43418"/>
    <cellStyle name="40% - Accent2 3 4 3" xfId="1947"/>
    <cellStyle name="40% - Accent2 3 4 3 2" xfId="4243"/>
    <cellStyle name="40% - Accent2 3 4 3 2 2" xfId="27018"/>
    <cellStyle name="40% - Accent2 3 4 3 3" xfId="24722"/>
    <cellStyle name="40% - Accent2 3 4 30" xfId="21299"/>
    <cellStyle name="40% - Accent2 3 4 30 2" xfId="44074"/>
    <cellStyle name="40% - Accent2 3 4 31" xfId="21955"/>
    <cellStyle name="40% - Accent2 3 4 31 2" xfId="44730"/>
    <cellStyle name="40% - Accent2 3 4 32" xfId="22611"/>
    <cellStyle name="40% - Accent2 3 4 32 2" xfId="45386"/>
    <cellStyle name="40% - Accent2 3 4 33" xfId="23410"/>
    <cellStyle name="40% - Accent2 3 4 4" xfId="4899"/>
    <cellStyle name="40% - Accent2 3 4 4 2" xfId="27674"/>
    <cellStyle name="40% - Accent2 3 4 5" xfId="5555"/>
    <cellStyle name="40% - Accent2 3 4 5 2" xfId="28330"/>
    <cellStyle name="40% - Accent2 3 4 6" xfId="6211"/>
    <cellStyle name="40% - Accent2 3 4 6 2" xfId="28986"/>
    <cellStyle name="40% - Accent2 3 4 7" xfId="2931"/>
    <cellStyle name="40% - Accent2 3 4 7 2" xfId="25706"/>
    <cellStyle name="40% - Accent2 3 4 8" xfId="6867"/>
    <cellStyle name="40% - Accent2 3 4 8 2" xfId="29642"/>
    <cellStyle name="40% - Accent2 3 4 9" xfId="7523"/>
    <cellStyle name="40% - Accent2 3 4 9 2" xfId="30298"/>
    <cellStyle name="40% - Accent2 3 5" xfId="308"/>
    <cellStyle name="40% - Accent2 3 5 2" xfId="2603"/>
    <cellStyle name="40% - Accent2 3 5 2 2" xfId="25378"/>
    <cellStyle name="40% - Accent2 3 5 3" xfId="23082"/>
    <cellStyle name="40% - Accent2 3 6" xfId="963"/>
    <cellStyle name="40% - Accent2 3 6 2" xfId="3259"/>
    <cellStyle name="40% - Accent2 3 6 2 2" xfId="26034"/>
    <cellStyle name="40% - Accent2 3 6 3" xfId="23738"/>
    <cellStyle name="40% - Accent2 3 7" xfId="1619"/>
    <cellStyle name="40% - Accent2 3 7 2" xfId="3915"/>
    <cellStyle name="40% - Accent2 3 7 2 2" xfId="26690"/>
    <cellStyle name="40% - Accent2 3 7 3" xfId="24394"/>
    <cellStyle name="40% - Accent2 3 8" xfId="4571"/>
    <cellStyle name="40% - Accent2 3 8 2" xfId="27346"/>
    <cellStyle name="40% - Accent2 3 9" xfId="5227"/>
    <cellStyle name="40% - Accent2 3 9 2" xfId="28002"/>
    <cellStyle name="40% - Accent2 30" xfId="13724"/>
    <cellStyle name="40% - Accent2 30 2" xfId="36499"/>
    <cellStyle name="40% - Accent2 31" xfId="14380"/>
    <cellStyle name="40% - Accent2 31 2" xfId="37155"/>
    <cellStyle name="40% - Accent2 32" xfId="15036"/>
    <cellStyle name="40% - Accent2 32 2" xfId="37811"/>
    <cellStyle name="40% - Accent2 33" xfId="15692"/>
    <cellStyle name="40% - Accent2 33 2" xfId="38467"/>
    <cellStyle name="40% - Accent2 34" xfId="16348"/>
    <cellStyle name="40% - Accent2 34 2" xfId="39123"/>
    <cellStyle name="40% - Accent2 35" xfId="17004"/>
    <cellStyle name="40% - Accent2 35 2" xfId="39779"/>
    <cellStyle name="40% - Accent2 36" xfId="17660"/>
    <cellStyle name="40% - Accent2 36 2" xfId="40435"/>
    <cellStyle name="40% - Accent2 37" xfId="18316"/>
    <cellStyle name="40% - Accent2 37 2" xfId="41091"/>
    <cellStyle name="40% - Accent2 38" xfId="18972"/>
    <cellStyle name="40% - Accent2 38 2" xfId="41747"/>
    <cellStyle name="40% - Accent2 39" xfId="19628"/>
    <cellStyle name="40% - Accent2 39 2" xfId="42403"/>
    <cellStyle name="40% - Accent2 4" xfId="91"/>
    <cellStyle name="40% - Accent2 4 10" xfId="5897"/>
    <cellStyle name="40% - Accent2 4 10 2" xfId="28672"/>
    <cellStyle name="40% - Accent2 4 11" xfId="2289"/>
    <cellStyle name="40% - Accent2 4 11 2" xfId="25064"/>
    <cellStyle name="40% - Accent2 4 12" xfId="6553"/>
    <cellStyle name="40% - Accent2 4 12 2" xfId="29328"/>
    <cellStyle name="40% - Accent2 4 13" xfId="7209"/>
    <cellStyle name="40% - Accent2 4 13 2" xfId="29984"/>
    <cellStyle name="40% - Accent2 4 14" xfId="7865"/>
    <cellStyle name="40% - Accent2 4 14 2" xfId="30640"/>
    <cellStyle name="40% - Accent2 4 15" xfId="8521"/>
    <cellStyle name="40% - Accent2 4 15 2" xfId="31296"/>
    <cellStyle name="40% - Accent2 4 16" xfId="9177"/>
    <cellStyle name="40% - Accent2 4 16 2" xfId="31952"/>
    <cellStyle name="40% - Accent2 4 17" xfId="9833"/>
    <cellStyle name="40% - Accent2 4 17 2" xfId="32608"/>
    <cellStyle name="40% - Accent2 4 18" xfId="10489"/>
    <cellStyle name="40% - Accent2 4 18 2" xfId="33264"/>
    <cellStyle name="40% - Accent2 4 19" xfId="11145"/>
    <cellStyle name="40% - Accent2 4 19 2" xfId="33920"/>
    <cellStyle name="40% - Accent2 4 2" xfId="162"/>
    <cellStyle name="40% - Accent2 4 2 10" xfId="2360"/>
    <cellStyle name="40% - Accent2 4 2 10 2" xfId="25135"/>
    <cellStyle name="40% - Accent2 4 2 11" xfId="6624"/>
    <cellStyle name="40% - Accent2 4 2 11 2" xfId="29399"/>
    <cellStyle name="40% - Accent2 4 2 12" xfId="7280"/>
    <cellStyle name="40% - Accent2 4 2 12 2" xfId="30055"/>
    <cellStyle name="40% - Accent2 4 2 13" xfId="7936"/>
    <cellStyle name="40% - Accent2 4 2 13 2" xfId="30711"/>
    <cellStyle name="40% - Accent2 4 2 14" xfId="8592"/>
    <cellStyle name="40% - Accent2 4 2 14 2" xfId="31367"/>
    <cellStyle name="40% - Accent2 4 2 15" xfId="9248"/>
    <cellStyle name="40% - Accent2 4 2 15 2" xfId="32023"/>
    <cellStyle name="40% - Accent2 4 2 16" xfId="9904"/>
    <cellStyle name="40% - Accent2 4 2 16 2" xfId="32679"/>
    <cellStyle name="40% - Accent2 4 2 17" xfId="10560"/>
    <cellStyle name="40% - Accent2 4 2 17 2" xfId="33335"/>
    <cellStyle name="40% - Accent2 4 2 18" xfId="11216"/>
    <cellStyle name="40% - Accent2 4 2 18 2" xfId="33991"/>
    <cellStyle name="40% - Accent2 4 2 19" xfId="11872"/>
    <cellStyle name="40% - Accent2 4 2 19 2" xfId="34647"/>
    <cellStyle name="40% - Accent2 4 2 2" xfId="576"/>
    <cellStyle name="40% - Accent2 4 2 2 10" xfId="6809"/>
    <cellStyle name="40% - Accent2 4 2 2 10 2" xfId="29584"/>
    <cellStyle name="40% - Accent2 4 2 2 11" xfId="7465"/>
    <cellStyle name="40% - Accent2 4 2 2 11 2" xfId="30240"/>
    <cellStyle name="40% - Accent2 4 2 2 12" xfId="8121"/>
    <cellStyle name="40% - Accent2 4 2 2 12 2" xfId="30896"/>
    <cellStyle name="40% - Accent2 4 2 2 13" xfId="8777"/>
    <cellStyle name="40% - Accent2 4 2 2 13 2" xfId="31552"/>
    <cellStyle name="40% - Accent2 4 2 2 14" xfId="9433"/>
    <cellStyle name="40% - Accent2 4 2 2 14 2" xfId="32208"/>
    <cellStyle name="40% - Accent2 4 2 2 15" xfId="10089"/>
    <cellStyle name="40% - Accent2 4 2 2 15 2" xfId="32864"/>
    <cellStyle name="40% - Accent2 4 2 2 16" xfId="10745"/>
    <cellStyle name="40% - Accent2 4 2 2 16 2" xfId="33520"/>
    <cellStyle name="40% - Accent2 4 2 2 17" xfId="11401"/>
    <cellStyle name="40% - Accent2 4 2 2 17 2" xfId="34176"/>
    <cellStyle name="40% - Accent2 4 2 2 18" xfId="12057"/>
    <cellStyle name="40% - Accent2 4 2 2 18 2" xfId="34832"/>
    <cellStyle name="40% - Accent2 4 2 2 19" xfId="12713"/>
    <cellStyle name="40% - Accent2 4 2 2 19 2" xfId="35488"/>
    <cellStyle name="40% - Accent2 4 2 2 2" xfId="905"/>
    <cellStyle name="40% - Accent2 4 2 2 2 10" xfId="8449"/>
    <cellStyle name="40% - Accent2 4 2 2 2 10 2" xfId="31224"/>
    <cellStyle name="40% - Accent2 4 2 2 2 11" xfId="9105"/>
    <cellStyle name="40% - Accent2 4 2 2 2 11 2" xfId="31880"/>
    <cellStyle name="40% - Accent2 4 2 2 2 12" xfId="9761"/>
    <cellStyle name="40% - Accent2 4 2 2 2 12 2" xfId="32536"/>
    <cellStyle name="40% - Accent2 4 2 2 2 13" xfId="10417"/>
    <cellStyle name="40% - Accent2 4 2 2 2 13 2" xfId="33192"/>
    <cellStyle name="40% - Accent2 4 2 2 2 14" xfId="11073"/>
    <cellStyle name="40% - Accent2 4 2 2 2 14 2" xfId="33848"/>
    <cellStyle name="40% - Accent2 4 2 2 2 15" xfId="11729"/>
    <cellStyle name="40% - Accent2 4 2 2 2 15 2" xfId="34504"/>
    <cellStyle name="40% - Accent2 4 2 2 2 16" xfId="12385"/>
    <cellStyle name="40% - Accent2 4 2 2 2 16 2" xfId="35160"/>
    <cellStyle name="40% - Accent2 4 2 2 2 17" xfId="13041"/>
    <cellStyle name="40% - Accent2 4 2 2 2 17 2" xfId="35816"/>
    <cellStyle name="40% - Accent2 4 2 2 2 18" xfId="13697"/>
    <cellStyle name="40% - Accent2 4 2 2 2 18 2" xfId="36472"/>
    <cellStyle name="40% - Accent2 4 2 2 2 19" xfId="14353"/>
    <cellStyle name="40% - Accent2 4 2 2 2 19 2" xfId="37128"/>
    <cellStyle name="40% - Accent2 4 2 2 2 2" xfId="1561"/>
    <cellStyle name="40% - Accent2 4 2 2 2 2 2" xfId="3857"/>
    <cellStyle name="40% - Accent2 4 2 2 2 2 2 2" xfId="26632"/>
    <cellStyle name="40% - Accent2 4 2 2 2 2 3" xfId="24336"/>
    <cellStyle name="40% - Accent2 4 2 2 2 20" xfId="15009"/>
    <cellStyle name="40% - Accent2 4 2 2 2 20 2" xfId="37784"/>
    <cellStyle name="40% - Accent2 4 2 2 2 21" xfId="15665"/>
    <cellStyle name="40% - Accent2 4 2 2 2 21 2" xfId="38440"/>
    <cellStyle name="40% - Accent2 4 2 2 2 22" xfId="16321"/>
    <cellStyle name="40% - Accent2 4 2 2 2 22 2" xfId="39096"/>
    <cellStyle name="40% - Accent2 4 2 2 2 23" xfId="16977"/>
    <cellStyle name="40% - Accent2 4 2 2 2 23 2" xfId="39752"/>
    <cellStyle name="40% - Accent2 4 2 2 2 24" xfId="17633"/>
    <cellStyle name="40% - Accent2 4 2 2 2 24 2" xfId="40408"/>
    <cellStyle name="40% - Accent2 4 2 2 2 25" xfId="18289"/>
    <cellStyle name="40% - Accent2 4 2 2 2 25 2" xfId="41064"/>
    <cellStyle name="40% - Accent2 4 2 2 2 26" xfId="18945"/>
    <cellStyle name="40% - Accent2 4 2 2 2 26 2" xfId="41720"/>
    <cellStyle name="40% - Accent2 4 2 2 2 27" xfId="19601"/>
    <cellStyle name="40% - Accent2 4 2 2 2 27 2" xfId="42376"/>
    <cellStyle name="40% - Accent2 4 2 2 2 28" xfId="20257"/>
    <cellStyle name="40% - Accent2 4 2 2 2 28 2" xfId="43032"/>
    <cellStyle name="40% - Accent2 4 2 2 2 29" xfId="20913"/>
    <cellStyle name="40% - Accent2 4 2 2 2 29 2" xfId="43688"/>
    <cellStyle name="40% - Accent2 4 2 2 2 3" xfId="2217"/>
    <cellStyle name="40% - Accent2 4 2 2 2 3 2" xfId="4513"/>
    <cellStyle name="40% - Accent2 4 2 2 2 3 2 2" xfId="27288"/>
    <cellStyle name="40% - Accent2 4 2 2 2 3 3" xfId="24992"/>
    <cellStyle name="40% - Accent2 4 2 2 2 30" xfId="21569"/>
    <cellStyle name="40% - Accent2 4 2 2 2 30 2" xfId="44344"/>
    <cellStyle name="40% - Accent2 4 2 2 2 31" xfId="22225"/>
    <cellStyle name="40% - Accent2 4 2 2 2 31 2" xfId="45000"/>
    <cellStyle name="40% - Accent2 4 2 2 2 32" xfId="22881"/>
    <cellStyle name="40% - Accent2 4 2 2 2 32 2" xfId="45656"/>
    <cellStyle name="40% - Accent2 4 2 2 2 33" xfId="23680"/>
    <cellStyle name="40% - Accent2 4 2 2 2 4" xfId="5169"/>
    <cellStyle name="40% - Accent2 4 2 2 2 4 2" xfId="27944"/>
    <cellStyle name="40% - Accent2 4 2 2 2 5" xfId="5825"/>
    <cellStyle name="40% - Accent2 4 2 2 2 5 2" xfId="28600"/>
    <cellStyle name="40% - Accent2 4 2 2 2 6" xfId="6481"/>
    <cellStyle name="40% - Accent2 4 2 2 2 6 2" xfId="29256"/>
    <cellStyle name="40% - Accent2 4 2 2 2 7" xfId="3201"/>
    <cellStyle name="40% - Accent2 4 2 2 2 7 2" xfId="25976"/>
    <cellStyle name="40% - Accent2 4 2 2 2 8" xfId="7137"/>
    <cellStyle name="40% - Accent2 4 2 2 2 8 2" xfId="29912"/>
    <cellStyle name="40% - Accent2 4 2 2 2 9" xfId="7793"/>
    <cellStyle name="40% - Accent2 4 2 2 2 9 2" xfId="30568"/>
    <cellStyle name="40% - Accent2 4 2 2 20" xfId="13369"/>
    <cellStyle name="40% - Accent2 4 2 2 20 2" xfId="36144"/>
    <cellStyle name="40% - Accent2 4 2 2 21" xfId="14025"/>
    <cellStyle name="40% - Accent2 4 2 2 21 2" xfId="36800"/>
    <cellStyle name="40% - Accent2 4 2 2 22" xfId="14681"/>
    <cellStyle name="40% - Accent2 4 2 2 22 2" xfId="37456"/>
    <cellStyle name="40% - Accent2 4 2 2 23" xfId="15337"/>
    <cellStyle name="40% - Accent2 4 2 2 23 2" xfId="38112"/>
    <cellStyle name="40% - Accent2 4 2 2 24" xfId="15993"/>
    <cellStyle name="40% - Accent2 4 2 2 24 2" xfId="38768"/>
    <cellStyle name="40% - Accent2 4 2 2 25" xfId="16649"/>
    <cellStyle name="40% - Accent2 4 2 2 25 2" xfId="39424"/>
    <cellStyle name="40% - Accent2 4 2 2 26" xfId="17305"/>
    <cellStyle name="40% - Accent2 4 2 2 26 2" xfId="40080"/>
    <cellStyle name="40% - Accent2 4 2 2 27" xfId="17961"/>
    <cellStyle name="40% - Accent2 4 2 2 27 2" xfId="40736"/>
    <cellStyle name="40% - Accent2 4 2 2 28" xfId="18617"/>
    <cellStyle name="40% - Accent2 4 2 2 28 2" xfId="41392"/>
    <cellStyle name="40% - Accent2 4 2 2 29" xfId="19273"/>
    <cellStyle name="40% - Accent2 4 2 2 29 2" xfId="42048"/>
    <cellStyle name="40% - Accent2 4 2 2 3" xfId="1233"/>
    <cellStyle name="40% - Accent2 4 2 2 3 2" xfId="2873"/>
    <cellStyle name="40% - Accent2 4 2 2 3 2 2" xfId="25648"/>
    <cellStyle name="40% - Accent2 4 2 2 3 3" xfId="24008"/>
    <cellStyle name="40% - Accent2 4 2 2 30" xfId="19929"/>
    <cellStyle name="40% - Accent2 4 2 2 30 2" xfId="42704"/>
    <cellStyle name="40% - Accent2 4 2 2 31" xfId="20585"/>
    <cellStyle name="40% - Accent2 4 2 2 31 2" xfId="43360"/>
    <cellStyle name="40% - Accent2 4 2 2 32" xfId="21241"/>
    <cellStyle name="40% - Accent2 4 2 2 32 2" xfId="44016"/>
    <cellStyle name="40% - Accent2 4 2 2 33" xfId="21897"/>
    <cellStyle name="40% - Accent2 4 2 2 33 2" xfId="44672"/>
    <cellStyle name="40% - Accent2 4 2 2 34" xfId="22553"/>
    <cellStyle name="40% - Accent2 4 2 2 34 2" xfId="45328"/>
    <cellStyle name="40% - Accent2 4 2 2 35" xfId="23352"/>
    <cellStyle name="40% - Accent2 4 2 2 4" xfId="1889"/>
    <cellStyle name="40% - Accent2 4 2 2 4 2" xfId="3529"/>
    <cellStyle name="40% - Accent2 4 2 2 4 2 2" xfId="26304"/>
    <cellStyle name="40% - Accent2 4 2 2 4 3" xfId="24664"/>
    <cellStyle name="40% - Accent2 4 2 2 5" xfId="4185"/>
    <cellStyle name="40% - Accent2 4 2 2 5 2" xfId="26960"/>
    <cellStyle name="40% - Accent2 4 2 2 6" xfId="4841"/>
    <cellStyle name="40% - Accent2 4 2 2 6 2" xfId="27616"/>
    <cellStyle name="40% - Accent2 4 2 2 7" xfId="5497"/>
    <cellStyle name="40% - Accent2 4 2 2 7 2" xfId="28272"/>
    <cellStyle name="40% - Accent2 4 2 2 8" xfId="6153"/>
    <cellStyle name="40% - Accent2 4 2 2 8 2" xfId="28928"/>
    <cellStyle name="40% - Accent2 4 2 2 9" xfId="2545"/>
    <cellStyle name="40% - Accent2 4 2 2 9 2" xfId="25320"/>
    <cellStyle name="40% - Accent2 4 2 20" xfId="12528"/>
    <cellStyle name="40% - Accent2 4 2 20 2" xfId="35303"/>
    <cellStyle name="40% - Accent2 4 2 21" xfId="13184"/>
    <cellStyle name="40% - Accent2 4 2 21 2" xfId="35959"/>
    <cellStyle name="40% - Accent2 4 2 22" xfId="13840"/>
    <cellStyle name="40% - Accent2 4 2 22 2" xfId="36615"/>
    <cellStyle name="40% - Accent2 4 2 23" xfId="14496"/>
    <cellStyle name="40% - Accent2 4 2 23 2" xfId="37271"/>
    <cellStyle name="40% - Accent2 4 2 24" xfId="15152"/>
    <cellStyle name="40% - Accent2 4 2 24 2" xfId="37927"/>
    <cellStyle name="40% - Accent2 4 2 25" xfId="15808"/>
    <cellStyle name="40% - Accent2 4 2 25 2" xfId="38583"/>
    <cellStyle name="40% - Accent2 4 2 26" xfId="16464"/>
    <cellStyle name="40% - Accent2 4 2 26 2" xfId="39239"/>
    <cellStyle name="40% - Accent2 4 2 27" xfId="17120"/>
    <cellStyle name="40% - Accent2 4 2 27 2" xfId="39895"/>
    <cellStyle name="40% - Accent2 4 2 28" xfId="17776"/>
    <cellStyle name="40% - Accent2 4 2 28 2" xfId="40551"/>
    <cellStyle name="40% - Accent2 4 2 29" xfId="18432"/>
    <cellStyle name="40% - Accent2 4 2 29 2" xfId="41207"/>
    <cellStyle name="40% - Accent2 4 2 3" xfId="720"/>
    <cellStyle name="40% - Accent2 4 2 3 10" xfId="8264"/>
    <cellStyle name="40% - Accent2 4 2 3 10 2" xfId="31039"/>
    <cellStyle name="40% - Accent2 4 2 3 11" xfId="8920"/>
    <cellStyle name="40% - Accent2 4 2 3 11 2" xfId="31695"/>
    <cellStyle name="40% - Accent2 4 2 3 12" xfId="9576"/>
    <cellStyle name="40% - Accent2 4 2 3 12 2" xfId="32351"/>
    <cellStyle name="40% - Accent2 4 2 3 13" xfId="10232"/>
    <cellStyle name="40% - Accent2 4 2 3 13 2" xfId="33007"/>
    <cellStyle name="40% - Accent2 4 2 3 14" xfId="10888"/>
    <cellStyle name="40% - Accent2 4 2 3 14 2" xfId="33663"/>
    <cellStyle name="40% - Accent2 4 2 3 15" xfId="11544"/>
    <cellStyle name="40% - Accent2 4 2 3 15 2" xfId="34319"/>
    <cellStyle name="40% - Accent2 4 2 3 16" xfId="12200"/>
    <cellStyle name="40% - Accent2 4 2 3 16 2" xfId="34975"/>
    <cellStyle name="40% - Accent2 4 2 3 17" xfId="12856"/>
    <cellStyle name="40% - Accent2 4 2 3 17 2" xfId="35631"/>
    <cellStyle name="40% - Accent2 4 2 3 18" xfId="13512"/>
    <cellStyle name="40% - Accent2 4 2 3 18 2" xfId="36287"/>
    <cellStyle name="40% - Accent2 4 2 3 19" xfId="14168"/>
    <cellStyle name="40% - Accent2 4 2 3 19 2" xfId="36943"/>
    <cellStyle name="40% - Accent2 4 2 3 2" xfId="1376"/>
    <cellStyle name="40% - Accent2 4 2 3 2 2" xfId="3672"/>
    <cellStyle name="40% - Accent2 4 2 3 2 2 2" xfId="26447"/>
    <cellStyle name="40% - Accent2 4 2 3 2 3" xfId="24151"/>
    <cellStyle name="40% - Accent2 4 2 3 20" xfId="14824"/>
    <cellStyle name="40% - Accent2 4 2 3 20 2" xfId="37599"/>
    <cellStyle name="40% - Accent2 4 2 3 21" xfId="15480"/>
    <cellStyle name="40% - Accent2 4 2 3 21 2" xfId="38255"/>
    <cellStyle name="40% - Accent2 4 2 3 22" xfId="16136"/>
    <cellStyle name="40% - Accent2 4 2 3 22 2" xfId="38911"/>
    <cellStyle name="40% - Accent2 4 2 3 23" xfId="16792"/>
    <cellStyle name="40% - Accent2 4 2 3 23 2" xfId="39567"/>
    <cellStyle name="40% - Accent2 4 2 3 24" xfId="17448"/>
    <cellStyle name="40% - Accent2 4 2 3 24 2" xfId="40223"/>
    <cellStyle name="40% - Accent2 4 2 3 25" xfId="18104"/>
    <cellStyle name="40% - Accent2 4 2 3 25 2" xfId="40879"/>
    <cellStyle name="40% - Accent2 4 2 3 26" xfId="18760"/>
    <cellStyle name="40% - Accent2 4 2 3 26 2" xfId="41535"/>
    <cellStyle name="40% - Accent2 4 2 3 27" xfId="19416"/>
    <cellStyle name="40% - Accent2 4 2 3 27 2" xfId="42191"/>
    <cellStyle name="40% - Accent2 4 2 3 28" xfId="20072"/>
    <cellStyle name="40% - Accent2 4 2 3 28 2" xfId="42847"/>
    <cellStyle name="40% - Accent2 4 2 3 29" xfId="20728"/>
    <cellStyle name="40% - Accent2 4 2 3 29 2" xfId="43503"/>
    <cellStyle name="40% - Accent2 4 2 3 3" xfId="2032"/>
    <cellStyle name="40% - Accent2 4 2 3 3 2" xfId="4328"/>
    <cellStyle name="40% - Accent2 4 2 3 3 2 2" xfId="27103"/>
    <cellStyle name="40% - Accent2 4 2 3 3 3" xfId="24807"/>
    <cellStyle name="40% - Accent2 4 2 3 30" xfId="21384"/>
    <cellStyle name="40% - Accent2 4 2 3 30 2" xfId="44159"/>
    <cellStyle name="40% - Accent2 4 2 3 31" xfId="22040"/>
    <cellStyle name="40% - Accent2 4 2 3 31 2" xfId="44815"/>
    <cellStyle name="40% - Accent2 4 2 3 32" xfId="22696"/>
    <cellStyle name="40% - Accent2 4 2 3 32 2" xfId="45471"/>
    <cellStyle name="40% - Accent2 4 2 3 33" xfId="23495"/>
    <cellStyle name="40% - Accent2 4 2 3 4" xfId="4984"/>
    <cellStyle name="40% - Accent2 4 2 3 4 2" xfId="27759"/>
    <cellStyle name="40% - Accent2 4 2 3 5" xfId="5640"/>
    <cellStyle name="40% - Accent2 4 2 3 5 2" xfId="28415"/>
    <cellStyle name="40% - Accent2 4 2 3 6" xfId="6296"/>
    <cellStyle name="40% - Accent2 4 2 3 6 2" xfId="29071"/>
    <cellStyle name="40% - Accent2 4 2 3 7" xfId="3016"/>
    <cellStyle name="40% - Accent2 4 2 3 7 2" xfId="25791"/>
    <cellStyle name="40% - Accent2 4 2 3 8" xfId="6952"/>
    <cellStyle name="40% - Accent2 4 2 3 8 2" xfId="29727"/>
    <cellStyle name="40% - Accent2 4 2 3 9" xfId="7608"/>
    <cellStyle name="40% - Accent2 4 2 3 9 2" xfId="30383"/>
    <cellStyle name="40% - Accent2 4 2 30" xfId="19088"/>
    <cellStyle name="40% - Accent2 4 2 30 2" xfId="41863"/>
    <cellStyle name="40% - Accent2 4 2 31" xfId="19744"/>
    <cellStyle name="40% - Accent2 4 2 31 2" xfId="42519"/>
    <cellStyle name="40% - Accent2 4 2 32" xfId="20400"/>
    <cellStyle name="40% - Accent2 4 2 32 2" xfId="43175"/>
    <cellStyle name="40% - Accent2 4 2 33" xfId="21056"/>
    <cellStyle name="40% - Accent2 4 2 33 2" xfId="43831"/>
    <cellStyle name="40% - Accent2 4 2 34" xfId="21712"/>
    <cellStyle name="40% - Accent2 4 2 34 2" xfId="44487"/>
    <cellStyle name="40% - Accent2 4 2 35" xfId="22368"/>
    <cellStyle name="40% - Accent2 4 2 35 2" xfId="45143"/>
    <cellStyle name="40% - Accent2 4 2 36" xfId="23024"/>
    <cellStyle name="40% - Accent2 4 2 4" xfId="393"/>
    <cellStyle name="40% - Accent2 4 2 4 2" xfId="2688"/>
    <cellStyle name="40% - Accent2 4 2 4 2 2" xfId="25463"/>
    <cellStyle name="40% - Accent2 4 2 4 3" xfId="23167"/>
    <cellStyle name="40% - Accent2 4 2 5" xfId="1048"/>
    <cellStyle name="40% - Accent2 4 2 5 2" xfId="3344"/>
    <cellStyle name="40% - Accent2 4 2 5 2 2" xfId="26119"/>
    <cellStyle name="40% - Accent2 4 2 5 3" xfId="23823"/>
    <cellStyle name="40% - Accent2 4 2 6" xfId="1704"/>
    <cellStyle name="40% - Accent2 4 2 6 2" xfId="4000"/>
    <cellStyle name="40% - Accent2 4 2 6 2 2" xfId="26775"/>
    <cellStyle name="40% - Accent2 4 2 6 3" xfId="24479"/>
    <cellStyle name="40% - Accent2 4 2 7" xfId="4656"/>
    <cellStyle name="40% - Accent2 4 2 7 2" xfId="27431"/>
    <cellStyle name="40% - Accent2 4 2 8" xfId="5312"/>
    <cellStyle name="40% - Accent2 4 2 8 2" xfId="28087"/>
    <cellStyle name="40% - Accent2 4 2 9" xfId="5968"/>
    <cellStyle name="40% - Accent2 4 2 9 2" xfId="28743"/>
    <cellStyle name="40% - Accent2 4 20" xfId="11801"/>
    <cellStyle name="40% - Accent2 4 20 2" xfId="34576"/>
    <cellStyle name="40% - Accent2 4 21" xfId="12457"/>
    <cellStyle name="40% - Accent2 4 21 2" xfId="35232"/>
    <cellStyle name="40% - Accent2 4 22" xfId="13113"/>
    <cellStyle name="40% - Accent2 4 22 2" xfId="35888"/>
    <cellStyle name="40% - Accent2 4 23" xfId="13769"/>
    <cellStyle name="40% - Accent2 4 23 2" xfId="36544"/>
    <cellStyle name="40% - Accent2 4 24" xfId="14425"/>
    <cellStyle name="40% - Accent2 4 24 2" xfId="37200"/>
    <cellStyle name="40% - Accent2 4 25" xfId="15081"/>
    <cellStyle name="40% - Accent2 4 25 2" xfId="37856"/>
    <cellStyle name="40% - Accent2 4 26" xfId="15737"/>
    <cellStyle name="40% - Accent2 4 26 2" xfId="38512"/>
    <cellStyle name="40% - Accent2 4 27" xfId="16393"/>
    <cellStyle name="40% - Accent2 4 27 2" xfId="39168"/>
    <cellStyle name="40% - Accent2 4 28" xfId="17049"/>
    <cellStyle name="40% - Accent2 4 28 2" xfId="39824"/>
    <cellStyle name="40% - Accent2 4 29" xfId="17705"/>
    <cellStyle name="40% - Accent2 4 29 2" xfId="40480"/>
    <cellStyle name="40% - Accent2 4 3" xfId="506"/>
    <cellStyle name="40% - Accent2 4 3 10" xfId="6738"/>
    <cellStyle name="40% - Accent2 4 3 10 2" xfId="29513"/>
    <cellStyle name="40% - Accent2 4 3 11" xfId="7394"/>
    <cellStyle name="40% - Accent2 4 3 11 2" xfId="30169"/>
    <cellStyle name="40% - Accent2 4 3 12" xfId="8050"/>
    <cellStyle name="40% - Accent2 4 3 12 2" xfId="30825"/>
    <cellStyle name="40% - Accent2 4 3 13" xfId="8706"/>
    <cellStyle name="40% - Accent2 4 3 13 2" xfId="31481"/>
    <cellStyle name="40% - Accent2 4 3 14" xfId="9362"/>
    <cellStyle name="40% - Accent2 4 3 14 2" xfId="32137"/>
    <cellStyle name="40% - Accent2 4 3 15" xfId="10018"/>
    <cellStyle name="40% - Accent2 4 3 15 2" xfId="32793"/>
    <cellStyle name="40% - Accent2 4 3 16" xfId="10674"/>
    <cellStyle name="40% - Accent2 4 3 16 2" xfId="33449"/>
    <cellStyle name="40% - Accent2 4 3 17" xfId="11330"/>
    <cellStyle name="40% - Accent2 4 3 17 2" xfId="34105"/>
    <cellStyle name="40% - Accent2 4 3 18" xfId="11986"/>
    <cellStyle name="40% - Accent2 4 3 18 2" xfId="34761"/>
    <cellStyle name="40% - Accent2 4 3 19" xfId="12642"/>
    <cellStyle name="40% - Accent2 4 3 19 2" xfId="35417"/>
    <cellStyle name="40% - Accent2 4 3 2" xfId="834"/>
    <cellStyle name="40% - Accent2 4 3 2 10" xfId="8378"/>
    <cellStyle name="40% - Accent2 4 3 2 10 2" xfId="31153"/>
    <cellStyle name="40% - Accent2 4 3 2 11" xfId="9034"/>
    <cellStyle name="40% - Accent2 4 3 2 11 2" xfId="31809"/>
    <cellStyle name="40% - Accent2 4 3 2 12" xfId="9690"/>
    <cellStyle name="40% - Accent2 4 3 2 12 2" xfId="32465"/>
    <cellStyle name="40% - Accent2 4 3 2 13" xfId="10346"/>
    <cellStyle name="40% - Accent2 4 3 2 13 2" xfId="33121"/>
    <cellStyle name="40% - Accent2 4 3 2 14" xfId="11002"/>
    <cellStyle name="40% - Accent2 4 3 2 14 2" xfId="33777"/>
    <cellStyle name="40% - Accent2 4 3 2 15" xfId="11658"/>
    <cellStyle name="40% - Accent2 4 3 2 15 2" xfId="34433"/>
    <cellStyle name="40% - Accent2 4 3 2 16" xfId="12314"/>
    <cellStyle name="40% - Accent2 4 3 2 16 2" xfId="35089"/>
    <cellStyle name="40% - Accent2 4 3 2 17" xfId="12970"/>
    <cellStyle name="40% - Accent2 4 3 2 17 2" xfId="35745"/>
    <cellStyle name="40% - Accent2 4 3 2 18" xfId="13626"/>
    <cellStyle name="40% - Accent2 4 3 2 18 2" xfId="36401"/>
    <cellStyle name="40% - Accent2 4 3 2 19" xfId="14282"/>
    <cellStyle name="40% - Accent2 4 3 2 19 2" xfId="37057"/>
    <cellStyle name="40% - Accent2 4 3 2 2" xfId="1490"/>
    <cellStyle name="40% - Accent2 4 3 2 2 2" xfId="3786"/>
    <cellStyle name="40% - Accent2 4 3 2 2 2 2" xfId="26561"/>
    <cellStyle name="40% - Accent2 4 3 2 2 3" xfId="24265"/>
    <cellStyle name="40% - Accent2 4 3 2 20" xfId="14938"/>
    <cellStyle name="40% - Accent2 4 3 2 20 2" xfId="37713"/>
    <cellStyle name="40% - Accent2 4 3 2 21" xfId="15594"/>
    <cellStyle name="40% - Accent2 4 3 2 21 2" xfId="38369"/>
    <cellStyle name="40% - Accent2 4 3 2 22" xfId="16250"/>
    <cellStyle name="40% - Accent2 4 3 2 22 2" xfId="39025"/>
    <cellStyle name="40% - Accent2 4 3 2 23" xfId="16906"/>
    <cellStyle name="40% - Accent2 4 3 2 23 2" xfId="39681"/>
    <cellStyle name="40% - Accent2 4 3 2 24" xfId="17562"/>
    <cellStyle name="40% - Accent2 4 3 2 24 2" xfId="40337"/>
    <cellStyle name="40% - Accent2 4 3 2 25" xfId="18218"/>
    <cellStyle name="40% - Accent2 4 3 2 25 2" xfId="40993"/>
    <cellStyle name="40% - Accent2 4 3 2 26" xfId="18874"/>
    <cellStyle name="40% - Accent2 4 3 2 26 2" xfId="41649"/>
    <cellStyle name="40% - Accent2 4 3 2 27" xfId="19530"/>
    <cellStyle name="40% - Accent2 4 3 2 27 2" xfId="42305"/>
    <cellStyle name="40% - Accent2 4 3 2 28" xfId="20186"/>
    <cellStyle name="40% - Accent2 4 3 2 28 2" xfId="42961"/>
    <cellStyle name="40% - Accent2 4 3 2 29" xfId="20842"/>
    <cellStyle name="40% - Accent2 4 3 2 29 2" xfId="43617"/>
    <cellStyle name="40% - Accent2 4 3 2 3" xfId="2146"/>
    <cellStyle name="40% - Accent2 4 3 2 3 2" xfId="4442"/>
    <cellStyle name="40% - Accent2 4 3 2 3 2 2" xfId="27217"/>
    <cellStyle name="40% - Accent2 4 3 2 3 3" xfId="24921"/>
    <cellStyle name="40% - Accent2 4 3 2 30" xfId="21498"/>
    <cellStyle name="40% - Accent2 4 3 2 30 2" xfId="44273"/>
    <cellStyle name="40% - Accent2 4 3 2 31" xfId="22154"/>
    <cellStyle name="40% - Accent2 4 3 2 31 2" xfId="44929"/>
    <cellStyle name="40% - Accent2 4 3 2 32" xfId="22810"/>
    <cellStyle name="40% - Accent2 4 3 2 32 2" xfId="45585"/>
    <cellStyle name="40% - Accent2 4 3 2 33" xfId="23609"/>
    <cellStyle name="40% - Accent2 4 3 2 4" xfId="5098"/>
    <cellStyle name="40% - Accent2 4 3 2 4 2" xfId="27873"/>
    <cellStyle name="40% - Accent2 4 3 2 5" xfId="5754"/>
    <cellStyle name="40% - Accent2 4 3 2 5 2" xfId="28529"/>
    <cellStyle name="40% - Accent2 4 3 2 6" xfId="6410"/>
    <cellStyle name="40% - Accent2 4 3 2 6 2" xfId="29185"/>
    <cellStyle name="40% - Accent2 4 3 2 7" xfId="3130"/>
    <cellStyle name="40% - Accent2 4 3 2 7 2" xfId="25905"/>
    <cellStyle name="40% - Accent2 4 3 2 8" xfId="7066"/>
    <cellStyle name="40% - Accent2 4 3 2 8 2" xfId="29841"/>
    <cellStyle name="40% - Accent2 4 3 2 9" xfId="7722"/>
    <cellStyle name="40% - Accent2 4 3 2 9 2" xfId="30497"/>
    <cellStyle name="40% - Accent2 4 3 20" xfId="13298"/>
    <cellStyle name="40% - Accent2 4 3 20 2" xfId="36073"/>
    <cellStyle name="40% - Accent2 4 3 21" xfId="13954"/>
    <cellStyle name="40% - Accent2 4 3 21 2" xfId="36729"/>
    <cellStyle name="40% - Accent2 4 3 22" xfId="14610"/>
    <cellStyle name="40% - Accent2 4 3 22 2" xfId="37385"/>
    <cellStyle name="40% - Accent2 4 3 23" xfId="15266"/>
    <cellStyle name="40% - Accent2 4 3 23 2" xfId="38041"/>
    <cellStyle name="40% - Accent2 4 3 24" xfId="15922"/>
    <cellStyle name="40% - Accent2 4 3 24 2" xfId="38697"/>
    <cellStyle name="40% - Accent2 4 3 25" xfId="16578"/>
    <cellStyle name="40% - Accent2 4 3 25 2" xfId="39353"/>
    <cellStyle name="40% - Accent2 4 3 26" xfId="17234"/>
    <cellStyle name="40% - Accent2 4 3 26 2" xfId="40009"/>
    <cellStyle name="40% - Accent2 4 3 27" xfId="17890"/>
    <cellStyle name="40% - Accent2 4 3 27 2" xfId="40665"/>
    <cellStyle name="40% - Accent2 4 3 28" xfId="18546"/>
    <cellStyle name="40% - Accent2 4 3 28 2" xfId="41321"/>
    <cellStyle name="40% - Accent2 4 3 29" xfId="19202"/>
    <cellStyle name="40% - Accent2 4 3 29 2" xfId="41977"/>
    <cellStyle name="40% - Accent2 4 3 3" xfId="1162"/>
    <cellStyle name="40% - Accent2 4 3 3 2" xfId="2802"/>
    <cellStyle name="40% - Accent2 4 3 3 2 2" xfId="25577"/>
    <cellStyle name="40% - Accent2 4 3 3 3" xfId="23937"/>
    <cellStyle name="40% - Accent2 4 3 30" xfId="19858"/>
    <cellStyle name="40% - Accent2 4 3 30 2" xfId="42633"/>
    <cellStyle name="40% - Accent2 4 3 31" xfId="20514"/>
    <cellStyle name="40% - Accent2 4 3 31 2" xfId="43289"/>
    <cellStyle name="40% - Accent2 4 3 32" xfId="21170"/>
    <cellStyle name="40% - Accent2 4 3 32 2" xfId="43945"/>
    <cellStyle name="40% - Accent2 4 3 33" xfId="21826"/>
    <cellStyle name="40% - Accent2 4 3 33 2" xfId="44601"/>
    <cellStyle name="40% - Accent2 4 3 34" xfId="22482"/>
    <cellStyle name="40% - Accent2 4 3 34 2" xfId="45257"/>
    <cellStyle name="40% - Accent2 4 3 35" xfId="23281"/>
    <cellStyle name="40% - Accent2 4 3 4" xfId="1818"/>
    <cellStyle name="40% - Accent2 4 3 4 2" xfId="3458"/>
    <cellStyle name="40% - Accent2 4 3 4 2 2" xfId="26233"/>
    <cellStyle name="40% - Accent2 4 3 4 3" xfId="24593"/>
    <cellStyle name="40% - Accent2 4 3 5" xfId="4114"/>
    <cellStyle name="40% - Accent2 4 3 5 2" xfId="26889"/>
    <cellStyle name="40% - Accent2 4 3 6" xfId="4770"/>
    <cellStyle name="40% - Accent2 4 3 6 2" xfId="27545"/>
    <cellStyle name="40% - Accent2 4 3 7" xfId="5426"/>
    <cellStyle name="40% - Accent2 4 3 7 2" xfId="28201"/>
    <cellStyle name="40% - Accent2 4 3 8" xfId="6082"/>
    <cellStyle name="40% - Accent2 4 3 8 2" xfId="28857"/>
    <cellStyle name="40% - Accent2 4 3 9" xfId="2474"/>
    <cellStyle name="40% - Accent2 4 3 9 2" xfId="25249"/>
    <cellStyle name="40% - Accent2 4 30" xfId="18361"/>
    <cellStyle name="40% - Accent2 4 30 2" xfId="41136"/>
    <cellStyle name="40% - Accent2 4 31" xfId="19017"/>
    <cellStyle name="40% - Accent2 4 31 2" xfId="41792"/>
    <cellStyle name="40% - Accent2 4 32" xfId="19673"/>
    <cellStyle name="40% - Accent2 4 32 2" xfId="42448"/>
    <cellStyle name="40% - Accent2 4 33" xfId="20329"/>
    <cellStyle name="40% - Accent2 4 33 2" xfId="43104"/>
    <cellStyle name="40% - Accent2 4 34" xfId="20985"/>
    <cellStyle name="40% - Accent2 4 34 2" xfId="43760"/>
    <cellStyle name="40% - Accent2 4 35" xfId="21641"/>
    <cellStyle name="40% - Accent2 4 35 2" xfId="44416"/>
    <cellStyle name="40% - Accent2 4 36" xfId="22297"/>
    <cellStyle name="40% - Accent2 4 36 2" xfId="45072"/>
    <cellStyle name="40% - Accent2 4 37" xfId="236"/>
    <cellStyle name="40% - Accent2 4 38" xfId="22953"/>
    <cellStyle name="40% - Accent2 4 4" xfId="649"/>
    <cellStyle name="40% - Accent2 4 4 10" xfId="8193"/>
    <cellStyle name="40% - Accent2 4 4 10 2" xfId="30968"/>
    <cellStyle name="40% - Accent2 4 4 11" xfId="8849"/>
    <cellStyle name="40% - Accent2 4 4 11 2" xfId="31624"/>
    <cellStyle name="40% - Accent2 4 4 12" xfId="9505"/>
    <cellStyle name="40% - Accent2 4 4 12 2" xfId="32280"/>
    <cellStyle name="40% - Accent2 4 4 13" xfId="10161"/>
    <cellStyle name="40% - Accent2 4 4 13 2" xfId="32936"/>
    <cellStyle name="40% - Accent2 4 4 14" xfId="10817"/>
    <cellStyle name="40% - Accent2 4 4 14 2" xfId="33592"/>
    <cellStyle name="40% - Accent2 4 4 15" xfId="11473"/>
    <cellStyle name="40% - Accent2 4 4 15 2" xfId="34248"/>
    <cellStyle name="40% - Accent2 4 4 16" xfId="12129"/>
    <cellStyle name="40% - Accent2 4 4 16 2" xfId="34904"/>
    <cellStyle name="40% - Accent2 4 4 17" xfId="12785"/>
    <cellStyle name="40% - Accent2 4 4 17 2" xfId="35560"/>
    <cellStyle name="40% - Accent2 4 4 18" xfId="13441"/>
    <cellStyle name="40% - Accent2 4 4 18 2" xfId="36216"/>
    <cellStyle name="40% - Accent2 4 4 19" xfId="14097"/>
    <cellStyle name="40% - Accent2 4 4 19 2" xfId="36872"/>
    <cellStyle name="40% - Accent2 4 4 2" xfId="1305"/>
    <cellStyle name="40% - Accent2 4 4 2 2" xfId="3601"/>
    <cellStyle name="40% - Accent2 4 4 2 2 2" xfId="26376"/>
    <cellStyle name="40% - Accent2 4 4 2 3" xfId="24080"/>
    <cellStyle name="40% - Accent2 4 4 20" xfId="14753"/>
    <cellStyle name="40% - Accent2 4 4 20 2" xfId="37528"/>
    <cellStyle name="40% - Accent2 4 4 21" xfId="15409"/>
    <cellStyle name="40% - Accent2 4 4 21 2" xfId="38184"/>
    <cellStyle name="40% - Accent2 4 4 22" xfId="16065"/>
    <cellStyle name="40% - Accent2 4 4 22 2" xfId="38840"/>
    <cellStyle name="40% - Accent2 4 4 23" xfId="16721"/>
    <cellStyle name="40% - Accent2 4 4 23 2" xfId="39496"/>
    <cellStyle name="40% - Accent2 4 4 24" xfId="17377"/>
    <cellStyle name="40% - Accent2 4 4 24 2" xfId="40152"/>
    <cellStyle name="40% - Accent2 4 4 25" xfId="18033"/>
    <cellStyle name="40% - Accent2 4 4 25 2" xfId="40808"/>
    <cellStyle name="40% - Accent2 4 4 26" xfId="18689"/>
    <cellStyle name="40% - Accent2 4 4 26 2" xfId="41464"/>
    <cellStyle name="40% - Accent2 4 4 27" xfId="19345"/>
    <cellStyle name="40% - Accent2 4 4 27 2" xfId="42120"/>
    <cellStyle name="40% - Accent2 4 4 28" xfId="20001"/>
    <cellStyle name="40% - Accent2 4 4 28 2" xfId="42776"/>
    <cellStyle name="40% - Accent2 4 4 29" xfId="20657"/>
    <cellStyle name="40% - Accent2 4 4 29 2" xfId="43432"/>
    <cellStyle name="40% - Accent2 4 4 3" xfId="1961"/>
    <cellStyle name="40% - Accent2 4 4 3 2" xfId="4257"/>
    <cellStyle name="40% - Accent2 4 4 3 2 2" xfId="27032"/>
    <cellStyle name="40% - Accent2 4 4 3 3" xfId="24736"/>
    <cellStyle name="40% - Accent2 4 4 30" xfId="21313"/>
    <cellStyle name="40% - Accent2 4 4 30 2" xfId="44088"/>
    <cellStyle name="40% - Accent2 4 4 31" xfId="21969"/>
    <cellStyle name="40% - Accent2 4 4 31 2" xfId="44744"/>
    <cellStyle name="40% - Accent2 4 4 32" xfId="22625"/>
    <cellStyle name="40% - Accent2 4 4 32 2" xfId="45400"/>
    <cellStyle name="40% - Accent2 4 4 33" xfId="23424"/>
    <cellStyle name="40% - Accent2 4 4 4" xfId="4913"/>
    <cellStyle name="40% - Accent2 4 4 4 2" xfId="27688"/>
    <cellStyle name="40% - Accent2 4 4 5" xfId="5569"/>
    <cellStyle name="40% - Accent2 4 4 5 2" xfId="28344"/>
    <cellStyle name="40% - Accent2 4 4 6" xfId="6225"/>
    <cellStyle name="40% - Accent2 4 4 6 2" xfId="29000"/>
    <cellStyle name="40% - Accent2 4 4 7" xfId="2945"/>
    <cellStyle name="40% - Accent2 4 4 7 2" xfId="25720"/>
    <cellStyle name="40% - Accent2 4 4 8" xfId="6881"/>
    <cellStyle name="40% - Accent2 4 4 8 2" xfId="29656"/>
    <cellStyle name="40% - Accent2 4 4 9" xfId="7537"/>
    <cellStyle name="40% - Accent2 4 4 9 2" xfId="30312"/>
    <cellStyle name="40% - Accent2 4 5" xfId="322"/>
    <cellStyle name="40% - Accent2 4 5 2" xfId="2617"/>
    <cellStyle name="40% - Accent2 4 5 2 2" xfId="25392"/>
    <cellStyle name="40% - Accent2 4 5 3" xfId="23096"/>
    <cellStyle name="40% - Accent2 4 6" xfId="977"/>
    <cellStyle name="40% - Accent2 4 6 2" xfId="3273"/>
    <cellStyle name="40% - Accent2 4 6 2 2" xfId="26048"/>
    <cellStyle name="40% - Accent2 4 6 3" xfId="23752"/>
    <cellStyle name="40% - Accent2 4 7" xfId="1633"/>
    <cellStyle name="40% - Accent2 4 7 2" xfId="3929"/>
    <cellStyle name="40% - Accent2 4 7 2 2" xfId="26704"/>
    <cellStyle name="40% - Accent2 4 7 3" xfId="24408"/>
    <cellStyle name="40% - Accent2 4 8" xfId="4585"/>
    <cellStyle name="40% - Accent2 4 8 2" xfId="27360"/>
    <cellStyle name="40% - Accent2 4 9" xfId="5241"/>
    <cellStyle name="40% - Accent2 4 9 2" xfId="28016"/>
    <cellStyle name="40% - Accent2 40" xfId="20284"/>
    <cellStyle name="40% - Accent2 40 2" xfId="43059"/>
    <cellStyle name="40% - Accent2 41" xfId="20940"/>
    <cellStyle name="40% - Accent2 41 2" xfId="43715"/>
    <cellStyle name="40% - Accent2 42" xfId="21596"/>
    <cellStyle name="40% - Accent2 42 2" xfId="44371"/>
    <cellStyle name="40% - Accent2 43" xfId="22252"/>
    <cellStyle name="40% - Accent2 43 2" xfId="45027"/>
    <cellStyle name="40% - Accent2 44" xfId="191"/>
    <cellStyle name="40% - Accent2 45" xfId="22908"/>
    <cellStyle name="40% - Accent2 5" xfId="105"/>
    <cellStyle name="40% - Accent2 5 10" xfId="5911"/>
    <cellStyle name="40% - Accent2 5 10 2" xfId="28686"/>
    <cellStyle name="40% - Accent2 5 11" xfId="2303"/>
    <cellStyle name="40% - Accent2 5 11 2" xfId="25078"/>
    <cellStyle name="40% - Accent2 5 12" xfId="6567"/>
    <cellStyle name="40% - Accent2 5 12 2" xfId="29342"/>
    <cellStyle name="40% - Accent2 5 13" xfId="7223"/>
    <cellStyle name="40% - Accent2 5 13 2" xfId="29998"/>
    <cellStyle name="40% - Accent2 5 14" xfId="7879"/>
    <cellStyle name="40% - Accent2 5 14 2" xfId="30654"/>
    <cellStyle name="40% - Accent2 5 15" xfId="8535"/>
    <cellStyle name="40% - Accent2 5 15 2" xfId="31310"/>
    <cellStyle name="40% - Accent2 5 16" xfId="9191"/>
    <cellStyle name="40% - Accent2 5 16 2" xfId="31966"/>
    <cellStyle name="40% - Accent2 5 17" xfId="9847"/>
    <cellStyle name="40% - Accent2 5 17 2" xfId="32622"/>
    <cellStyle name="40% - Accent2 5 18" xfId="10503"/>
    <cellStyle name="40% - Accent2 5 18 2" xfId="33278"/>
    <cellStyle name="40% - Accent2 5 19" xfId="11159"/>
    <cellStyle name="40% - Accent2 5 19 2" xfId="33934"/>
    <cellStyle name="40% - Accent2 5 2" xfId="176"/>
    <cellStyle name="40% - Accent2 5 2 10" xfId="2374"/>
    <cellStyle name="40% - Accent2 5 2 10 2" xfId="25149"/>
    <cellStyle name="40% - Accent2 5 2 11" xfId="6638"/>
    <cellStyle name="40% - Accent2 5 2 11 2" xfId="29413"/>
    <cellStyle name="40% - Accent2 5 2 12" xfId="7294"/>
    <cellStyle name="40% - Accent2 5 2 12 2" xfId="30069"/>
    <cellStyle name="40% - Accent2 5 2 13" xfId="7950"/>
    <cellStyle name="40% - Accent2 5 2 13 2" xfId="30725"/>
    <cellStyle name="40% - Accent2 5 2 14" xfId="8606"/>
    <cellStyle name="40% - Accent2 5 2 14 2" xfId="31381"/>
    <cellStyle name="40% - Accent2 5 2 15" xfId="9262"/>
    <cellStyle name="40% - Accent2 5 2 15 2" xfId="32037"/>
    <cellStyle name="40% - Accent2 5 2 16" xfId="9918"/>
    <cellStyle name="40% - Accent2 5 2 16 2" xfId="32693"/>
    <cellStyle name="40% - Accent2 5 2 17" xfId="10574"/>
    <cellStyle name="40% - Accent2 5 2 17 2" xfId="33349"/>
    <cellStyle name="40% - Accent2 5 2 18" xfId="11230"/>
    <cellStyle name="40% - Accent2 5 2 18 2" xfId="34005"/>
    <cellStyle name="40% - Accent2 5 2 19" xfId="11886"/>
    <cellStyle name="40% - Accent2 5 2 19 2" xfId="34661"/>
    <cellStyle name="40% - Accent2 5 2 2" xfId="590"/>
    <cellStyle name="40% - Accent2 5 2 2 10" xfId="6823"/>
    <cellStyle name="40% - Accent2 5 2 2 10 2" xfId="29598"/>
    <cellStyle name="40% - Accent2 5 2 2 11" xfId="7479"/>
    <cellStyle name="40% - Accent2 5 2 2 11 2" xfId="30254"/>
    <cellStyle name="40% - Accent2 5 2 2 12" xfId="8135"/>
    <cellStyle name="40% - Accent2 5 2 2 12 2" xfId="30910"/>
    <cellStyle name="40% - Accent2 5 2 2 13" xfId="8791"/>
    <cellStyle name="40% - Accent2 5 2 2 13 2" xfId="31566"/>
    <cellStyle name="40% - Accent2 5 2 2 14" xfId="9447"/>
    <cellStyle name="40% - Accent2 5 2 2 14 2" xfId="32222"/>
    <cellStyle name="40% - Accent2 5 2 2 15" xfId="10103"/>
    <cellStyle name="40% - Accent2 5 2 2 15 2" xfId="32878"/>
    <cellStyle name="40% - Accent2 5 2 2 16" xfId="10759"/>
    <cellStyle name="40% - Accent2 5 2 2 16 2" xfId="33534"/>
    <cellStyle name="40% - Accent2 5 2 2 17" xfId="11415"/>
    <cellStyle name="40% - Accent2 5 2 2 17 2" xfId="34190"/>
    <cellStyle name="40% - Accent2 5 2 2 18" xfId="12071"/>
    <cellStyle name="40% - Accent2 5 2 2 18 2" xfId="34846"/>
    <cellStyle name="40% - Accent2 5 2 2 19" xfId="12727"/>
    <cellStyle name="40% - Accent2 5 2 2 19 2" xfId="35502"/>
    <cellStyle name="40% - Accent2 5 2 2 2" xfId="919"/>
    <cellStyle name="40% - Accent2 5 2 2 2 10" xfId="8463"/>
    <cellStyle name="40% - Accent2 5 2 2 2 10 2" xfId="31238"/>
    <cellStyle name="40% - Accent2 5 2 2 2 11" xfId="9119"/>
    <cellStyle name="40% - Accent2 5 2 2 2 11 2" xfId="31894"/>
    <cellStyle name="40% - Accent2 5 2 2 2 12" xfId="9775"/>
    <cellStyle name="40% - Accent2 5 2 2 2 12 2" xfId="32550"/>
    <cellStyle name="40% - Accent2 5 2 2 2 13" xfId="10431"/>
    <cellStyle name="40% - Accent2 5 2 2 2 13 2" xfId="33206"/>
    <cellStyle name="40% - Accent2 5 2 2 2 14" xfId="11087"/>
    <cellStyle name="40% - Accent2 5 2 2 2 14 2" xfId="33862"/>
    <cellStyle name="40% - Accent2 5 2 2 2 15" xfId="11743"/>
    <cellStyle name="40% - Accent2 5 2 2 2 15 2" xfId="34518"/>
    <cellStyle name="40% - Accent2 5 2 2 2 16" xfId="12399"/>
    <cellStyle name="40% - Accent2 5 2 2 2 16 2" xfId="35174"/>
    <cellStyle name="40% - Accent2 5 2 2 2 17" xfId="13055"/>
    <cellStyle name="40% - Accent2 5 2 2 2 17 2" xfId="35830"/>
    <cellStyle name="40% - Accent2 5 2 2 2 18" xfId="13711"/>
    <cellStyle name="40% - Accent2 5 2 2 2 18 2" xfId="36486"/>
    <cellStyle name="40% - Accent2 5 2 2 2 19" xfId="14367"/>
    <cellStyle name="40% - Accent2 5 2 2 2 19 2" xfId="37142"/>
    <cellStyle name="40% - Accent2 5 2 2 2 2" xfId="1575"/>
    <cellStyle name="40% - Accent2 5 2 2 2 2 2" xfId="3871"/>
    <cellStyle name="40% - Accent2 5 2 2 2 2 2 2" xfId="26646"/>
    <cellStyle name="40% - Accent2 5 2 2 2 2 3" xfId="24350"/>
    <cellStyle name="40% - Accent2 5 2 2 2 20" xfId="15023"/>
    <cellStyle name="40% - Accent2 5 2 2 2 20 2" xfId="37798"/>
    <cellStyle name="40% - Accent2 5 2 2 2 21" xfId="15679"/>
    <cellStyle name="40% - Accent2 5 2 2 2 21 2" xfId="38454"/>
    <cellStyle name="40% - Accent2 5 2 2 2 22" xfId="16335"/>
    <cellStyle name="40% - Accent2 5 2 2 2 22 2" xfId="39110"/>
    <cellStyle name="40% - Accent2 5 2 2 2 23" xfId="16991"/>
    <cellStyle name="40% - Accent2 5 2 2 2 23 2" xfId="39766"/>
    <cellStyle name="40% - Accent2 5 2 2 2 24" xfId="17647"/>
    <cellStyle name="40% - Accent2 5 2 2 2 24 2" xfId="40422"/>
    <cellStyle name="40% - Accent2 5 2 2 2 25" xfId="18303"/>
    <cellStyle name="40% - Accent2 5 2 2 2 25 2" xfId="41078"/>
    <cellStyle name="40% - Accent2 5 2 2 2 26" xfId="18959"/>
    <cellStyle name="40% - Accent2 5 2 2 2 26 2" xfId="41734"/>
    <cellStyle name="40% - Accent2 5 2 2 2 27" xfId="19615"/>
    <cellStyle name="40% - Accent2 5 2 2 2 27 2" xfId="42390"/>
    <cellStyle name="40% - Accent2 5 2 2 2 28" xfId="20271"/>
    <cellStyle name="40% - Accent2 5 2 2 2 28 2" xfId="43046"/>
    <cellStyle name="40% - Accent2 5 2 2 2 29" xfId="20927"/>
    <cellStyle name="40% - Accent2 5 2 2 2 29 2" xfId="43702"/>
    <cellStyle name="40% - Accent2 5 2 2 2 3" xfId="2231"/>
    <cellStyle name="40% - Accent2 5 2 2 2 3 2" xfId="4527"/>
    <cellStyle name="40% - Accent2 5 2 2 2 3 2 2" xfId="27302"/>
    <cellStyle name="40% - Accent2 5 2 2 2 3 3" xfId="25006"/>
    <cellStyle name="40% - Accent2 5 2 2 2 30" xfId="21583"/>
    <cellStyle name="40% - Accent2 5 2 2 2 30 2" xfId="44358"/>
    <cellStyle name="40% - Accent2 5 2 2 2 31" xfId="22239"/>
    <cellStyle name="40% - Accent2 5 2 2 2 31 2" xfId="45014"/>
    <cellStyle name="40% - Accent2 5 2 2 2 32" xfId="22895"/>
    <cellStyle name="40% - Accent2 5 2 2 2 32 2" xfId="45670"/>
    <cellStyle name="40% - Accent2 5 2 2 2 33" xfId="23694"/>
    <cellStyle name="40% - Accent2 5 2 2 2 4" xfId="5183"/>
    <cellStyle name="40% - Accent2 5 2 2 2 4 2" xfId="27958"/>
    <cellStyle name="40% - Accent2 5 2 2 2 5" xfId="5839"/>
    <cellStyle name="40% - Accent2 5 2 2 2 5 2" xfId="28614"/>
    <cellStyle name="40% - Accent2 5 2 2 2 6" xfId="6495"/>
    <cellStyle name="40% - Accent2 5 2 2 2 6 2" xfId="29270"/>
    <cellStyle name="40% - Accent2 5 2 2 2 7" xfId="3215"/>
    <cellStyle name="40% - Accent2 5 2 2 2 7 2" xfId="25990"/>
    <cellStyle name="40% - Accent2 5 2 2 2 8" xfId="7151"/>
    <cellStyle name="40% - Accent2 5 2 2 2 8 2" xfId="29926"/>
    <cellStyle name="40% - Accent2 5 2 2 2 9" xfId="7807"/>
    <cellStyle name="40% - Accent2 5 2 2 2 9 2" xfId="30582"/>
    <cellStyle name="40% - Accent2 5 2 2 20" xfId="13383"/>
    <cellStyle name="40% - Accent2 5 2 2 20 2" xfId="36158"/>
    <cellStyle name="40% - Accent2 5 2 2 21" xfId="14039"/>
    <cellStyle name="40% - Accent2 5 2 2 21 2" xfId="36814"/>
    <cellStyle name="40% - Accent2 5 2 2 22" xfId="14695"/>
    <cellStyle name="40% - Accent2 5 2 2 22 2" xfId="37470"/>
    <cellStyle name="40% - Accent2 5 2 2 23" xfId="15351"/>
    <cellStyle name="40% - Accent2 5 2 2 23 2" xfId="38126"/>
    <cellStyle name="40% - Accent2 5 2 2 24" xfId="16007"/>
    <cellStyle name="40% - Accent2 5 2 2 24 2" xfId="38782"/>
    <cellStyle name="40% - Accent2 5 2 2 25" xfId="16663"/>
    <cellStyle name="40% - Accent2 5 2 2 25 2" xfId="39438"/>
    <cellStyle name="40% - Accent2 5 2 2 26" xfId="17319"/>
    <cellStyle name="40% - Accent2 5 2 2 26 2" xfId="40094"/>
    <cellStyle name="40% - Accent2 5 2 2 27" xfId="17975"/>
    <cellStyle name="40% - Accent2 5 2 2 27 2" xfId="40750"/>
    <cellStyle name="40% - Accent2 5 2 2 28" xfId="18631"/>
    <cellStyle name="40% - Accent2 5 2 2 28 2" xfId="41406"/>
    <cellStyle name="40% - Accent2 5 2 2 29" xfId="19287"/>
    <cellStyle name="40% - Accent2 5 2 2 29 2" xfId="42062"/>
    <cellStyle name="40% - Accent2 5 2 2 3" xfId="1247"/>
    <cellStyle name="40% - Accent2 5 2 2 3 2" xfId="2887"/>
    <cellStyle name="40% - Accent2 5 2 2 3 2 2" xfId="25662"/>
    <cellStyle name="40% - Accent2 5 2 2 3 3" xfId="24022"/>
    <cellStyle name="40% - Accent2 5 2 2 30" xfId="19943"/>
    <cellStyle name="40% - Accent2 5 2 2 30 2" xfId="42718"/>
    <cellStyle name="40% - Accent2 5 2 2 31" xfId="20599"/>
    <cellStyle name="40% - Accent2 5 2 2 31 2" xfId="43374"/>
    <cellStyle name="40% - Accent2 5 2 2 32" xfId="21255"/>
    <cellStyle name="40% - Accent2 5 2 2 32 2" xfId="44030"/>
    <cellStyle name="40% - Accent2 5 2 2 33" xfId="21911"/>
    <cellStyle name="40% - Accent2 5 2 2 33 2" xfId="44686"/>
    <cellStyle name="40% - Accent2 5 2 2 34" xfId="22567"/>
    <cellStyle name="40% - Accent2 5 2 2 34 2" xfId="45342"/>
    <cellStyle name="40% - Accent2 5 2 2 35" xfId="23366"/>
    <cellStyle name="40% - Accent2 5 2 2 4" xfId="1903"/>
    <cellStyle name="40% - Accent2 5 2 2 4 2" xfId="3543"/>
    <cellStyle name="40% - Accent2 5 2 2 4 2 2" xfId="26318"/>
    <cellStyle name="40% - Accent2 5 2 2 4 3" xfId="24678"/>
    <cellStyle name="40% - Accent2 5 2 2 5" xfId="4199"/>
    <cellStyle name="40% - Accent2 5 2 2 5 2" xfId="26974"/>
    <cellStyle name="40% - Accent2 5 2 2 6" xfId="4855"/>
    <cellStyle name="40% - Accent2 5 2 2 6 2" xfId="27630"/>
    <cellStyle name="40% - Accent2 5 2 2 7" xfId="5511"/>
    <cellStyle name="40% - Accent2 5 2 2 7 2" xfId="28286"/>
    <cellStyle name="40% - Accent2 5 2 2 8" xfId="6167"/>
    <cellStyle name="40% - Accent2 5 2 2 8 2" xfId="28942"/>
    <cellStyle name="40% - Accent2 5 2 2 9" xfId="2559"/>
    <cellStyle name="40% - Accent2 5 2 2 9 2" xfId="25334"/>
    <cellStyle name="40% - Accent2 5 2 20" xfId="12542"/>
    <cellStyle name="40% - Accent2 5 2 20 2" xfId="35317"/>
    <cellStyle name="40% - Accent2 5 2 21" xfId="13198"/>
    <cellStyle name="40% - Accent2 5 2 21 2" xfId="35973"/>
    <cellStyle name="40% - Accent2 5 2 22" xfId="13854"/>
    <cellStyle name="40% - Accent2 5 2 22 2" xfId="36629"/>
    <cellStyle name="40% - Accent2 5 2 23" xfId="14510"/>
    <cellStyle name="40% - Accent2 5 2 23 2" xfId="37285"/>
    <cellStyle name="40% - Accent2 5 2 24" xfId="15166"/>
    <cellStyle name="40% - Accent2 5 2 24 2" xfId="37941"/>
    <cellStyle name="40% - Accent2 5 2 25" xfId="15822"/>
    <cellStyle name="40% - Accent2 5 2 25 2" xfId="38597"/>
    <cellStyle name="40% - Accent2 5 2 26" xfId="16478"/>
    <cellStyle name="40% - Accent2 5 2 26 2" xfId="39253"/>
    <cellStyle name="40% - Accent2 5 2 27" xfId="17134"/>
    <cellStyle name="40% - Accent2 5 2 27 2" xfId="39909"/>
    <cellStyle name="40% - Accent2 5 2 28" xfId="17790"/>
    <cellStyle name="40% - Accent2 5 2 28 2" xfId="40565"/>
    <cellStyle name="40% - Accent2 5 2 29" xfId="18446"/>
    <cellStyle name="40% - Accent2 5 2 29 2" xfId="41221"/>
    <cellStyle name="40% - Accent2 5 2 3" xfId="734"/>
    <cellStyle name="40% - Accent2 5 2 3 10" xfId="8278"/>
    <cellStyle name="40% - Accent2 5 2 3 10 2" xfId="31053"/>
    <cellStyle name="40% - Accent2 5 2 3 11" xfId="8934"/>
    <cellStyle name="40% - Accent2 5 2 3 11 2" xfId="31709"/>
    <cellStyle name="40% - Accent2 5 2 3 12" xfId="9590"/>
    <cellStyle name="40% - Accent2 5 2 3 12 2" xfId="32365"/>
    <cellStyle name="40% - Accent2 5 2 3 13" xfId="10246"/>
    <cellStyle name="40% - Accent2 5 2 3 13 2" xfId="33021"/>
    <cellStyle name="40% - Accent2 5 2 3 14" xfId="10902"/>
    <cellStyle name="40% - Accent2 5 2 3 14 2" xfId="33677"/>
    <cellStyle name="40% - Accent2 5 2 3 15" xfId="11558"/>
    <cellStyle name="40% - Accent2 5 2 3 15 2" xfId="34333"/>
    <cellStyle name="40% - Accent2 5 2 3 16" xfId="12214"/>
    <cellStyle name="40% - Accent2 5 2 3 16 2" xfId="34989"/>
    <cellStyle name="40% - Accent2 5 2 3 17" xfId="12870"/>
    <cellStyle name="40% - Accent2 5 2 3 17 2" xfId="35645"/>
    <cellStyle name="40% - Accent2 5 2 3 18" xfId="13526"/>
    <cellStyle name="40% - Accent2 5 2 3 18 2" xfId="36301"/>
    <cellStyle name="40% - Accent2 5 2 3 19" xfId="14182"/>
    <cellStyle name="40% - Accent2 5 2 3 19 2" xfId="36957"/>
    <cellStyle name="40% - Accent2 5 2 3 2" xfId="1390"/>
    <cellStyle name="40% - Accent2 5 2 3 2 2" xfId="3686"/>
    <cellStyle name="40% - Accent2 5 2 3 2 2 2" xfId="26461"/>
    <cellStyle name="40% - Accent2 5 2 3 2 3" xfId="24165"/>
    <cellStyle name="40% - Accent2 5 2 3 20" xfId="14838"/>
    <cellStyle name="40% - Accent2 5 2 3 20 2" xfId="37613"/>
    <cellStyle name="40% - Accent2 5 2 3 21" xfId="15494"/>
    <cellStyle name="40% - Accent2 5 2 3 21 2" xfId="38269"/>
    <cellStyle name="40% - Accent2 5 2 3 22" xfId="16150"/>
    <cellStyle name="40% - Accent2 5 2 3 22 2" xfId="38925"/>
    <cellStyle name="40% - Accent2 5 2 3 23" xfId="16806"/>
    <cellStyle name="40% - Accent2 5 2 3 23 2" xfId="39581"/>
    <cellStyle name="40% - Accent2 5 2 3 24" xfId="17462"/>
    <cellStyle name="40% - Accent2 5 2 3 24 2" xfId="40237"/>
    <cellStyle name="40% - Accent2 5 2 3 25" xfId="18118"/>
    <cellStyle name="40% - Accent2 5 2 3 25 2" xfId="40893"/>
    <cellStyle name="40% - Accent2 5 2 3 26" xfId="18774"/>
    <cellStyle name="40% - Accent2 5 2 3 26 2" xfId="41549"/>
    <cellStyle name="40% - Accent2 5 2 3 27" xfId="19430"/>
    <cellStyle name="40% - Accent2 5 2 3 27 2" xfId="42205"/>
    <cellStyle name="40% - Accent2 5 2 3 28" xfId="20086"/>
    <cellStyle name="40% - Accent2 5 2 3 28 2" xfId="42861"/>
    <cellStyle name="40% - Accent2 5 2 3 29" xfId="20742"/>
    <cellStyle name="40% - Accent2 5 2 3 29 2" xfId="43517"/>
    <cellStyle name="40% - Accent2 5 2 3 3" xfId="2046"/>
    <cellStyle name="40% - Accent2 5 2 3 3 2" xfId="4342"/>
    <cellStyle name="40% - Accent2 5 2 3 3 2 2" xfId="27117"/>
    <cellStyle name="40% - Accent2 5 2 3 3 3" xfId="24821"/>
    <cellStyle name="40% - Accent2 5 2 3 30" xfId="21398"/>
    <cellStyle name="40% - Accent2 5 2 3 30 2" xfId="44173"/>
    <cellStyle name="40% - Accent2 5 2 3 31" xfId="22054"/>
    <cellStyle name="40% - Accent2 5 2 3 31 2" xfId="44829"/>
    <cellStyle name="40% - Accent2 5 2 3 32" xfId="22710"/>
    <cellStyle name="40% - Accent2 5 2 3 32 2" xfId="45485"/>
    <cellStyle name="40% - Accent2 5 2 3 33" xfId="23509"/>
    <cellStyle name="40% - Accent2 5 2 3 4" xfId="4998"/>
    <cellStyle name="40% - Accent2 5 2 3 4 2" xfId="27773"/>
    <cellStyle name="40% - Accent2 5 2 3 5" xfId="5654"/>
    <cellStyle name="40% - Accent2 5 2 3 5 2" xfId="28429"/>
    <cellStyle name="40% - Accent2 5 2 3 6" xfId="6310"/>
    <cellStyle name="40% - Accent2 5 2 3 6 2" xfId="29085"/>
    <cellStyle name="40% - Accent2 5 2 3 7" xfId="3030"/>
    <cellStyle name="40% - Accent2 5 2 3 7 2" xfId="25805"/>
    <cellStyle name="40% - Accent2 5 2 3 8" xfId="6966"/>
    <cellStyle name="40% - Accent2 5 2 3 8 2" xfId="29741"/>
    <cellStyle name="40% - Accent2 5 2 3 9" xfId="7622"/>
    <cellStyle name="40% - Accent2 5 2 3 9 2" xfId="30397"/>
    <cellStyle name="40% - Accent2 5 2 30" xfId="19102"/>
    <cellStyle name="40% - Accent2 5 2 30 2" xfId="41877"/>
    <cellStyle name="40% - Accent2 5 2 31" xfId="19758"/>
    <cellStyle name="40% - Accent2 5 2 31 2" xfId="42533"/>
    <cellStyle name="40% - Accent2 5 2 32" xfId="20414"/>
    <cellStyle name="40% - Accent2 5 2 32 2" xfId="43189"/>
    <cellStyle name="40% - Accent2 5 2 33" xfId="21070"/>
    <cellStyle name="40% - Accent2 5 2 33 2" xfId="43845"/>
    <cellStyle name="40% - Accent2 5 2 34" xfId="21726"/>
    <cellStyle name="40% - Accent2 5 2 34 2" xfId="44501"/>
    <cellStyle name="40% - Accent2 5 2 35" xfId="22382"/>
    <cellStyle name="40% - Accent2 5 2 35 2" xfId="45157"/>
    <cellStyle name="40% - Accent2 5 2 36" xfId="23038"/>
    <cellStyle name="40% - Accent2 5 2 4" xfId="407"/>
    <cellStyle name="40% - Accent2 5 2 4 2" xfId="2702"/>
    <cellStyle name="40% - Accent2 5 2 4 2 2" xfId="25477"/>
    <cellStyle name="40% - Accent2 5 2 4 3" xfId="23181"/>
    <cellStyle name="40% - Accent2 5 2 5" xfId="1062"/>
    <cellStyle name="40% - Accent2 5 2 5 2" xfId="3358"/>
    <cellStyle name="40% - Accent2 5 2 5 2 2" xfId="26133"/>
    <cellStyle name="40% - Accent2 5 2 5 3" xfId="23837"/>
    <cellStyle name="40% - Accent2 5 2 6" xfId="1718"/>
    <cellStyle name="40% - Accent2 5 2 6 2" xfId="4014"/>
    <cellStyle name="40% - Accent2 5 2 6 2 2" xfId="26789"/>
    <cellStyle name="40% - Accent2 5 2 6 3" xfId="24493"/>
    <cellStyle name="40% - Accent2 5 2 7" xfId="4670"/>
    <cellStyle name="40% - Accent2 5 2 7 2" xfId="27445"/>
    <cellStyle name="40% - Accent2 5 2 8" xfId="5326"/>
    <cellStyle name="40% - Accent2 5 2 8 2" xfId="28101"/>
    <cellStyle name="40% - Accent2 5 2 9" xfId="5982"/>
    <cellStyle name="40% - Accent2 5 2 9 2" xfId="28757"/>
    <cellStyle name="40% - Accent2 5 20" xfId="11815"/>
    <cellStyle name="40% - Accent2 5 20 2" xfId="34590"/>
    <cellStyle name="40% - Accent2 5 21" xfId="12471"/>
    <cellStyle name="40% - Accent2 5 21 2" xfId="35246"/>
    <cellStyle name="40% - Accent2 5 22" xfId="13127"/>
    <cellStyle name="40% - Accent2 5 22 2" xfId="35902"/>
    <cellStyle name="40% - Accent2 5 23" xfId="13783"/>
    <cellStyle name="40% - Accent2 5 23 2" xfId="36558"/>
    <cellStyle name="40% - Accent2 5 24" xfId="14439"/>
    <cellStyle name="40% - Accent2 5 24 2" xfId="37214"/>
    <cellStyle name="40% - Accent2 5 25" xfId="15095"/>
    <cellStyle name="40% - Accent2 5 25 2" xfId="37870"/>
    <cellStyle name="40% - Accent2 5 26" xfId="15751"/>
    <cellStyle name="40% - Accent2 5 26 2" xfId="38526"/>
    <cellStyle name="40% - Accent2 5 27" xfId="16407"/>
    <cellStyle name="40% - Accent2 5 27 2" xfId="39182"/>
    <cellStyle name="40% - Accent2 5 28" xfId="17063"/>
    <cellStyle name="40% - Accent2 5 28 2" xfId="39838"/>
    <cellStyle name="40% - Accent2 5 29" xfId="17719"/>
    <cellStyle name="40% - Accent2 5 29 2" xfId="40494"/>
    <cellStyle name="40% - Accent2 5 3" xfId="520"/>
    <cellStyle name="40% - Accent2 5 3 10" xfId="6752"/>
    <cellStyle name="40% - Accent2 5 3 10 2" xfId="29527"/>
    <cellStyle name="40% - Accent2 5 3 11" xfId="7408"/>
    <cellStyle name="40% - Accent2 5 3 11 2" xfId="30183"/>
    <cellStyle name="40% - Accent2 5 3 12" xfId="8064"/>
    <cellStyle name="40% - Accent2 5 3 12 2" xfId="30839"/>
    <cellStyle name="40% - Accent2 5 3 13" xfId="8720"/>
    <cellStyle name="40% - Accent2 5 3 13 2" xfId="31495"/>
    <cellStyle name="40% - Accent2 5 3 14" xfId="9376"/>
    <cellStyle name="40% - Accent2 5 3 14 2" xfId="32151"/>
    <cellStyle name="40% - Accent2 5 3 15" xfId="10032"/>
    <cellStyle name="40% - Accent2 5 3 15 2" xfId="32807"/>
    <cellStyle name="40% - Accent2 5 3 16" xfId="10688"/>
    <cellStyle name="40% - Accent2 5 3 16 2" xfId="33463"/>
    <cellStyle name="40% - Accent2 5 3 17" xfId="11344"/>
    <cellStyle name="40% - Accent2 5 3 17 2" xfId="34119"/>
    <cellStyle name="40% - Accent2 5 3 18" xfId="12000"/>
    <cellStyle name="40% - Accent2 5 3 18 2" xfId="34775"/>
    <cellStyle name="40% - Accent2 5 3 19" xfId="12656"/>
    <cellStyle name="40% - Accent2 5 3 19 2" xfId="35431"/>
    <cellStyle name="40% - Accent2 5 3 2" xfId="848"/>
    <cellStyle name="40% - Accent2 5 3 2 10" xfId="8392"/>
    <cellStyle name="40% - Accent2 5 3 2 10 2" xfId="31167"/>
    <cellStyle name="40% - Accent2 5 3 2 11" xfId="9048"/>
    <cellStyle name="40% - Accent2 5 3 2 11 2" xfId="31823"/>
    <cellStyle name="40% - Accent2 5 3 2 12" xfId="9704"/>
    <cellStyle name="40% - Accent2 5 3 2 12 2" xfId="32479"/>
    <cellStyle name="40% - Accent2 5 3 2 13" xfId="10360"/>
    <cellStyle name="40% - Accent2 5 3 2 13 2" xfId="33135"/>
    <cellStyle name="40% - Accent2 5 3 2 14" xfId="11016"/>
    <cellStyle name="40% - Accent2 5 3 2 14 2" xfId="33791"/>
    <cellStyle name="40% - Accent2 5 3 2 15" xfId="11672"/>
    <cellStyle name="40% - Accent2 5 3 2 15 2" xfId="34447"/>
    <cellStyle name="40% - Accent2 5 3 2 16" xfId="12328"/>
    <cellStyle name="40% - Accent2 5 3 2 16 2" xfId="35103"/>
    <cellStyle name="40% - Accent2 5 3 2 17" xfId="12984"/>
    <cellStyle name="40% - Accent2 5 3 2 17 2" xfId="35759"/>
    <cellStyle name="40% - Accent2 5 3 2 18" xfId="13640"/>
    <cellStyle name="40% - Accent2 5 3 2 18 2" xfId="36415"/>
    <cellStyle name="40% - Accent2 5 3 2 19" xfId="14296"/>
    <cellStyle name="40% - Accent2 5 3 2 19 2" xfId="37071"/>
    <cellStyle name="40% - Accent2 5 3 2 2" xfId="1504"/>
    <cellStyle name="40% - Accent2 5 3 2 2 2" xfId="3800"/>
    <cellStyle name="40% - Accent2 5 3 2 2 2 2" xfId="26575"/>
    <cellStyle name="40% - Accent2 5 3 2 2 3" xfId="24279"/>
    <cellStyle name="40% - Accent2 5 3 2 20" xfId="14952"/>
    <cellStyle name="40% - Accent2 5 3 2 20 2" xfId="37727"/>
    <cellStyle name="40% - Accent2 5 3 2 21" xfId="15608"/>
    <cellStyle name="40% - Accent2 5 3 2 21 2" xfId="38383"/>
    <cellStyle name="40% - Accent2 5 3 2 22" xfId="16264"/>
    <cellStyle name="40% - Accent2 5 3 2 22 2" xfId="39039"/>
    <cellStyle name="40% - Accent2 5 3 2 23" xfId="16920"/>
    <cellStyle name="40% - Accent2 5 3 2 23 2" xfId="39695"/>
    <cellStyle name="40% - Accent2 5 3 2 24" xfId="17576"/>
    <cellStyle name="40% - Accent2 5 3 2 24 2" xfId="40351"/>
    <cellStyle name="40% - Accent2 5 3 2 25" xfId="18232"/>
    <cellStyle name="40% - Accent2 5 3 2 25 2" xfId="41007"/>
    <cellStyle name="40% - Accent2 5 3 2 26" xfId="18888"/>
    <cellStyle name="40% - Accent2 5 3 2 26 2" xfId="41663"/>
    <cellStyle name="40% - Accent2 5 3 2 27" xfId="19544"/>
    <cellStyle name="40% - Accent2 5 3 2 27 2" xfId="42319"/>
    <cellStyle name="40% - Accent2 5 3 2 28" xfId="20200"/>
    <cellStyle name="40% - Accent2 5 3 2 28 2" xfId="42975"/>
    <cellStyle name="40% - Accent2 5 3 2 29" xfId="20856"/>
    <cellStyle name="40% - Accent2 5 3 2 29 2" xfId="43631"/>
    <cellStyle name="40% - Accent2 5 3 2 3" xfId="2160"/>
    <cellStyle name="40% - Accent2 5 3 2 3 2" xfId="4456"/>
    <cellStyle name="40% - Accent2 5 3 2 3 2 2" xfId="27231"/>
    <cellStyle name="40% - Accent2 5 3 2 3 3" xfId="24935"/>
    <cellStyle name="40% - Accent2 5 3 2 30" xfId="21512"/>
    <cellStyle name="40% - Accent2 5 3 2 30 2" xfId="44287"/>
    <cellStyle name="40% - Accent2 5 3 2 31" xfId="22168"/>
    <cellStyle name="40% - Accent2 5 3 2 31 2" xfId="44943"/>
    <cellStyle name="40% - Accent2 5 3 2 32" xfId="22824"/>
    <cellStyle name="40% - Accent2 5 3 2 32 2" xfId="45599"/>
    <cellStyle name="40% - Accent2 5 3 2 33" xfId="23623"/>
    <cellStyle name="40% - Accent2 5 3 2 4" xfId="5112"/>
    <cellStyle name="40% - Accent2 5 3 2 4 2" xfId="27887"/>
    <cellStyle name="40% - Accent2 5 3 2 5" xfId="5768"/>
    <cellStyle name="40% - Accent2 5 3 2 5 2" xfId="28543"/>
    <cellStyle name="40% - Accent2 5 3 2 6" xfId="6424"/>
    <cellStyle name="40% - Accent2 5 3 2 6 2" xfId="29199"/>
    <cellStyle name="40% - Accent2 5 3 2 7" xfId="3144"/>
    <cellStyle name="40% - Accent2 5 3 2 7 2" xfId="25919"/>
    <cellStyle name="40% - Accent2 5 3 2 8" xfId="7080"/>
    <cellStyle name="40% - Accent2 5 3 2 8 2" xfId="29855"/>
    <cellStyle name="40% - Accent2 5 3 2 9" xfId="7736"/>
    <cellStyle name="40% - Accent2 5 3 2 9 2" xfId="30511"/>
    <cellStyle name="40% - Accent2 5 3 20" xfId="13312"/>
    <cellStyle name="40% - Accent2 5 3 20 2" xfId="36087"/>
    <cellStyle name="40% - Accent2 5 3 21" xfId="13968"/>
    <cellStyle name="40% - Accent2 5 3 21 2" xfId="36743"/>
    <cellStyle name="40% - Accent2 5 3 22" xfId="14624"/>
    <cellStyle name="40% - Accent2 5 3 22 2" xfId="37399"/>
    <cellStyle name="40% - Accent2 5 3 23" xfId="15280"/>
    <cellStyle name="40% - Accent2 5 3 23 2" xfId="38055"/>
    <cellStyle name="40% - Accent2 5 3 24" xfId="15936"/>
    <cellStyle name="40% - Accent2 5 3 24 2" xfId="38711"/>
    <cellStyle name="40% - Accent2 5 3 25" xfId="16592"/>
    <cellStyle name="40% - Accent2 5 3 25 2" xfId="39367"/>
    <cellStyle name="40% - Accent2 5 3 26" xfId="17248"/>
    <cellStyle name="40% - Accent2 5 3 26 2" xfId="40023"/>
    <cellStyle name="40% - Accent2 5 3 27" xfId="17904"/>
    <cellStyle name="40% - Accent2 5 3 27 2" xfId="40679"/>
    <cellStyle name="40% - Accent2 5 3 28" xfId="18560"/>
    <cellStyle name="40% - Accent2 5 3 28 2" xfId="41335"/>
    <cellStyle name="40% - Accent2 5 3 29" xfId="19216"/>
    <cellStyle name="40% - Accent2 5 3 29 2" xfId="41991"/>
    <cellStyle name="40% - Accent2 5 3 3" xfId="1176"/>
    <cellStyle name="40% - Accent2 5 3 3 2" xfId="2816"/>
    <cellStyle name="40% - Accent2 5 3 3 2 2" xfId="25591"/>
    <cellStyle name="40% - Accent2 5 3 3 3" xfId="23951"/>
    <cellStyle name="40% - Accent2 5 3 30" xfId="19872"/>
    <cellStyle name="40% - Accent2 5 3 30 2" xfId="42647"/>
    <cellStyle name="40% - Accent2 5 3 31" xfId="20528"/>
    <cellStyle name="40% - Accent2 5 3 31 2" xfId="43303"/>
    <cellStyle name="40% - Accent2 5 3 32" xfId="21184"/>
    <cellStyle name="40% - Accent2 5 3 32 2" xfId="43959"/>
    <cellStyle name="40% - Accent2 5 3 33" xfId="21840"/>
    <cellStyle name="40% - Accent2 5 3 33 2" xfId="44615"/>
    <cellStyle name="40% - Accent2 5 3 34" xfId="22496"/>
    <cellStyle name="40% - Accent2 5 3 34 2" xfId="45271"/>
    <cellStyle name="40% - Accent2 5 3 35" xfId="23295"/>
    <cellStyle name="40% - Accent2 5 3 4" xfId="1832"/>
    <cellStyle name="40% - Accent2 5 3 4 2" xfId="3472"/>
    <cellStyle name="40% - Accent2 5 3 4 2 2" xfId="26247"/>
    <cellStyle name="40% - Accent2 5 3 4 3" xfId="24607"/>
    <cellStyle name="40% - Accent2 5 3 5" xfId="4128"/>
    <cellStyle name="40% - Accent2 5 3 5 2" xfId="26903"/>
    <cellStyle name="40% - Accent2 5 3 6" xfId="4784"/>
    <cellStyle name="40% - Accent2 5 3 6 2" xfId="27559"/>
    <cellStyle name="40% - Accent2 5 3 7" xfId="5440"/>
    <cellStyle name="40% - Accent2 5 3 7 2" xfId="28215"/>
    <cellStyle name="40% - Accent2 5 3 8" xfId="6096"/>
    <cellStyle name="40% - Accent2 5 3 8 2" xfId="28871"/>
    <cellStyle name="40% - Accent2 5 3 9" xfId="2488"/>
    <cellStyle name="40% - Accent2 5 3 9 2" xfId="25263"/>
    <cellStyle name="40% - Accent2 5 30" xfId="18375"/>
    <cellStyle name="40% - Accent2 5 30 2" xfId="41150"/>
    <cellStyle name="40% - Accent2 5 31" xfId="19031"/>
    <cellStyle name="40% - Accent2 5 31 2" xfId="41806"/>
    <cellStyle name="40% - Accent2 5 32" xfId="19687"/>
    <cellStyle name="40% - Accent2 5 32 2" xfId="42462"/>
    <cellStyle name="40% - Accent2 5 33" xfId="20343"/>
    <cellStyle name="40% - Accent2 5 33 2" xfId="43118"/>
    <cellStyle name="40% - Accent2 5 34" xfId="20999"/>
    <cellStyle name="40% - Accent2 5 34 2" xfId="43774"/>
    <cellStyle name="40% - Accent2 5 35" xfId="21655"/>
    <cellStyle name="40% - Accent2 5 35 2" xfId="44430"/>
    <cellStyle name="40% - Accent2 5 36" xfId="22311"/>
    <cellStyle name="40% - Accent2 5 36 2" xfId="45086"/>
    <cellStyle name="40% - Accent2 5 37" xfId="250"/>
    <cellStyle name="40% - Accent2 5 38" xfId="22967"/>
    <cellStyle name="40% - Accent2 5 4" xfId="663"/>
    <cellStyle name="40% - Accent2 5 4 10" xfId="8207"/>
    <cellStyle name="40% - Accent2 5 4 10 2" xfId="30982"/>
    <cellStyle name="40% - Accent2 5 4 11" xfId="8863"/>
    <cellStyle name="40% - Accent2 5 4 11 2" xfId="31638"/>
    <cellStyle name="40% - Accent2 5 4 12" xfId="9519"/>
    <cellStyle name="40% - Accent2 5 4 12 2" xfId="32294"/>
    <cellStyle name="40% - Accent2 5 4 13" xfId="10175"/>
    <cellStyle name="40% - Accent2 5 4 13 2" xfId="32950"/>
    <cellStyle name="40% - Accent2 5 4 14" xfId="10831"/>
    <cellStyle name="40% - Accent2 5 4 14 2" xfId="33606"/>
    <cellStyle name="40% - Accent2 5 4 15" xfId="11487"/>
    <cellStyle name="40% - Accent2 5 4 15 2" xfId="34262"/>
    <cellStyle name="40% - Accent2 5 4 16" xfId="12143"/>
    <cellStyle name="40% - Accent2 5 4 16 2" xfId="34918"/>
    <cellStyle name="40% - Accent2 5 4 17" xfId="12799"/>
    <cellStyle name="40% - Accent2 5 4 17 2" xfId="35574"/>
    <cellStyle name="40% - Accent2 5 4 18" xfId="13455"/>
    <cellStyle name="40% - Accent2 5 4 18 2" xfId="36230"/>
    <cellStyle name="40% - Accent2 5 4 19" xfId="14111"/>
    <cellStyle name="40% - Accent2 5 4 19 2" xfId="36886"/>
    <cellStyle name="40% - Accent2 5 4 2" xfId="1319"/>
    <cellStyle name="40% - Accent2 5 4 2 2" xfId="3615"/>
    <cellStyle name="40% - Accent2 5 4 2 2 2" xfId="26390"/>
    <cellStyle name="40% - Accent2 5 4 2 3" xfId="24094"/>
    <cellStyle name="40% - Accent2 5 4 20" xfId="14767"/>
    <cellStyle name="40% - Accent2 5 4 20 2" xfId="37542"/>
    <cellStyle name="40% - Accent2 5 4 21" xfId="15423"/>
    <cellStyle name="40% - Accent2 5 4 21 2" xfId="38198"/>
    <cellStyle name="40% - Accent2 5 4 22" xfId="16079"/>
    <cellStyle name="40% - Accent2 5 4 22 2" xfId="38854"/>
    <cellStyle name="40% - Accent2 5 4 23" xfId="16735"/>
    <cellStyle name="40% - Accent2 5 4 23 2" xfId="39510"/>
    <cellStyle name="40% - Accent2 5 4 24" xfId="17391"/>
    <cellStyle name="40% - Accent2 5 4 24 2" xfId="40166"/>
    <cellStyle name="40% - Accent2 5 4 25" xfId="18047"/>
    <cellStyle name="40% - Accent2 5 4 25 2" xfId="40822"/>
    <cellStyle name="40% - Accent2 5 4 26" xfId="18703"/>
    <cellStyle name="40% - Accent2 5 4 26 2" xfId="41478"/>
    <cellStyle name="40% - Accent2 5 4 27" xfId="19359"/>
    <cellStyle name="40% - Accent2 5 4 27 2" xfId="42134"/>
    <cellStyle name="40% - Accent2 5 4 28" xfId="20015"/>
    <cellStyle name="40% - Accent2 5 4 28 2" xfId="42790"/>
    <cellStyle name="40% - Accent2 5 4 29" xfId="20671"/>
    <cellStyle name="40% - Accent2 5 4 29 2" xfId="43446"/>
    <cellStyle name="40% - Accent2 5 4 3" xfId="1975"/>
    <cellStyle name="40% - Accent2 5 4 3 2" xfId="4271"/>
    <cellStyle name="40% - Accent2 5 4 3 2 2" xfId="27046"/>
    <cellStyle name="40% - Accent2 5 4 3 3" xfId="24750"/>
    <cellStyle name="40% - Accent2 5 4 30" xfId="21327"/>
    <cellStyle name="40% - Accent2 5 4 30 2" xfId="44102"/>
    <cellStyle name="40% - Accent2 5 4 31" xfId="21983"/>
    <cellStyle name="40% - Accent2 5 4 31 2" xfId="44758"/>
    <cellStyle name="40% - Accent2 5 4 32" xfId="22639"/>
    <cellStyle name="40% - Accent2 5 4 32 2" xfId="45414"/>
    <cellStyle name="40% - Accent2 5 4 33" xfId="23438"/>
    <cellStyle name="40% - Accent2 5 4 4" xfId="4927"/>
    <cellStyle name="40% - Accent2 5 4 4 2" xfId="27702"/>
    <cellStyle name="40% - Accent2 5 4 5" xfId="5583"/>
    <cellStyle name="40% - Accent2 5 4 5 2" xfId="28358"/>
    <cellStyle name="40% - Accent2 5 4 6" xfId="6239"/>
    <cellStyle name="40% - Accent2 5 4 6 2" xfId="29014"/>
    <cellStyle name="40% - Accent2 5 4 7" xfId="2959"/>
    <cellStyle name="40% - Accent2 5 4 7 2" xfId="25734"/>
    <cellStyle name="40% - Accent2 5 4 8" xfId="6895"/>
    <cellStyle name="40% - Accent2 5 4 8 2" xfId="29670"/>
    <cellStyle name="40% - Accent2 5 4 9" xfId="7551"/>
    <cellStyle name="40% - Accent2 5 4 9 2" xfId="30326"/>
    <cellStyle name="40% - Accent2 5 5" xfId="336"/>
    <cellStyle name="40% - Accent2 5 5 2" xfId="2631"/>
    <cellStyle name="40% - Accent2 5 5 2 2" xfId="25406"/>
    <cellStyle name="40% - Accent2 5 5 3" xfId="23110"/>
    <cellStyle name="40% - Accent2 5 6" xfId="991"/>
    <cellStyle name="40% - Accent2 5 6 2" xfId="3287"/>
    <cellStyle name="40% - Accent2 5 6 2 2" xfId="26062"/>
    <cellStyle name="40% - Accent2 5 6 3" xfId="23766"/>
    <cellStyle name="40% - Accent2 5 7" xfId="1647"/>
    <cellStyle name="40% - Accent2 5 7 2" xfId="3943"/>
    <cellStyle name="40% - Accent2 5 7 2 2" xfId="26718"/>
    <cellStyle name="40% - Accent2 5 7 3" xfId="24422"/>
    <cellStyle name="40% - Accent2 5 8" xfId="4599"/>
    <cellStyle name="40% - Accent2 5 8 2" xfId="27374"/>
    <cellStyle name="40% - Accent2 5 9" xfId="5255"/>
    <cellStyle name="40% - Accent2 5 9 2" xfId="28030"/>
    <cellStyle name="40% - Accent2 6" xfId="118"/>
    <cellStyle name="40% - Accent2 6 10" xfId="2316"/>
    <cellStyle name="40% - Accent2 6 10 2" xfId="25091"/>
    <cellStyle name="40% - Accent2 6 11" xfId="6580"/>
    <cellStyle name="40% - Accent2 6 11 2" xfId="29355"/>
    <cellStyle name="40% - Accent2 6 12" xfId="7236"/>
    <cellStyle name="40% - Accent2 6 12 2" xfId="30011"/>
    <cellStyle name="40% - Accent2 6 13" xfId="7892"/>
    <cellStyle name="40% - Accent2 6 13 2" xfId="30667"/>
    <cellStyle name="40% - Accent2 6 14" xfId="8548"/>
    <cellStyle name="40% - Accent2 6 14 2" xfId="31323"/>
    <cellStyle name="40% - Accent2 6 15" xfId="9204"/>
    <cellStyle name="40% - Accent2 6 15 2" xfId="31979"/>
    <cellStyle name="40% - Accent2 6 16" xfId="9860"/>
    <cellStyle name="40% - Accent2 6 16 2" xfId="32635"/>
    <cellStyle name="40% - Accent2 6 17" xfId="10516"/>
    <cellStyle name="40% - Accent2 6 17 2" xfId="33291"/>
    <cellStyle name="40% - Accent2 6 18" xfId="11172"/>
    <cellStyle name="40% - Accent2 6 18 2" xfId="33947"/>
    <cellStyle name="40% - Accent2 6 19" xfId="11828"/>
    <cellStyle name="40% - Accent2 6 19 2" xfId="34603"/>
    <cellStyle name="40% - Accent2 6 2" xfId="532"/>
    <cellStyle name="40% - Accent2 6 2 10" xfId="6765"/>
    <cellStyle name="40% - Accent2 6 2 10 2" xfId="29540"/>
    <cellStyle name="40% - Accent2 6 2 11" xfId="7421"/>
    <cellStyle name="40% - Accent2 6 2 11 2" xfId="30196"/>
    <cellStyle name="40% - Accent2 6 2 12" xfId="8077"/>
    <cellStyle name="40% - Accent2 6 2 12 2" xfId="30852"/>
    <cellStyle name="40% - Accent2 6 2 13" xfId="8733"/>
    <cellStyle name="40% - Accent2 6 2 13 2" xfId="31508"/>
    <cellStyle name="40% - Accent2 6 2 14" xfId="9389"/>
    <cellStyle name="40% - Accent2 6 2 14 2" xfId="32164"/>
    <cellStyle name="40% - Accent2 6 2 15" xfId="10045"/>
    <cellStyle name="40% - Accent2 6 2 15 2" xfId="32820"/>
    <cellStyle name="40% - Accent2 6 2 16" xfId="10701"/>
    <cellStyle name="40% - Accent2 6 2 16 2" xfId="33476"/>
    <cellStyle name="40% - Accent2 6 2 17" xfId="11357"/>
    <cellStyle name="40% - Accent2 6 2 17 2" xfId="34132"/>
    <cellStyle name="40% - Accent2 6 2 18" xfId="12013"/>
    <cellStyle name="40% - Accent2 6 2 18 2" xfId="34788"/>
    <cellStyle name="40% - Accent2 6 2 19" xfId="12669"/>
    <cellStyle name="40% - Accent2 6 2 19 2" xfId="35444"/>
    <cellStyle name="40% - Accent2 6 2 2" xfId="861"/>
    <cellStyle name="40% - Accent2 6 2 2 10" xfId="8405"/>
    <cellStyle name="40% - Accent2 6 2 2 10 2" xfId="31180"/>
    <cellStyle name="40% - Accent2 6 2 2 11" xfId="9061"/>
    <cellStyle name="40% - Accent2 6 2 2 11 2" xfId="31836"/>
    <cellStyle name="40% - Accent2 6 2 2 12" xfId="9717"/>
    <cellStyle name="40% - Accent2 6 2 2 12 2" xfId="32492"/>
    <cellStyle name="40% - Accent2 6 2 2 13" xfId="10373"/>
    <cellStyle name="40% - Accent2 6 2 2 13 2" xfId="33148"/>
    <cellStyle name="40% - Accent2 6 2 2 14" xfId="11029"/>
    <cellStyle name="40% - Accent2 6 2 2 14 2" xfId="33804"/>
    <cellStyle name="40% - Accent2 6 2 2 15" xfId="11685"/>
    <cellStyle name="40% - Accent2 6 2 2 15 2" xfId="34460"/>
    <cellStyle name="40% - Accent2 6 2 2 16" xfId="12341"/>
    <cellStyle name="40% - Accent2 6 2 2 16 2" xfId="35116"/>
    <cellStyle name="40% - Accent2 6 2 2 17" xfId="12997"/>
    <cellStyle name="40% - Accent2 6 2 2 17 2" xfId="35772"/>
    <cellStyle name="40% - Accent2 6 2 2 18" xfId="13653"/>
    <cellStyle name="40% - Accent2 6 2 2 18 2" xfId="36428"/>
    <cellStyle name="40% - Accent2 6 2 2 19" xfId="14309"/>
    <cellStyle name="40% - Accent2 6 2 2 19 2" xfId="37084"/>
    <cellStyle name="40% - Accent2 6 2 2 2" xfId="1517"/>
    <cellStyle name="40% - Accent2 6 2 2 2 2" xfId="3813"/>
    <cellStyle name="40% - Accent2 6 2 2 2 2 2" xfId="26588"/>
    <cellStyle name="40% - Accent2 6 2 2 2 3" xfId="24292"/>
    <cellStyle name="40% - Accent2 6 2 2 20" xfId="14965"/>
    <cellStyle name="40% - Accent2 6 2 2 20 2" xfId="37740"/>
    <cellStyle name="40% - Accent2 6 2 2 21" xfId="15621"/>
    <cellStyle name="40% - Accent2 6 2 2 21 2" xfId="38396"/>
    <cellStyle name="40% - Accent2 6 2 2 22" xfId="16277"/>
    <cellStyle name="40% - Accent2 6 2 2 22 2" xfId="39052"/>
    <cellStyle name="40% - Accent2 6 2 2 23" xfId="16933"/>
    <cellStyle name="40% - Accent2 6 2 2 23 2" xfId="39708"/>
    <cellStyle name="40% - Accent2 6 2 2 24" xfId="17589"/>
    <cellStyle name="40% - Accent2 6 2 2 24 2" xfId="40364"/>
    <cellStyle name="40% - Accent2 6 2 2 25" xfId="18245"/>
    <cellStyle name="40% - Accent2 6 2 2 25 2" xfId="41020"/>
    <cellStyle name="40% - Accent2 6 2 2 26" xfId="18901"/>
    <cellStyle name="40% - Accent2 6 2 2 26 2" xfId="41676"/>
    <cellStyle name="40% - Accent2 6 2 2 27" xfId="19557"/>
    <cellStyle name="40% - Accent2 6 2 2 27 2" xfId="42332"/>
    <cellStyle name="40% - Accent2 6 2 2 28" xfId="20213"/>
    <cellStyle name="40% - Accent2 6 2 2 28 2" xfId="42988"/>
    <cellStyle name="40% - Accent2 6 2 2 29" xfId="20869"/>
    <cellStyle name="40% - Accent2 6 2 2 29 2" xfId="43644"/>
    <cellStyle name="40% - Accent2 6 2 2 3" xfId="2173"/>
    <cellStyle name="40% - Accent2 6 2 2 3 2" xfId="4469"/>
    <cellStyle name="40% - Accent2 6 2 2 3 2 2" xfId="27244"/>
    <cellStyle name="40% - Accent2 6 2 2 3 3" xfId="24948"/>
    <cellStyle name="40% - Accent2 6 2 2 30" xfId="21525"/>
    <cellStyle name="40% - Accent2 6 2 2 30 2" xfId="44300"/>
    <cellStyle name="40% - Accent2 6 2 2 31" xfId="22181"/>
    <cellStyle name="40% - Accent2 6 2 2 31 2" xfId="44956"/>
    <cellStyle name="40% - Accent2 6 2 2 32" xfId="22837"/>
    <cellStyle name="40% - Accent2 6 2 2 32 2" xfId="45612"/>
    <cellStyle name="40% - Accent2 6 2 2 33" xfId="23636"/>
    <cellStyle name="40% - Accent2 6 2 2 4" xfId="5125"/>
    <cellStyle name="40% - Accent2 6 2 2 4 2" xfId="27900"/>
    <cellStyle name="40% - Accent2 6 2 2 5" xfId="5781"/>
    <cellStyle name="40% - Accent2 6 2 2 5 2" xfId="28556"/>
    <cellStyle name="40% - Accent2 6 2 2 6" xfId="6437"/>
    <cellStyle name="40% - Accent2 6 2 2 6 2" xfId="29212"/>
    <cellStyle name="40% - Accent2 6 2 2 7" xfId="3157"/>
    <cellStyle name="40% - Accent2 6 2 2 7 2" xfId="25932"/>
    <cellStyle name="40% - Accent2 6 2 2 8" xfId="7093"/>
    <cellStyle name="40% - Accent2 6 2 2 8 2" xfId="29868"/>
    <cellStyle name="40% - Accent2 6 2 2 9" xfId="7749"/>
    <cellStyle name="40% - Accent2 6 2 2 9 2" xfId="30524"/>
    <cellStyle name="40% - Accent2 6 2 20" xfId="13325"/>
    <cellStyle name="40% - Accent2 6 2 20 2" xfId="36100"/>
    <cellStyle name="40% - Accent2 6 2 21" xfId="13981"/>
    <cellStyle name="40% - Accent2 6 2 21 2" xfId="36756"/>
    <cellStyle name="40% - Accent2 6 2 22" xfId="14637"/>
    <cellStyle name="40% - Accent2 6 2 22 2" xfId="37412"/>
    <cellStyle name="40% - Accent2 6 2 23" xfId="15293"/>
    <cellStyle name="40% - Accent2 6 2 23 2" xfId="38068"/>
    <cellStyle name="40% - Accent2 6 2 24" xfId="15949"/>
    <cellStyle name="40% - Accent2 6 2 24 2" xfId="38724"/>
    <cellStyle name="40% - Accent2 6 2 25" xfId="16605"/>
    <cellStyle name="40% - Accent2 6 2 25 2" xfId="39380"/>
    <cellStyle name="40% - Accent2 6 2 26" xfId="17261"/>
    <cellStyle name="40% - Accent2 6 2 26 2" xfId="40036"/>
    <cellStyle name="40% - Accent2 6 2 27" xfId="17917"/>
    <cellStyle name="40% - Accent2 6 2 27 2" xfId="40692"/>
    <cellStyle name="40% - Accent2 6 2 28" xfId="18573"/>
    <cellStyle name="40% - Accent2 6 2 28 2" xfId="41348"/>
    <cellStyle name="40% - Accent2 6 2 29" xfId="19229"/>
    <cellStyle name="40% - Accent2 6 2 29 2" xfId="42004"/>
    <cellStyle name="40% - Accent2 6 2 3" xfId="1189"/>
    <cellStyle name="40% - Accent2 6 2 3 2" xfId="2829"/>
    <cellStyle name="40% - Accent2 6 2 3 2 2" xfId="25604"/>
    <cellStyle name="40% - Accent2 6 2 3 3" xfId="23964"/>
    <cellStyle name="40% - Accent2 6 2 30" xfId="19885"/>
    <cellStyle name="40% - Accent2 6 2 30 2" xfId="42660"/>
    <cellStyle name="40% - Accent2 6 2 31" xfId="20541"/>
    <cellStyle name="40% - Accent2 6 2 31 2" xfId="43316"/>
    <cellStyle name="40% - Accent2 6 2 32" xfId="21197"/>
    <cellStyle name="40% - Accent2 6 2 32 2" xfId="43972"/>
    <cellStyle name="40% - Accent2 6 2 33" xfId="21853"/>
    <cellStyle name="40% - Accent2 6 2 33 2" xfId="44628"/>
    <cellStyle name="40% - Accent2 6 2 34" xfId="22509"/>
    <cellStyle name="40% - Accent2 6 2 34 2" xfId="45284"/>
    <cellStyle name="40% - Accent2 6 2 35" xfId="23308"/>
    <cellStyle name="40% - Accent2 6 2 4" xfId="1845"/>
    <cellStyle name="40% - Accent2 6 2 4 2" xfId="3485"/>
    <cellStyle name="40% - Accent2 6 2 4 2 2" xfId="26260"/>
    <cellStyle name="40% - Accent2 6 2 4 3" xfId="24620"/>
    <cellStyle name="40% - Accent2 6 2 5" xfId="4141"/>
    <cellStyle name="40% - Accent2 6 2 5 2" xfId="26916"/>
    <cellStyle name="40% - Accent2 6 2 6" xfId="4797"/>
    <cellStyle name="40% - Accent2 6 2 6 2" xfId="27572"/>
    <cellStyle name="40% - Accent2 6 2 7" xfId="5453"/>
    <cellStyle name="40% - Accent2 6 2 7 2" xfId="28228"/>
    <cellStyle name="40% - Accent2 6 2 8" xfId="6109"/>
    <cellStyle name="40% - Accent2 6 2 8 2" xfId="28884"/>
    <cellStyle name="40% - Accent2 6 2 9" xfId="2501"/>
    <cellStyle name="40% - Accent2 6 2 9 2" xfId="25276"/>
    <cellStyle name="40% - Accent2 6 20" xfId="12484"/>
    <cellStyle name="40% - Accent2 6 20 2" xfId="35259"/>
    <cellStyle name="40% - Accent2 6 21" xfId="13140"/>
    <cellStyle name="40% - Accent2 6 21 2" xfId="35915"/>
    <cellStyle name="40% - Accent2 6 22" xfId="13796"/>
    <cellStyle name="40% - Accent2 6 22 2" xfId="36571"/>
    <cellStyle name="40% - Accent2 6 23" xfId="14452"/>
    <cellStyle name="40% - Accent2 6 23 2" xfId="37227"/>
    <cellStyle name="40% - Accent2 6 24" xfId="15108"/>
    <cellStyle name="40% - Accent2 6 24 2" xfId="37883"/>
    <cellStyle name="40% - Accent2 6 25" xfId="15764"/>
    <cellStyle name="40% - Accent2 6 25 2" xfId="38539"/>
    <cellStyle name="40% - Accent2 6 26" xfId="16420"/>
    <cellStyle name="40% - Accent2 6 26 2" xfId="39195"/>
    <cellStyle name="40% - Accent2 6 27" xfId="17076"/>
    <cellStyle name="40% - Accent2 6 27 2" xfId="39851"/>
    <cellStyle name="40% - Accent2 6 28" xfId="17732"/>
    <cellStyle name="40% - Accent2 6 28 2" xfId="40507"/>
    <cellStyle name="40% - Accent2 6 29" xfId="18388"/>
    <cellStyle name="40% - Accent2 6 29 2" xfId="41163"/>
    <cellStyle name="40% - Accent2 6 3" xfId="676"/>
    <cellStyle name="40% - Accent2 6 3 10" xfId="8220"/>
    <cellStyle name="40% - Accent2 6 3 10 2" xfId="30995"/>
    <cellStyle name="40% - Accent2 6 3 11" xfId="8876"/>
    <cellStyle name="40% - Accent2 6 3 11 2" xfId="31651"/>
    <cellStyle name="40% - Accent2 6 3 12" xfId="9532"/>
    <cellStyle name="40% - Accent2 6 3 12 2" xfId="32307"/>
    <cellStyle name="40% - Accent2 6 3 13" xfId="10188"/>
    <cellStyle name="40% - Accent2 6 3 13 2" xfId="32963"/>
    <cellStyle name="40% - Accent2 6 3 14" xfId="10844"/>
    <cellStyle name="40% - Accent2 6 3 14 2" xfId="33619"/>
    <cellStyle name="40% - Accent2 6 3 15" xfId="11500"/>
    <cellStyle name="40% - Accent2 6 3 15 2" xfId="34275"/>
    <cellStyle name="40% - Accent2 6 3 16" xfId="12156"/>
    <cellStyle name="40% - Accent2 6 3 16 2" xfId="34931"/>
    <cellStyle name="40% - Accent2 6 3 17" xfId="12812"/>
    <cellStyle name="40% - Accent2 6 3 17 2" xfId="35587"/>
    <cellStyle name="40% - Accent2 6 3 18" xfId="13468"/>
    <cellStyle name="40% - Accent2 6 3 18 2" xfId="36243"/>
    <cellStyle name="40% - Accent2 6 3 19" xfId="14124"/>
    <cellStyle name="40% - Accent2 6 3 19 2" xfId="36899"/>
    <cellStyle name="40% - Accent2 6 3 2" xfId="1332"/>
    <cellStyle name="40% - Accent2 6 3 2 2" xfId="3628"/>
    <cellStyle name="40% - Accent2 6 3 2 2 2" xfId="26403"/>
    <cellStyle name="40% - Accent2 6 3 2 3" xfId="24107"/>
    <cellStyle name="40% - Accent2 6 3 20" xfId="14780"/>
    <cellStyle name="40% - Accent2 6 3 20 2" xfId="37555"/>
    <cellStyle name="40% - Accent2 6 3 21" xfId="15436"/>
    <cellStyle name="40% - Accent2 6 3 21 2" xfId="38211"/>
    <cellStyle name="40% - Accent2 6 3 22" xfId="16092"/>
    <cellStyle name="40% - Accent2 6 3 22 2" xfId="38867"/>
    <cellStyle name="40% - Accent2 6 3 23" xfId="16748"/>
    <cellStyle name="40% - Accent2 6 3 23 2" xfId="39523"/>
    <cellStyle name="40% - Accent2 6 3 24" xfId="17404"/>
    <cellStyle name="40% - Accent2 6 3 24 2" xfId="40179"/>
    <cellStyle name="40% - Accent2 6 3 25" xfId="18060"/>
    <cellStyle name="40% - Accent2 6 3 25 2" xfId="40835"/>
    <cellStyle name="40% - Accent2 6 3 26" xfId="18716"/>
    <cellStyle name="40% - Accent2 6 3 26 2" xfId="41491"/>
    <cellStyle name="40% - Accent2 6 3 27" xfId="19372"/>
    <cellStyle name="40% - Accent2 6 3 27 2" xfId="42147"/>
    <cellStyle name="40% - Accent2 6 3 28" xfId="20028"/>
    <cellStyle name="40% - Accent2 6 3 28 2" xfId="42803"/>
    <cellStyle name="40% - Accent2 6 3 29" xfId="20684"/>
    <cellStyle name="40% - Accent2 6 3 29 2" xfId="43459"/>
    <cellStyle name="40% - Accent2 6 3 3" xfId="1988"/>
    <cellStyle name="40% - Accent2 6 3 3 2" xfId="4284"/>
    <cellStyle name="40% - Accent2 6 3 3 2 2" xfId="27059"/>
    <cellStyle name="40% - Accent2 6 3 3 3" xfId="24763"/>
    <cellStyle name="40% - Accent2 6 3 30" xfId="21340"/>
    <cellStyle name="40% - Accent2 6 3 30 2" xfId="44115"/>
    <cellStyle name="40% - Accent2 6 3 31" xfId="21996"/>
    <cellStyle name="40% - Accent2 6 3 31 2" xfId="44771"/>
    <cellStyle name="40% - Accent2 6 3 32" xfId="22652"/>
    <cellStyle name="40% - Accent2 6 3 32 2" xfId="45427"/>
    <cellStyle name="40% - Accent2 6 3 33" xfId="23451"/>
    <cellStyle name="40% - Accent2 6 3 4" xfId="4940"/>
    <cellStyle name="40% - Accent2 6 3 4 2" xfId="27715"/>
    <cellStyle name="40% - Accent2 6 3 5" xfId="5596"/>
    <cellStyle name="40% - Accent2 6 3 5 2" xfId="28371"/>
    <cellStyle name="40% - Accent2 6 3 6" xfId="6252"/>
    <cellStyle name="40% - Accent2 6 3 6 2" xfId="29027"/>
    <cellStyle name="40% - Accent2 6 3 7" xfId="2972"/>
    <cellStyle name="40% - Accent2 6 3 7 2" xfId="25747"/>
    <cellStyle name="40% - Accent2 6 3 8" xfId="6908"/>
    <cellStyle name="40% - Accent2 6 3 8 2" xfId="29683"/>
    <cellStyle name="40% - Accent2 6 3 9" xfId="7564"/>
    <cellStyle name="40% - Accent2 6 3 9 2" xfId="30339"/>
    <cellStyle name="40% - Accent2 6 30" xfId="19044"/>
    <cellStyle name="40% - Accent2 6 30 2" xfId="41819"/>
    <cellStyle name="40% - Accent2 6 31" xfId="19700"/>
    <cellStyle name="40% - Accent2 6 31 2" xfId="42475"/>
    <cellStyle name="40% - Accent2 6 32" xfId="20356"/>
    <cellStyle name="40% - Accent2 6 32 2" xfId="43131"/>
    <cellStyle name="40% - Accent2 6 33" xfId="21012"/>
    <cellStyle name="40% - Accent2 6 33 2" xfId="43787"/>
    <cellStyle name="40% - Accent2 6 34" xfId="21668"/>
    <cellStyle name="40% - Accent2 6 34 2" xfId="44443"/>
    <cellStyle name="40% - Accent2 6 35" xfId="22324"/>
    <cellStyle name="40% - Accent2 6 35 2" xfId="45099"/>
    <cellStyle name="40% - Accent2 6 36" xfId="263"/>
    <cellStyle name="40% - Accent2 6 37" xfId="22980"/>
    <cellStyle name="40% - Accent2 6 4" xfId="349"/>
    <cellStyle name="40% - Accent2 6 4 2" xfId="2644"/>
    <cellStyle name="40% - Accent2 6 4 2 2" xfId="25419"/>
    <cellStyle name="40% - Accent2 6 4 3" xfId="23123"/>
    <cellStyle name="40% - Accent2 6 5" xfId="1004"/>
    <cellStyle name="40% - Accent2 6 5 2" xfId="3300"/>
    <cellStyle name="40% - Accent2 6 5 2 2" xfId="26075"/>
    <cellStyle name="40% - Accent2 6 5 3" xfId="23779"/>
    <cellStyle name="40% - Accent2 6 6" xfId="1660"/>
    <cellStyle name="40% - Accent2 6 6 2" xfId="3956"/>
    <cellStyle name="40% - Accent2 6 6 2 2" xfId="26731"/>
    <cellStyle name="40% - Accent2 6 6 3" xfId="24435"/>
    <cellStyle name="40% - Accent2 6 7" xfId="4612"/>
    <cellStyle name="40% - Accent2 6 7 2" xfId="27387"/>
    <cellStyle name="40% - Accent2 6 8" xfId="5268"/>
    <cellStyle name="40% - Accent2 6 8 2" xfId="28043"/>
    <cellStyle name="40% - Accent2 6 9" xfId="5924"/>
    <cellStyle name="40% - Accent2 6 9 2" xfId="28699"/>
    <cellStyle name="40% - Accent2 7" xfId="422"/>
    <cellStyle name="40% - Accent2 7 10" xfId="6653"/>
    <cellStyle name="40% - Accent2 7 10 2" xfId="29428"/>
    <cellStyle name="40% - Accent2 7 11" xfId="7309"/>
    <cellStyle name="40% - Accent2 7 11 2" xfId="30084"/>
    <cellStyle name="40% - Accent2 7 12" xfId="7965"/>
    <cellStyle name="40% - Accent2 7 12 2" xfId="30740"/>
    <cellStyle name="40% - Accent2 7 13" xfId="8621"/>
    <cellStyle name="40% - Accent2 7 13 2" xfId="31396"/>
    <cellStyle name="40% - Accent2 7 14" xfId="9277"/>
    <cellStyle name="40% - Accent2 7 14 2" xfId="32052"/>
    <cellStyle name="40% - Accent2 7 15" xfId="9933"/>
    <cellStyle name="40% - Accent2 7 15 2" xfId="32708"/>
    <cellStyle name="40% - Accent2 7 16" xfId="10589"/>
    <cellStyle name="40% - Accent2 7 16 2" xfId="33364"/>
    <cellStyle name="40% - Accent2 7 17" xfId="11245"/>
    <cellStyle name="40% - Accent2 7 17 2" xfId="34020"/>
    <cellStyle name="40% - Accent2 7 18" xfId="11901"/>
    <cellStyle name="40% - Accent2 7 18 2" xfId="34676"/>
    <cellStyle name="40% - Accent2 7 19" xfId="12557"/>
    <cellStyle name="40% - Accent2 7 19 2" xfId="35332"/>
    <cellStyle name="40% - Accent2 7 2" xfId="749"/>
    <cellStyle name="40% - Accent2 7 2 10" xfId="8293"/>
    <cellStyle name="40% - Accent2 7 2 10 2" xfId="31068"/>
    <cellStyle name="40% - Accent2 7 2 11" xfId="8949"/>
    <cellStyle name="40% - Accent2 7 2 11 2" xfId="31724"/>
    <cellStyle name="40% - Accent2 7 2 12" xfId="9605"/>
    <cellStyle name="40% - Accent2 7 2 12 2" xfId="32380"/>
    <cellStyle name="40% - Accent2 7 2 13" xfId="10261"/>
    <cellStyle name="40% - Accent2 7 2 13 2" xfId="33036"/>
    <cellStyle name="40% - Accent2 7 2 14" xfId="10917"/>
    <cellStyle name="40% - Accent2 7 2 14 2" xfId="33692"/>
    <cellStyle name="40% - Accent2 7 2 15" xfId="11573"/>
    <cellStyle name="40% - Accent2 7 2 15 2" xfId="34348"/>
    <cellStyle name="40% - Accent2 7 2 16" xfId="12229"/>
    <cellStyle name="40% - Accent2 7 2 16 2" xfId="35004"/>
    <cellStyle name="40% - Accent2 7 2 17" xfId="12885"/>
    <cellStyle name="40% - Accent2 7 2 17 2" xfId="35660"/>
    <cellStyle name="40% - Accent2 7 2 18" xfId="13541"/>
    <cellStyle name="40% - Accent2 7 2 18 2" xfId="36316"/>
    <cellStyle name="40% - Accent2 7 2 19" xfId="14197"/>
    <cellStyle name="40% - Accent2 7 2 19 2" xfId="36972"/>
    <cellStyle name="40% - Accent2 7 2 2" xfId="1405"/>
    <cellStyle name="40% - Accent2 7 2 2 2" xfId="3701"/>
    <cellStyle name="40% - Accent2 7 2 2 2 2" xfId="26476"/>
    <cellStyle name="40% - Accent2 7 2 2 3" xfId="24180"/>
    <cellStyle name="40% - Accent2 7 2 20" xfId="14853"/>
    <cellStyle name="40% - Accent2 7 2 20 2" xfId="37628"/>
    <cellStyle name="40% - Accent2 7 2 21" xfId="15509"/>
    <cellStyle name="40% - Accent2 7 2 21 2" xfId="38284"/>
    <cellStyle name="40% - Accent2 7 2 22" xfId="16165"/>
    <cellStyle name="40% - Accent2 7 2 22 2" xfId="38940"/>
    <cellStyle name="40% - Accent2 7 2 23" xfId="16821"/>
    <cellStyle name="40% - Accent2 7 2 23 2" xfId="39596"/>
    <cellStyle name="40% - Accent2 7 2 24" xfId="17477"/>
    <cellStyle name="40% - Accent2 7 2 24 2" xfId="40252"/>
    <cellStyle name="40% - Accent2 7 2 25" xfId="18133"/>
    <cellStyle name="40% - Accent2 7 2 25 2" xfId="40908"/>
    <cellStyle name="40% - Accent2 7 2 26" xfId="18789"/>
    <cellStyle name="40% - Accent2 7 2 26 2" xfId="41564"/>
    <cellStyle name="40% - Accent2 7 2 27" xfId="19445"/>
    <cellStyle name="40% - Accent2 7 2 27 2" xfId="42220"/>
    <cellStyle name="40% - Accent2 7 2 28" xfId="20101"/>
    <cellStyle name="40% - Accent2 7 2 28 2" xfId="42876"/>
    <cellStyle name="40% - Accent2 7 2 29" xfId="20757"/>
    <cellStyle name="40% - Accent2 7 2 29 2" xfId="43532"/>
    <cellStyle name="40% - Accent2 7 2 3" xfId="2061"/>
    <cellStyle name="40% - Accent2 7 2 3 2" xfId="4357"/>
    <cellStyle name="40% - Accent2 7 2 3 2 2" xfId="27132"/>
    <cellStyle name="40% - Accent2 7 2 3 3" xfId="24836"/>
    <cellStyle name="40% - Accent2 7 2 30" xfId="21413"/>
    <cellStyle name="40% - Accent2 7 2 30 2" xfId="44188"/>
    <cellStyle name="40% - Accent2 7 2 31" xfId="22069"/>
    <cellStyle name="40% - Accent2 7 2 31 2" xfId="44844"/>
    <cellStyle name="40% - Accent2 7 2 32" xfId="22725"/>
    <cellStyle name="40% - Accent2 7 2 32 2" xfId="45500"/>
    <cellStyle name="40% - Accent2 7 2 33" xfId="23524"/>
    <cellStyle name="40% - Accent2 7 2 4" xfId="5013"/>
    <cellStyle name="40% - Accent2 7 2 4 2" xfId="27788"/>
    <cellStyle name="40% - Accent2 7 2 5" xfId="5669"/>
    <cellStyle name="40% - Accent2 7 2 5 2" xfId="28444"/>
    <cellStyle name="40% - Accent2 7 2 6" xfId="6325"/>
    <cellStyle name="40% - Accent2 7 2 6 2" xfId="29100"/>
    <cellStyle name="40% - Accent2 7 2 7" xfId="3045"/>
    <cellStyle name="40% - Accent2 7 2 7 2" xfId="25820"/>
    <cellStyle name="40% - Accent2 7 2 8" xfId="6981"/>
    <cellStyle name="40% - Accent2 7 2 8 2" xfId="29756"/>
    <cellStyle name="40% - Accent2 7 2 9" xfId="7637"/>
    <cellStyle name="40% - Accent2 7 2 9 2" xfId="30412"/>
    <cellStyle name="40% - Accent2 7 20" xfId="13213"/>
    <cellStyle name="40% - Accent2 7 20 2" xfId="35988"/>
    <cellStyle name="40% - Accent2 7 21" xfId="13869"/>
    <cellStyle name="40% - Accent2 7 21 2" xfId="36644"/>
    <cellStyle name="40% - Accent2 7 22" xfId="14525"/>
    <cellStyle name="40% - Accent2 7 22 2" xfId="37300"/>
    <cellStyle name="40% - Accent2 7 23" xfId="15181"/>
    <cellStyle name="40% - Accent2 7 23 2" xfId="37956"/>
    <cellStyle name="40% - Accent2 7 24" xfId="15837"/>
    <cellStyle name="40% - Accent2 7 24 2" xfId="38612"/>
    <cellStyle name="40% - Accent2 7 25" xfId="16493"/>
    <cellStyle name="40% - Accent2 7 25 2" xfId="39268"/>
    <cellStyle name="40% - Accent2 7 26" xfId="17149"/>
    <cellStyle name="40% - Accent2 7 26 2" xfId="39924"/>
    <cellStyle name="40% - Accent2 7 27" xfId="17805"/>
    <cellStyle name="40% - Accent2 7 27 2" xfId="40580"/>
    <cellStyle name="40% - Accent2 7 28" xfId="18461"/>
    <cellStyle name="40% - Accent2 7 28 2" xfId="41236"/>
    <cellStyle name="40% - Accent2 7 29" xfId="19117"/>
    <cellStyle name="40% - Accent2 7 29 2" xfId="41892"/>
    <cellStyle name="40% - Accent2 7 3" xfId="1077"/>
    <cellStyle name="40% - Accent2 7 3 2" xfId="2717"/>
    <cellStyle name="40% - Accent2 7 3 2 2" xfId="25492"/>
    <cellStyle name="40% - Accent2 7 3 3" xfId="23852"/>
    <cellStyle name="40% - Accent2 7 30" xfId="19773"/>
    <cellStyle name="40% - Accent2 7 30 2" xfId="42548"/>
    <cellStyle name="40% - Accent2 7 31" xfId="20429"/>
    <cellStyle name="40% - Accent2 7 31 2" xfId="43204"/>
    <cellStyle name="40% - Accent2 7 32" xfId="21085"/>
    <cellStyle name="40% - Accent2 7 32 2" xfId="43860"/>
    <cellStyle name="40% - Accent2 7 33" xfId="21741"/>
    <cellStyle name="40% - Accent2 7 33 2" xfId="44516"/>
    <cellStyle name="40% - Accent2 7 34" xfId="22397"/>
    <cellStyle name="40% - Accent2 7 34 2" xfId="45172"/>
    <cellStyle name="40% - Accent2 7 35" xfId="23196"/>
    <cellStyle name="40% - Accent2 7 4" xfId="1733"/>
    <cellStyle name="40% - Accent2 7 4 2" xfId="3373"/>
    <cellStyle name="40% - Accent2 7 4 2 2" xfId="26148"/>
    <cellStyle name="40% - Accent2 7 4 3" xfId="24508"/>
    <cellStyle name="40% - Accent2 7 5" xfId="4029"/>
    <cellStyle name="40% - Accent2 7 5 2" xfId="26804"/>
    <cellStyle name="40% - Accent2 7 6" xfId="4685"/>
    <cellStyle name="40% - Accent2 7 6 2" xfId="27460"/>
    <cellStyle name="40% - Accent2 7 7" xfId="5341"/>
    <cellStyle name="40% - Accent2 7 7 2" xfId="28116"/>
    <cellStyle name="40% - Accent2 7 8" xfId="5997"/>
    <cellStyle name="40% - Accent2 7 8 2" xfId="28772"/>
    <cellStyle name="40% - Accent2 7 9" xfId="2389"/>
    <cellStyle name="40% - Accent2 7 9 2" xfId="25164"/>
    <cellStyle name="40% - Accent2 8" xfId="436"/>
    <cellStyle name="40% - Accent2 8 10" xfId="6667"/>
    <cellStyle name="40% - Accent2 8 10 2" xfId="29442"/>
    <cellStyle name="40% - Accent2 8 11" xfId="7323"/>
    <cellStyle name="40% - Accent2 8 11 2" xfId="30098"/>
    <cellStyle name="40% - Accent2 8 12" xfId="7979"/>
    <cellStyle name="40% - Accent2 8 12 2" xfId="30754"/>
    <cellStyle name="40% - Accent2 8 13" xfId="8635"/>
    <cellStyle name="40% - Accent2 8 13 2" xfId="31410"/>
    <cellStyle name="40% - Accent2 8 14" xfId="9291"/>
    <cellStyle name="40% - Accent2 8 14 2" xfId="32066"/>
    <cellStyle name="40% - Accent2 8 15" xfId="9947"/>
    <cellStyle name="40% - Accent2 8 15 2" xfId="32722"/>
    <cellStyle name="40% - Accent2 8 16" xfId="10603"/>
    <cellStyle name="40% - Accent2 8 16 2" xfId="33378"/>
    <cellStyle name="40% - Accent2 8 17" xfId="11259"/>
    <cellStyle name="40% - Accent2 8 17 2" xfId="34034"/>
    <cellStyle name="40% - Accent2 8 18" xfId="11915"/>
    <cellStyle name="40% - Accent2 8 18 2" xfId="34690"/>
    <cellStyle name="40% - Accent2 8 19" xfId="12571"/>
    <cellStyle name="40% - Accent2 8 19 2" xfId="35346"/>
    <cellStyle name="40% - Accent2 8 2" xfId="763"/>
    <cellStyle name="40% - Accent2 8 2 10" xfId="8307"/>
    <cellStyle name="40% - Accent2 8 2 10 2" xfId="31082"/>
    <cellStyle name="40% - Accent2 8 2 11" xfId="8963"/>
    <cellStyle name="40% - Accent2 8 2 11 2" xfId="31738"/>
    <cellStyle name="40% - Accent2 8 2 12" xfId="9619"/>
    <cellStyle name="40% - Accent2 8 2 12 2" xfId="32394"/>
    <cellStyle name="40% - Accent2 8 2 13" xfId="10275"/>
    <cellStyle name="40% - Accent2 8 2 13 2" xfId="33050"/>
    <cellStyle name="40% - Accent2 8 2 14" xfId="10931"/>
    <cellStyle name="40% - Accent2 8 2 14 2" xfId="33706"/>
    <cellStyle name="40% - Accent2 8 2 15" xfId="11587"/>
    <cellStyle name="40% - Accent2 8 2 15 2" xfId="34362"/>
    <cellStyle name="40% - Accent2 8 2 16" xfId="12243"/>
    <cellStyle name="40% - Accent2 8 2 16 2" xfId="35018"/>
    <cellStyle name="40% - Accent2 8 2 17" xfId="12899"/>
    <cellStyle name="40% - Accent2 8 2 17 2" xfId="35674"/>
    <cellStyle name="40% - Accent2 8 2 18" xfId="13555"/>
    <cellStyle name="40% - Accent2 8 2 18 2" xfId="36330"/>
    <cellStyle name="40% - Accent2 8 2 19" xfId="14211"/>
    <cellStyle name="40% - Accent2 8 2 19 2" xfId="36986"/>
    <cellStyle name="40% - Accent2 8 2 2" xfId="1419"/>
    <cellStyle name="40% - Accent2 8 2 2 2" xfId="3715"/>
    <cellStyle name="40% - Accent2 8 2 2 2 2" xfId="26490"/>
    <cellStyle name="40% - Accent2 8 2 2 3" xfId="24194"/>
    <cellStyle name="40% - Accent2 8 2 20" xfId="14867"/>
    <cellStyle name="40% - Accent2 8 2 20 2" xfId="37642"/>
    <cellStyle name="40% - Accent2 8 2 21" xfId="15523"/>
    <cellStyle name="40% - Accent2 8 2 21 2" xfId="38298"/>
    <cellStyle name="40% - Accent2 8 2 22" xfId="16179"/>
    <cellStyle name="40% - Accent2 8 2 22 2" xfId="38954"/>
    <cellStyle name="40% - Accent2 8 2 23" xfId="16835"/>
    <cellStyle name="40% - Accent2 8 2 23 2" xfId="39610"/>
    <cellStyle name="40% - Accent2 8 2 24" xfId="17491"/>
    <cellStyle name="40% - Accent2 8 2 24 2" xfId="40266"/>
    <cellStyle name="40% - Accent2 8 2 25" xfId="18147"/>
    <cellStyle name="40% - Accent2 8 2 25 2" xfId="40922"/>
    <cellStyle name="40% - Accent2 8 2 26" xfId="18803"/>
    <cellStyle name="40% - Accent2 8 2 26 2" xfId="41578"/>
    <cellStyle name="40% - Accent2 8 2 27" xfId="19459"/>
    <cellStyle name="40% - Accent2 8 2 27 2" xfId="42234"/>
    <cellStyle name="40% - Accent2 8 2 28" xfId="20115"/>
    <cellStyle name="40% - Accent2 8 2 28 2" xfId="42890"/>
    <cellStyle name="40% - Accent2 8 2 29" xfId="20771"/>
    <cellStyle name="40% - Accent2 8 2 29 2" xfId="43546"/>
    <cellStyle name="40% - Accent2 8 2 3" xfId="2075"/>
    <cellStyle name="40% - Accent2 8 2 3 2" xfId="4371"/>
    <cellStyle name="40% - Accent2 8 2 3 2 2" xfId="27146"/>
    <cellStyle name="40% - Accent2 8 2 3 3" xfId="24850"/>
    <cellStyle name="40% - Accent2 8 2 30" xfId="21427"/>
    <cellStyle name="40% - Accent2 8 2 30 2" xfId="44202"/>
    <cellStyle name="40% - Accent2 8 2 31" xfId="22083"/>
    <cellStyle name="40% - Accent2 8 2 31 2" xfId="44858"/>
    <cellStyle name="40% - Accent2 8 2 32" xfId="22739"/>
    <cellStyle name="40% - Accent2 8 2 32 2" xfId="45514"/>
    <cellStyle name="40% - Accent2 8 2 33" xfId="23538"/>
    <cellStyle name="40% - Accent2 8 2 4" xfId="5027"/>
    <cellStyle name="40% - Accent2 8 2 4 2" xfId="27802"/>
    <cellStyle name="40% - Accent2 8 2 5" xfId="5683"/>
    <cellStyle name="40% - Accent2 8 2 5 2" xfId="28458"/>
    <cellStyle name="40% - Accent2 8 2 6" xfId="6339"/>
    <cellStyle name="40% - Accent2 8 2 6 2" xfId="29114"/>
    <cellStyle name="40% - Accent2 8 2 7" xfId="3059"/>
    <cellStyle name="40% - Accent2 8 2 7 2" xfId="25834"/>
    <cellStyle name="40% - Accent2 8 2 8" xfId="6995"/>
    <cellStyle name="40% - Accent2 8 2 8 2" xfId="29770"/>
    <cellStyle name="40% - Accent2 8 2 9" xfId="7651"/>
    <cellStyle name="40% - Accent2 8 2 9 2" xfId="30426"/>
    <cellStyle name="40% - Accent2 8 20" xfId="13227"/>
    <cellStyle name="40% - Accent2 8 20 2" xfId="36002"/>
    <cellStyle name="40% - Accent2 8 21" xfId="13883"/>
    <cellStyle name="40% - Accent2 8 21 2" xfId="36658"/>
    <cellStyle name="40% - Accent2 8 22" xfId="14539"/>
    <cellStyle name="40% - Accent2 8 22 2" xfId="37314"/>
    <cellStyle name="40% - Accent2 8 23" xfId="15195"/>
    <cellStyle name="40% - Accent2 8 23 2" xfId="37970"/>
    <cellStyle name="40% - Accent2 8 24" xfId="15851"/>
    <cellStyle name="40% - Accent2 8 24 2" xfId="38626"/>
    <cellStyle name="40% - Accent2 8 25" xfId="16507"/>
    <cellStyle name="40% - Accent2 8 25 2" xfId="39282"/>
    <cellStyle name="40% - Accent2 8 26" xfId="17163"/>
    <cellStyle name="40% - Accent2 8 26 2" xfId="39938"/>
    <cellStyle name="40% - Accent2 8 27" xfId="17819"/>
    <cellStyle name="40% - Accent2 8 27 2" xfId="40594"/>
    <cellStyle name="40% - Accent2 8 28" xfId="18475"/>
    <cellStyle name="40% - Accent2 8 28 2" xfId="41250"/>
    <cellStyle name="40% - Accent2 8 29" xfId="19131"/>
    <cellStyle name="40% - Accent2 8 29 2" xfId="41906"/>
    <cellStyle name="40% - Accent2 8 3" xfId="1091"/>
    <cellStyle name="40% - Accent2 8 3 2" xfId="2731"/>
    <cellStyle name="40% - Accent2 8 3 2 2" xfId="25506"/>
    <cellStyle name="40% - Accent2 8 3 3" xfId="23866"/>
    <cellStyle name="40% - Accent2 8 30" xfId="19787"/>
    <cellStyle name="40% - Accent2 8 30 2" xfId="42562"/>
    <cellStyle name="40% - Accent2 8 31" xfId="20443"/>
    <cellStyle name="40% - Accent2 8 31 2" xfId="43218"/>
    <cellStyle name="40% - Accent2 8 32" xfId="21099"/>
    <cellStyle name="40% - Accent2 8 32 2" xfId="43874"/>
    <cellStyle name="40% - Accent2 8 33" xfId="21755"/>
    <cellStyle name="40% - Accent2 8 33 2" xfId="44530"/>
    <cellStyle name="40% - Accent2 8 34" xfId="22411"/>
    <cellStyle name="40% - Accent2 8 34 2" xfId="45186"/>
    <cellStyle name="40% - Accent2 8 35" xfId="23210"/>
    <cellStyle name="40% - Accent2 8 4" xfId="1747"/>
    <cellStyle name="40% - Accent2 8 4 2" xfId="3387"/>
    <cellStyle name="40% - Accent2 8 4 2 2" xfId="26162"/>
    <cellStyle name="40% - Accent2 8 4 3" xfId="24522"/>
    <cellStyle name="40% - Accent2 8 5" xfId="4043"/>
    <cellStyle name="40% - Accent2 8 5 2" xfId="26818"/>
    <cellStyle name="40% - Accent2 8 6" xfId="4699"/>
    <cellStyle name="40% - Accent2 8 6 2" xfId="27474"/>
    <cellStyle name="40% - Accent2 8 7" xfId="5355"/>
    <cellStyle name="40% - Accent2 8 7 2" xfId="28130"/>
    <cellStyle name="40% - Accent2 8 8" xfId="6011"/>
    <cellStyle name="40% - Accent2 8 8 2" xfId="28786"/>
    <cellStyle name="40% - Accent2 8 9" xfId="2403"/>
    <cellStyle name="40% - Accent2 8 9 2" xfId="25178"/>
    <cellStyle name="40% - Accent2 9" xfId="450"/>
    <cellStyle name="40% - Accent2 9 10" xfId="6681"/>
    <cellStyle name="40% - Accent2 9 10 2" xfId="29456"/>
    <cellStyle name="40% - Accent2 9 11" xfId="7337"/>
    <cellStyle name="40% - Accent2 9 11 2" xfId="30112"/>
    <cellStyle name="40% - Accent2 9 12" xfId="7993"/>
    <cellStyle name="40% - Accent2 9 12 2" xfId="30768"/>
    <cellStyle name="40% - Accent2 9 13" xfId="8649"/>
    <cellStyle name="40% - Accent2 9 13 2" xfId="31424"/>
    <cellStyle name="40% - Accent2 9 14" xfId="9305"/>
    <cellStyle name="40% - Accent2 9 14 2" xfId="32080"/>
    <cellStyle name="40% - Accent2 9 15" xfId="9961"/>
    <cellStyle name="40% - Accent2 9 15 2" xfId="32736"/>
    <cellStyle name="40% - Accent2 9 16" xfId="10617"/>
    <cellStyle name="40% - Accent2 9 16 2" xfId="33392"/>
    <cellStyle name="40% - Accent2 9 17" xfId="11273"/>
    <cellStyle name="40% - Accent2 9 17 2" xfId="34048"/>
    <cellStyle name="40% - Accent2 9 18" xfId="11929"/>
    <cellStyle name="40% - Accent2 9 18 2" xfId="34704"/>
    <cellStyle name="40% - Accent2 9 19" xfId="12585"/>
    <cellStyle name="40% - Accent2 9 19 2" xfId="35360"/>
    <cellStyle name="40% - Accent2 9 2" xfId="777"/>
    <cellStyle name="40% - Accent2 9 2 10" xfId="8321"/>
    <cellStyle name="40% - Accent2 9 2 10 2" xfId="31096"/>
    <cellStyle name="40% - Accent2 9 2 11" xfId="8977"/>
    <cellStyle name="40% - Accent2 9 2 11 2" xfId="31752"/>
    <cellStyle name="40% - Accent2 9 2 12" xfId="9633"/>
    <cellStyle name="40% - Accent2 9 2 12 2" xfId="32408"/>
    <cellStyle name="40% - Accent2 9 2 13" xfId="10289"/>
    <cellStyle name="40% - Accent2 9 2 13 2" xfId="33064"/>
    <cellStyle name="40% - Accent2 9 2 14" xfId="10945"/>
    <cellStyle name="40% - Accent2 9 2 14 2" xfId="33720"/>
    <cellStyle name="40% - Accent2 9 2 15" xfId="11601"/>
    <cellStyle name="40% - Accent2 9 2 15 2" xfId="34376"/>
    <cellStyle name="40% - Accent2 9 2 16" xfId="12257"/>
    <cellStyle name="40% - Accent2 9 2 16 2" xfId="35032"/>
    <cellStyle name="40% - Accent2 9 2 17" xfId="12913"/>
    <cellStyle name="40% - Accent2 9 2 17 2" xfId="35688"/>
    <cellStyle name="40% - Accent2 9 2 18" xfId="13569"/>
    <cellStyle name="40% - Accent2 9 2 18 2" xfId="36344"/>
    <cellStyle name="40% - Accent2 9 2 19" xfId="14225"/>
    <cellStyle name="40% - Accent2 9 2 19 2" xfId="37000"/>
    <cellStyle name="40% - Accent2 9 2 2" xfId="1433"/>
    <cellStyle name="40% - Accent2 9 2 2 2" xfId="3729"/>
    <cellStyle name="40% - Accent2 9 2 2 2 2" xfId="26504"/>
    <cellStyle name="40% - Accent2 9 2 2 3" xfId="24208"/>
    <cellStyle name="40% - Accent2 9 2 20" xfId="14881"/>
    <cellStyle name="40% - Accent2 9 2 20 2" xfId="37656"/>
    <cellStyle name="40% - Accent2 9 2 21" xfId="15537"/>
    <cellStyle name="40% - Accent2 9 2 21 2" xfId="38312"/>
    <cellStyle name="40% - Accent2 9 2 22" xfId="16193"/>
    <cellStyle name="40% - Accent2 9 2 22 2" xfId="38968"/>
    <cellStyle name="40% - Accent2 9 2 23" xfId="16849"/>
    <cellStyle name="40% - Accent2 9 2 23 2" xfId="39624"/>
    <cellStyle name="40% - Accent2 9 2 24" xfId="17505"/>
    <cellStyle name="40% - Accent2 9 2 24 2" xfId="40280"/>
    <cellStyle name="40% - Accent2 9 2 25" xfId="18161"/>
    <cellStyle name="40% - Accent2 9 2 25 2" xfId="40936"/>
    <cellStyle name="40% - Accent2 9 2 26" xfId="18817"/>
    <cellStyle name="40% - Accent2 9 2 26 2" xfId="41592"/>
    <cellStyle name="40% - Accent2 9 2 27" xfId="19473"/>
    <cellStyle name="40% - Accent2 9 2 27 2" xfId="42248"/>
    <cellStyle name="40% - Accent2 9 2 28" xfId="20129"/>
    <cellStyle name="40% - Accent2 9 2 28 2" xfId="42904"/>
    <cellStyle name="40% - Accent2 9 2 29" xfId="20785"/>
    <cellStyle name="40% - Accent2 9 2 29 2" xfId="43560"/>
    <cellStyle name="40% - Accent2 9 2 3" xfId="2089"/>
    <cellStyle name="40% - Accent2 9 2 3 2" xfId="4385"/>
    <cellStyle name="40% - Accent2 9 2 3 2 2" xfId="27160"/>
    <cellStyle name="40% - Accent2 9 2 3 3" xfId="24864"/>
    <cellStyle name="40% - Accent2 9 2 30" xfId="21441"/>
    <cellStyle name="40% - Accent2 9 2 30 2" xfId="44216"/>
    <cellStyle name="40% - Accent2 9 2 31" xfId="22097"/>
    <cellStyle name="40% - Accent2 9 2 31 2" xfId="44872"/>
    <cellStyle name="40% - Accent2 9 2 32" xfId="22753"/>
    <cellStyle name="40% - Accent2 9 2 32 2" xfId="45528"/>
    <cellStyle name="40% - Accent2 9 2 33" xfId="23552"/>
    <cellStyle name="40% - Accent2 9 2 4" xfId="5041"/>
    <cellStyle name="40% - Accent2 9 2 4 2" xfId="27816"/>
    <cellStyle name="40% - Accent2 9 2 5" xfId="5697"/>
    <cellStyle name="40% - Accent2 9 2 5 2" xfId="28472"/>
    <cellStyle name="40% - Accent2 9 2 6" xfId="6353"/>
    <cellStyle name="40% - Accent2 9 2 6 2" xfId="29128"/>
    <cellStyle name="40% - Accent2 9 2 7" xfId="3073"/>
    <cellStyle name="40% - Accent2 9 2 7 2" xfId="25848"/>
    <cellStyle name="40% - Accent2 9 2 8" xfId="7009"/>
    <cellStyle name="40% - Accent2 9 2 8 2" xfId="29784"/>
    <cellStyle name="40% - Accent2 9 2 9" xfId="7665"/>
    <cellStyle name="40% - Accent2 9 2 9 2" xfId="30440"/>
    <cellStyle name="40% - Accent2 9 20" xfId="13241"/>
    <cellStyle name="40% - Accent2 9 20 2" xfId="36016"/>
    <cellStyle name="40% - Accent2 9 21" xfId="13897"/>
    <cellStyle name="40% - Accent2 9 21 2" xfId="36672"/>
    <cellStyle name="40% - Accent2 9 22" xfId="14553"/>
    <cellStyle name="40% - Accent2 9 22 2" xfId="37328"/>
    <cellStyle name="40% - Accent2 9 23" xfId="15209"/>
    <cellStyle name="40% - Accent2 9 23 2" xfId="37984"/>
    <cellStyle name="40% - Accent2 9 24" xfId="15865"/>
    <cellStyle name="40% - Accent2 9 24 2" xfId="38640"/>
    <cellStyle name="40% - Accent2 9 25" xfId="16521"/>
    <cellStyle name="40% - Accent2 9 25 2" xfId="39296"/>
    <cellStyle name="40% - Accent2 9 26" xfId="17177"/>
    <cellStyle name="40% - Accent2 9 26 2" xfId="39952"/>
    <cellStyle name="40% - Accent2 9 27" xfId="17833"/>
    <cellStyle name="40% - Accent2 9 27 2" xfId="40608"/>
    <cellStyle name="40% - Accent2 9 28" xfId="18489"/>
    <cellStyle name="40% - Accent2 9 28 2" xfId="41264"/>
    <cellStyle name="40% - Accent2 9 29" xfId="19145"/>
    <cellStyle name="40% - Accent2 9 29 2" xfId="41920"/>
    <cellStyle name="40% - Accent2 9 3" xfId="1105"/>
    <cellStyle name="40% - Accent2 9 3 2" xfId="2745"/>
    <cellStyle name="40% - Accent2 9 3 2 2" xfId="25520"/>
    <cellStyle name="40% - Accent2 9 3 3" xfId="23880"/>
    <cellStyle name="40% - Accent2 9 30" xfId="19801"/>
    <cellStyle name="40% - Accent2 9 30 2" xfId="42576"/>
    <cellStyle name="40% - Accent2 9 31" xfId="20457"/>
    <cellStyle name="40% - Accent2 9 31 2" xfId="43232"/>
    <cellStyle name="40% - Accent2 9 32" xfId="21113"/>
    <cellStyle name="40% - Accent2 9 32 2" xfId="43888"/>
    <cellStyle name="40% - Accent2 9 33" xfId="21769"/>
    <cellStyle name="40% - Accent2 9 33 2" xfId="44544"/>
    <cellStyle name="40% - Accent2 9 34" xfId="22425"/>
    <cellStyle name="40% - Accent2 9 34 2" xfId="45200"/>
    <cellStyle name="40% - Accent2 9 35" xfId="23224"/>
    <cellStyle name="40% - Accent2 9 4" xfId="1761"/>
    <cellStyle name="40% - Accent2 9 4 2" xfId="3401"/>
    <cellStyle name="40% - Accent2 9 4 2 2" xfId="26176"/>
    <cellStyle name="40% - Accent2 9 4 3" xfId="24536"/>
    <cellStyle name="40% - Accent2 9 5" xfId="4057"/>
    <cellStyle name="40% - Accent2 9 5 2" xfId="26832"/>
    <cellStyle name="40% - Accent2 9 6" xfId="4713"/>
    <cellStyle name="40% - Accent2 9 6 2" xfId="27488"/>
    <cellStyle name="40% - Accent2 9 7" xfId="5369"/>
    <cellStyle name="40% - Accent2 9 7 2" xfId="28144"/>
    <cellStyle name="40% - Accent2 9 8" xfId="6025"/>
    <cellStyle name="40% - Accent2 9 8 2" xfId="28800"/>
    <cellStyle name="40% - Accent2 9 9" xfId="2417"/>
    <cellStyle name="40% - Accent2 9 9 2" xfId="25192"/>
    <cellStyle name="40% - Accent3" xfId="31" builtinId="39" customBuiltin="1"/>
    <cellStyle name="40% - Accent3 10" xfId="464"/>
    <cellStyle name="40% - Accent3 10 10" xfId="6695"/>
    <cellStyle name="40% - Accent3 10 10 2" xfId="29470"/>
    <cellStyle name="40% - Accent3 10 11" xfId="7351"/>
    <cellStyle name="40% - Accent3 10 11 2" xfId="30126"/>
    <cellStyle name="40% - Accent3 10 12" xfId="8007"/>
    <cellStyle name="40% - Accent3 10 12 2" xfId="30782"/>
    <cellStyle name="40% - Accent3 10 13" xfId="8663"/>
    <cellStyle name="40% - Accent3 10 13 2" xfId="31438"/>
    <cellStyle name="40% - Accent3 10 14" xfId="9319"/>
    <cellStyle name="40% - Accent3 10 14 2" xfId="32094"/>
    <cellStyle name="40% - Accent3 10 15" xfId="9975"/>
    <cellStyle name="40% - Accent3 10 15 2" xfId="32750"/>
    <cellStyle name="40% - Accent3 10 16" xfId="10631"/>
    <cellStyle name="40% - Accent3 10 16 2" xfId="33406"/>
    <cellStyle name="40% - Accent3 10 17" xfId="11287"/>
    <cellStyle name="40% - Accent3 10 17 2" xfId="34062"/>
    <cellStyle name="40% - Accent3 10 18" xfId="11943"/>
    <cellStyle name="40% - Accent3 10 18 2" xfId="34718"/>
    <cellStyle name="40% - Accent3 10 19" xfId="12599"/>
    <cellStyle name="40% - Accent3 10 19 2" xfId="35374"/>
    <cellStyle name="40% - Accent3 10 2" xfId="791"/>
    <cellStyle name="40% - Accent3 10 2 10" xfId="8335"/>
    <cellStyle name="40% - Accent3 10 2 10 2" xfId="31110"/>
    <cellStyle name="40% - Accent3 10 2 11" xfId="8991"/>
    <cellStyle name="40% - Accent3 10 2 11 2" xfId="31766"/>
    <cellStyle name="40% - Accent3 10 2 12" xfId="9647"/>
    <cellStyle name="40% - Accent3 10 2 12 2" xfId="32422"/>
    <cellStyle name="40% - Accent3 10 2 13" xfId="10303"/>
    <cellStyle name="40% - Accent3 10 2 13 2" xfId="33078"/>
    <cellStyle name="40% - Accent3 10 2 14" xfId="10959"/>
    <cellStyle name="40% - Accent3 10 2 14 2" xfId="33734"/>
    <cellStyle name="40% - Accent3 10 2 15" xfId="11615"/>
    <cellStyle name="40% - Accent3 10 2 15 2" xfId="34390"/>
    <cellStyle name="40% - Accent3 10 2 16" xfId="12271"/>
    <cellStyle name="40% - Accent3 10 2 16 2" xfId="35046"/>
    <cellStyle name="40% - Accent3 10 2 17" xfId="12927"/>
    <cellStyle name="40% - Accent3 10 2 17 2" xfId="35702"/>
    <cellStyle name="40% - Accent3 10 2 18" xfId="13583"/>
    <cellStyle name="40% - Accent3 10 2 18 2" xfId="36358"/>
    <cellStyle name="40% - Accent3 10 2 19" xfId="14239"/>
    <cellStyle name="40% - Accent3 10 2 19 2" xfId="37014"/>
    <cellStyle name="40% - Accent3 10 2 2" xfId="1447"/>
    <cellStyle name="40% - Accent3 10 2 2 2" xfId="3743"/>
    <cellStyle name="40% - Accent3 10 2 2 2 2" xfId="26518"/>
    <cellStyle name="40% - Accent3 10 2 2 3" xfId="24222"/>
    <cellStyle name="40% - Accent3 10 2 20" xfId="14895"/>
    <cellStyle name="40% - Accent3 10 2 20 2" xfId="37670"/>
    <cellStyle name="40% - Accent3 10 2 21" xfId="15551"/>
    <cellStyle name="40% - Accent3 10 2 21 2" xfId="38326"/>
    <cellStyle name="40% - Accent3 10 2 22" xfId="16207"/>
    <cellStyle name="40% - Accent3 10 2 22 2" xfId="38982"/>
    <cellStyle name="40% - Accent3 10 2 23" xfId="16863"/>
    <cellStyle name="40% - Accent3 10 2 23 2" xfId="39638"/>
    <cellStyle name="40% - Accent3 10 2 24" xfId="17519"/>
    <cellStyle name="40% - Accent3 10 2 24 2" xfId="40294"/>
    <cellStyle name="40% - Accent3 10 2 25" xfId="18175"/>
    <cellStyle name="40% - Accent3 10 2 25 2" xfId="40950"/>
    <cellStyle name="40% - Accent3 10 2 26" xfId="18831"/>
    <cellStyle name="40% - Accent3 10 2 26 2" xfId="41606"/>
    <cellStyle name="40% - Accent3 10 2 27" xfId="19487"/>
    <cellStyle name="40% - Accent3 10 2 27 2" xfId="42262"/>
    <cellStyle name="40% - Accent3 10 2 28" xfId="20143"/>
    <cellStyle name="40% - Accent3 10 2 28 2" xfId="42918"/>
    <cellStyle name="40% - Accent3 10 2 29" xfId="20799"/>
    <cellStyle name="40% - Accent3 10 2 29 2" xfId="43574"/>
    <cellStyle name="40% - Accent3 10 2 3" xfId="2103"/>
    <cellStyle name="40% - Accent3 10 2 3 2" xfId="4399"/>
    <cellStyle name="40% - Accent3 10 2 3 2 2" xfId="27174"/>
    <cellStyle name="40% - Accent3 10 2 3 3" xfId="24878"/>
    <cellStyle name="40% - Accent3 10 2 30" xfId="21455"/>
    <cellStyle name="40% - Accent3 10 2 30 2" xfId="44230"/>
    <cellStyle name="40% - Accent3 10 2 31" xfId="22111"/>
    <cellStyle name="40% - Accent3 10 2 31 2" xfId="44886"/>
    <cellStyle name="40% - Accent3 10 2 32" xfId="22767"/>
    <cellStyle name="40% - Accent3 10 2 32 2" xfId="45542"/>
    <cellStyle name="40% - Accent3 10 2 33" xfId="23566"/>
    <cellStyle name="40% - Accent3 10 2 4" xfId="5055"/>
    <cellStyle name="40% - Accent3 10 2 4 2" xfId="27830"/>
    <cellStyle name="40% - Accent3 10 2 5" xfId="5711"/>
    <cellStyle name="40% - Accent3 10 2 5 2" xfId="28486"/>
    <cellStyle name="40% - Accent3 10 2 6" xfId="6367"/>
    <cellStyle name="40% - Accent3 10 2 6 2" xfId="29142"/>
    <cellStyle name="40% - Accent3 10 2 7" xfId="3087"/>
    <cellStyle name="40% - Accent3 10 2 7 2" xfId="25862"/>
    <cellStyle name="40% - Accent3 10 2 8" xfId="7023"/>
    <cellStyle name="40% - Accent3 10 2 8 2" xfId="29798"/>
    <cellStyle name="40% - Accent3 10 2 9" xfId="7679"/>
    <cellStyle name="40% - Accent3 10 2 9 2" xfId="30454"/>
    <cellStyle name="40% - Accent3 10 20" xfId="13255"/>
    <cellStyle name="40% - Accent3 10 20 2" xfId="36030"/>
    <cellStyle name="40% - Accent3 10 21" xfId="13911"/>
    <cellStyle name="40% - Accent3 10 21 2" xfId="36686"/>
    <cellStyle name="40% - Accent3 10 22" xfId="14567"/>
    <cellStyle name="40% - Accent3 10 22 2" xfId="37342"/>
    <cellStyle name="40% - Accent3 10 23" xfId="15223"/>
    <cellStyle name="40% - Accent3 10 23 2" xfId="37998"/>
    <cellStyle name="40% - Accent3 10 24" xfId="15879"/>
    <cellStyle name="40% - Accent3 10 24 2" xfId="38654"/>
    <cellStyle name="40% - Accent3 10 25" xfId="16535"/>
    <cellStyle name="40% - Accent3 10 25 2" xfId="39310"/>
    <cellStyle name="40% - Accent3 10 26" xfId="17191"/>
    <cellStyle name="40% - Accent3 10 26 2" xfId="39966"/>
    <cellStyle name="40% - Accent3 10 27" xfId="17847"/>
    <cellStyle name="40% - Accent3 10 27 2" xfId="40622"/>
    <cellStyle name="40% - Accent3 10 28" xfId="18503"/>
    <cellStyle name="40% - Accent3 10 28 2" xfId="41278"/>
    <cellStyle name="40% - Accent3 10 29" xfId="19159"/>
    <cellStyle name="40% - Accent3 10 29 2" xfId="41934"/>
    <cellStyle name="40% - Accent3 10 3" xfId="1119"/>
    <cellStyle name="40% - Accent3 10 3 2" xfId="2759"/>
    <cellStyle name="40% - Accent3 10 3 2 2" xfId="25534"/>
    <cellStyle name="40% - Accent3 10 3 3" xfId="23894"/>
    <cellStyle name="40% - Accent3 10 30" xfId="19815"/>
    <cellStyle name="40% - Accent3 10 30 2" xfId="42590"/>
    <cellStyle name="40% - Accent3 10 31" xfId="20471"/>
    <cellStyle name="40% - Accent3 10 31 2" xfId="43246"/>
    <cellStyle name="40% - Accent3 10 32" xfId="21127"/>
    <cellStyle name="40% - Accent3 10 32 2" xfId="43902"/>
    <cellStyle name="40% - Accent3 10 33" xfId="21783"/>
    <cellStyle name="40% - Accent3 10 33 2" xfId="44558"/>
    <cellStyle name="40% - Accent3 10 34" xfId="22439"/>
    <cellStyle name="40% - Accent3 10 34 2" xfId="45214"/>
    <cellStyle name="40% - Accent3 10 35" xfId="23238"/>
    <cellStyle name="40% - Accent3 10 4" xfId="1775"/>
    <cellStyle name="40% - Accent3 10 4 2" xfId="3415"/>
    <cellStyle name="40% - Accent3 10 4 2 2" xfId="26190"/>
    <cellStyle name="40% - Accent3 10 4 3" xfId="24550"/>
    <cellStyle name="40% - Accent3 10 5" xfId="4071"/>
    <cellStyle name="40% - Accent3 10 5 2" xfId="26846"/>
    <cellStyle name="40% - Accent3 10 6" xfId="4727"/>
    <cellStyle name="40% - Accent3 10 6 2" xfId="27502"/>
    <cellStyle name="40% - Accent3 10 7" xfId="5383"/>
    <cellStyle name="40% - Accent3 10 7 2" xfId="28158"/>
    <cellStyle name="40% - Accent3 10 8" xfId="6039"/>
    <cellStyle name="40% - Accent3 10 8 2" xfId="28814"/>
    <cellStyle name="40% - Accent3 10 9" xfId="2431"/>
    <cellStyle name="40% - Accent3 10 9 2" xfId="25206"/>
    <cellStyle name="40% - Accent3 11" xfId="606"/>
    <cellStyle name="40% - Accent3 11 10" xfId="8150"/>
    <cellStyle name="40% - Accent3 11 10 2" xfId="30925"/>
    <cellStyle name="40% - Accent3 11 11" xfId="8806"/>
    <cellStyle name="40% - Accent3 11 11 2" xfId="31581"/>
    <cellStyle name="40% - Accent3 11 12" xfId="9462"/>
    <cellStyle name="40% - Accent3 11 12 2" xfId="32237"/>
    <cellStyle name="40% - Accent3 11 13" xfId="10118"/>
    <cellStyle name="40% - Accent3 11 13 2" xfId="32893"/>
    <cellStyle name="40% - Accent3 11 14" xfId="10774"/>
    <cellStyle name="40% - Accent3 11 14 2" xfId="33549"/>
    <cellStyle name="40% - Accent3 11 15" xfId="11430"/>
    <cellStyle name="40% - Accent3 11 15 2" xfId="34205"/>
    <cellStyle name="40% - Accent3 11 16" xfId="12086"/>
    <cellStyle name="40% - Accent3 11 16 2" xfId="34861"/>
    <cellStyle name="40% - Accent3 11 17" xfId="12742"/>
    <cellStyle name="40% - Accent3 11 17 2" xfId="35517"/>
    <cellStyle name="40% - Accent3 11 18" xfId="13398"/>
    <cellStyle name="40% - Accent3 11 18 2" xfId="36173"/>
    <cellStyle name="40% - Accent3 11 19" xfId="14054"/>
    <cellStyle name="40% - Accent3 11 19 2" xfId="36829"/>
    <cellStyle name="40% - Accent3 11 2" xfId="1262"/>
    <cellStyle name="40% - Accent3 11 2 2" xfId="3558"/>
    <cellStyle name="40% - Accent3 11 2 2 2" xfId="26333"/>
    <cellStyle name="40% - Accent3 11 2 3" xfId="24037"/>
    <cellStyle name="40% - Accent3 11 20" xfId="14710"/>
    <cellStyle name="40% - Accent3 11 20 2" xfId="37485"/>
    <cellStyle name="40% - Accent3 11 21" xfId="15366"/>
    <cellStyle name="40% - Accent3 11 21 2" xfId="38141"/>
    <cellStyle name="40% - Accent3 11 22" xfId="16022"/>
    <cellStyle name="40% - Accent3 11 22 2" xfId="38797"/>
    <cellStyle name="40% - Accent3 11 23" xfId="16678"/>
    <cellStyle name="40% - Accent3 11 23 2" xfId="39453"/>
    <cellStyle name="40% - Accent3 11 24" xfId="17334"/>
    <cellStyle name="40% - Accent3 11 24 2" xfId="40109"/>
    <cellStyle name="40% - Accent3 11 25" xfId="17990"/>
    <cellStyle name="40% - Accent3 11 25 2" xfId="40765"/>
    <cellStyle name="40% - Accent3 11 26" xfId="18646"/>
    <cellStyle name="40% - Accent3 11 26 2" xfId="41421"/>
    <cellStyle name="40% - Accent3 11 27" xfId="19302"/>
    <cellStyle name="40% - Accent3 11 27 2" xfId="42077"/>
    <cellStyle name="40% - Accent3 11 28" xfId="19958"/>
    <cellStyle name="40% - Accent3 11 28 2" xfId="42733"/>
    <cellStyle name="40% - Accent3 11 29" xfId="20614"/>
    <cellStyle name="40% - Accent3 11 29 2" xfId="43389"/>
    <cellStyle name="40% - Accent3 11 3" xfId="1918"/>
    <cellStyle name="40% - Accent3 11 3 2" xfId="4214"/>
    <cellStyle name="40% - Accent3 11 3 2 2" xfId="26989"/>
    <cellStyle name="40% - Accent3 11 3 3" xfId="24693"/>
    <cellStyle name="40% - Accent3 11 30" xfId="21270"/>
    <cellStyle name="40% - Accent3 11 30 2" xfId="44045"/>
    <cellStyle name="40% - Accent3 11 31" xfId="21926"/>
    <cellStyle name="40% - Accent3 11 31 2" xfId="44701"/>
    <cellStyle name="40% - Accent3 11 32" xfId="22582"/>
    <cellStyle name="40% - Accent3 11 32 2" xfId="45357"/>
    <cellStyle name="40% - Accent3 11 33" xfId="23381"/>
    <cellStyle name="40% - Accent3 11 4" xfId="4870"/>
    <cellStyle name="40% - Accent3 11 4 2" xfId="27645"/>
    <cellStyle name="40% - Accent3 11 5" xfId="5526"/>
    <cellStyle name="40% - Accent3 11 5 2" xfId="28301"/>
    <cellStyle name="40% - Accent3 11 6" xfId="6182"/>
    <cellStyle name="40% - Accent3 11 6 2" xfId="28957"/>
    <cellStyle name="40% - Accent3 11 7" xfId="2902"/>
    <cellStyle name="40% - Accent3 11 7 2" xfId="25677"/>
    <cellStyle name="40% - Accent3 11 8" xfId="6838"/>
    <cellStyle name="40% - Accent3 11 8 2" xfId="29613"/>
    <cellStyle name="40% - Accent3 11 9" xfId="7494"/>
    <cellStyle name="40% - Accent3 11 9 2" xfId="30269"/>
    <cellStyle name="40% - Accent3 12" xfId="279"/>
    <cellStyle name="40% - Accent3 12 2" xfId="2574"/>
    <cellStyle name="40% - Accent3 12 2 2" xfId="25349"/>
    <cellStyle name="40% - Accent3 12 3" xfId="23053"/>
    <cellStyle name="40% - Accent3 13" xfId="934"/>
    <cellStyle name="40% - Accent3 13 2" xfId="3230"/>
    <cellStyle name="40% - Accent3 13 2 2" xfId="26005"/>
    <cellStyle name="40% - Accent3 13 3" xfId="23709"/>
    <cellStyle name="40% - Accent3 14" xfId="1590"/>
    <cellStyle name="40% - Accent3 14 2" xfId="3886"/>
    <cellStyle name="40% - Accent3 14 2 2" xfId="26661"/>
    <cellStyle name="40% - Accent3 14 3" xfId="24365"/>
    <cellStyle name="40% - Accent3 15" xfId="4542"/>
    <cellStyle name="40% - Accent3 15 2" xfId="27317"/>
    <cellStyle name="40% - Accent3 16" xfId="5198"/>
    <cellStyle name="40% - Accent3 16 2" xfId="27973"/>
    <cellStyle name="40% - Accent3 17" xfId="5854"/>
    <cellStyle name="40% - Accent3 17 2" xfId="28629"/>
    <cellStyle name="40% - Accent3 18" xfId="2246"/>
    <cellStyle name="40% - Accent3 18 2" xfId="25021"/>
    <cellStyle name="40% - Accent3 19" xfId="6510"/>
    <cellStyle name="40% - Accent3 19 2" xfId="29285"/>
    <cellStyle name="40% - Accent3 2" xfId="74"/>
    <cellStyle name="40% - Accent3 2 10" xfId="5870"/>
    <cellStyle name="40% - Accent3 2 10 2" xfId="28645"/>
    <cellStyle name="40% - Accent3 2 11" xfId="2262"/>
    <cellStyle name="40% - Accent3 2 11 2" xfId="25037"/>
    <cellStyle name="40% - Accent3 2 12" xfId="6526"/>
    <cellStyle name="40% - Accent3 2 12 2" xfId="29301"/>
    <cellStyle name="40% - Accent3 2 13" xfId="7182"/>
    <cellStyle name="40% - Accent3 2 13 2" xfId="29957"/>
    <cellStyle name="40% - Accent3 2 14" xfId="7838"/>
    <cellStyle name="40% - Accent3 2 14 2" xfId="30613"/>
    <cellStyle name="40% - Accent3 2 15" xfId="8494"/>
    <cellStyle name="40% - Accent3 2 15 2" xfId="31269"/>
    <cellStyle name="40% - Accent3 2 16" xfId="9150"/>
    <cellStyle name="40% - Accent3 2 16 2" xfId="31925"/>
    <cellStyle name="40% - Accent3 2 17" xfId="9806"/>
    <cellStyle name="40% - Accent3 2 17 2" xfId="32581"/>
    <cellStyle name="40% - Accent3 2 18" xfId="10462"/>
    <cellStyle name="40% - Accent3 2 18 2" xfId="33237"/>
    <cellStyle name="40% - Accent3 2 19" xfId="11118"/>
    <cellStyle name="40% - Accent3 2 19 2" xfId="33893"/>
    <cellStyle name="40% - Accent3 2 2" xfId="150"/>
    <cellStyle name="40% - Accent3 2 2 10" xfId="2348"/>
    <cellStyle name="40% - Accent3 2 2 10 2" xfId="25123"/>
    <cellStyle name="40% - Accent3 2 2 11" xfId="6612"/>
    <cellStyle name="40% - Accent3 2 2 11 2" xfId="29387"/>
    <cellStyle name="40% - Accent3 2 2 12" xfId="7268"/>
    <cellStyle name="40% - Accent3 2 2 12 2" xfId="30043"/>
    <cellStyle name="40% - Accent3 2 2 13" xfId="7924"/>
    <cellStyle name="40% - Accent3 2 2 13 2" xfId="30699"/>
    <cellStyle name="40% - Accent3 2 2 14" xfId="8580"/>
    <cellStyle name="40% - Accent3 2 2 14 2" xfId="31355"/>
    <cellStyle name="40% - Accent3 2 2 15" xfId="9236"/>
    <cellStyle name="40% - Accent3 2 2 15 2" xfId="32011"/>
    <cellStyle name="40% - Accent3 2 2 16" xfId="9892"/>
    <cellStyle name="40% - Accent3 2 2 16 2" xfId="32667"/>
    <cellStyle name="40% - Accent3 2 2 17" xfId="10548"/>
    <cellStyle name="40% - Accent3 2 2 17 2" xfId="33323"/>
    <cellStyle name="40% - Accent3 2 2 18" xfId="11204"/>
    <cellStyle name="40% - Accent3 2 2 18 2" xfId="33979"/>
    <cellStyle name="40% - Accent3 2 2 19" xfId="11860"/>
    <cellStyle name="40% - Accent3 2 2 19 2" xfId="34635"/>
    <cellStyle name="40% - Accent3 2 2 2" xfId="564"/>
    <cellStyle name="40% - Accent3 2 2 2 10" xfId="6797"/>
    <cellStyle name="40% - Accent3 2 2 2 10 2" xfId="29572"/>
    <cellStyle name="40% - Accent3 2 2 2 11" xfId="7453"/>
    <cellStyle name="40% - Accent3 2 2 2 11 2" xfId="30228"/>
    <cellStyle name="40% - Accent3 2 2 2 12" xfId="8109"/>
    <cellStyle name="40% - Accent3 2 2 2 12 2" xfId="30884"/>
    <cellStyle name="40% - Accent3 2 2 2 13" xfId="8765"/>
    <cellStyle name="40% - Accent3 2 2 2 13 2" xfId="31540"/>
    <cellStyle name="40% - Accent3 2 2 2 14" xfId="9421"/>
    <cellStyle name="40% - Accent3 2 2 2 14 2" xfId="32196"/>
    <cellStyle name="40% - Accent3 2 2 2 15" xfId="10077"/>
    <cellStyle name="40% - Accent3 2 2 2 15 2" xfId="32852"/>
    <cellStyle name="40% - Accent3 2 2 2 16" xfId="10733"/>
    <cellStyle name="40% - Accent3 2 2 2 16 2" xfId="33508"/>
    <cellStyle name="40% - Accent3 2 2 2 17" xfId="11389"/>
    <cellStyle name="40% - Accent3 2 2 2 17 2" xfId="34164"/>
    <cellStyle name="40% - Accent3 2 2 2 18" xfId="12045"/>
    <cellStyle name="40% - Accent3 2 2 2 18 2" xfId="34820"/>
    <cellStyle name="40% - Accent3 2 2 2 19" xfId="12701"/>
    <cellStyle name="40% - Accent3 2 2 2 19 2" xfId="35476"/>
    <cellStyle name="40% - Accent3 2 2 2 2" xfId="893"/>
    <cellStyle name="40% - Accent3 2 2 2 2 10" xfId="8437"/>
    <cellStyle name="40% - Accent3 2 2 2 2 10 2" xfId="31212"/>
    <cellStyle name="40% - Accent3 2 2 2 2 11" xfId="9093"/>
    <cellStyle name="40% - Accent3 2 2 2 2 11 2" xfId="31868"/>
    <cellStyle name="40% - Accent3 2 2 2 2 12" xfId="9749"/>
    <cellStyle name="40% - Accent3 2 2 2 2 12 2" xfId="32524"/>
    <cellStyle name="40% - Accent3 2 2 2 2 13" xfId="10405"/>
    <cellStyle name="40% - Accent3 2 2 2 2 13 2" xfId="33180"/>
    <cellStyle name="40% - Accent3 2 2 2 2 14" xfId="11061"/>
    <cellStyle name="40% - Accent3 2 2 2 2 14 2" xfId="33836"/>
    <cellStyle name="40% - Accent3 2 2 2 2 15" xfId="11717"/>
    <cellStyle name="40% - Accent3 2 2 2 2 15 2" xfId="34492"/>
    <cellStyle name="40% - Accent3 2 2 2 2 16" xfId="12373"/>
    <cellStyle name="40% - Accent3 2 2 2 2 16 2" xfId="35148"/>
    <cellStyle name="40% - Accent3 2 2 2 2 17" xfId="13029"/>
    <cellStyle name="40% - Accent3 2 2 2 2 17 2" xfId="35804"/>
    <cellStyle name="40% - Accent3 2 2 2 2 18" xfId="13685"/>
    <cellStyle name="40% - Accent3 2 2 2 2 18 2" xfId="36460"/>
    <cellStyle name="40% - Accent3 2 2 2 2 19" xfId="14341"/>
    <cellStyle name="40% - Accent3 2 2 2 2 19 2" xfId="37116"/>
    <cellStyle name="40% - Accent3 2 2 2 2 2" xfId="1549"/>
    <cellStyle name="40% - Accent3 2 2 2 2 2 2" xfId="3845"/>
    <cellStyle name="40% - Accent3 2 2 2 2 2 2 2" xfId="26620"/>
    <cellStyle name="40% - Accent3 2 2 2 2 2 3" xfId="24324"/>
    <cellStyle name="40% - Accent3 2 2 2 2 20" xfId="14997"/>
    <cellStyle name="40% - Accent3 2 2 2 2 20 2" xfId="37772"/>
    <cellStyle name="40% - Accent3 2 2 2 2 21" xfId="15653"/>
    <cellStyle name="40% - Accent3 2 2 2 2 21 2" xfId="38428"/>
    <cellStyle name="40% - Accent3 2 2 2 2 22" xfId="16309"/>
    <cellStyle name="40% - Accent3 2 2 2 2 22 2" xfId="39084"/>
    <cellStyle name="40% - Accent3 2 2 2 2 23" xfId="16965"/>
    <cellStyle name="40% - Accent3 2 2 2 2 23 2" xfId="39740"/>
    <cellStyle name="40% - Accent3 2 2 2 2 24" xfId="17621"/>
    <cellStyle name="40% - Accent3 2 2 2 2 24 2" xfId="40396"/>
    <cellStyle name="40% - Accent3 2 2 2 2 25" xfId="18277"/>
    <cellStyle name="40% - Accent3 2 2 2 2 25 2" xfId="41052"/>
    <cellStyle name="40% - Accent3 2 2 2 2 26" xfId="18933"/>
    <cellStyle name="40% - Accent3 2 2 2 2 26 2" xfId="41708"/>
    <cellStyle name="40% - Accent3 2 2 2 2 27" xfId="19589"/>
    <cellStyle name="40% - Accent3 2 2 2 2 27 2" xfId="42364"/>
    <cellStyle name="40% - Accent3 2 2 2 2 28" xfId="20245"/>
    <cellStyle name="40% - Accent3 2 2 2 2 28 2" xfId="43020"/>
    <cellStyle name="40% - Accent3 2 2 2 2 29" xfId="20901"/>
    <cellStyle name="40% - Accent3 2 2 2 2 29 2" xfId="43676"/>
    <cellStyle name="40% - Accent3 2 2 2 2 3" xfId="2205"/>
    <cellStyle name="40% - Accent3 2 2 2 2 3 2" xfId="4501"/>
    <cellStyle name="40% - Accent3 2 2 2 2 3 2 2" xfId="27276"/>
    <cellStyle name="40% - Accent3 2 2 2 2 3 3" xfId="24980"/>
    <cellStyle name="40% - Accent3 2 2 2 2 30" xfId="21557"/>
    <cellStyle name="40% - Accent3 2 2 2 2 30 2" xfId="44332"/>
    <cellStyle name="40% - Accent3 2 2 2 2 31" xfId="22213"/>
    <cellStyle name="40% - Accent3 2 2 2 2 31 2" xfId="44988"/>
    <cellStyle name="40% - Accent3 2 2 2 2 32" xfId="22869"/>
    <cellStyle name="40% - Accent3 2 2 2 2 32 2" xfId="45644"/>
    <cellStyle name="40% - Accent3 2 2 2 2 33" xfId="23668"/>
    <cellStyle name="40% - Accent3 2 2 2 2 4" xfId="5157"/>
    <cellStyle name="40% - Accent3 2 2 2 2 4 2" xfId="27932"/>
    <cellStyle name="40% - Accent3 2 2 2 2 5" xfId="5813"/>
    <cellStyle name="40% - Accent3 2 2 2 2 5 2" xfId="28588"/>
    <cellStyle name="40% - Accent3 2 2 2 2 6" xfId="6469"/>
    <cellStyle name="40% - Accent3 2 2 2 2 6 2" xfId="29244"/>
    <cellStyle name="40% - Accent3 2 2 2 2 7" xfId="3189"/>
    <cellStyle name="40% - Accent3 2 2 2 2 7 2" xfId="25964"/>
    <cellStyle name="40% - Accent3 2 2 2 2 8" xfId="7125"/>
    <cellStyle name="40% - Accent3 2 2 2 2 8 2" xfId="29900"/>
    <cellStyle name="40% - Accent3 2 2 2 2 9" xfId="7781"/>
    <cellStyle name="40% - Accent3 2 2 2 2 9 2" xfId="30556"/>
    <cellStyle name="40% - Accent3 2 2 2 20" xfId="13357"/>
    <cellStyle name="40% - Accent3 2 2 2 20 2" xfId="36132"/>
    <cellStyle name="40% - Accent3 2 2 2 21" xfId="14013"/>
    <cellStyle name="40% - Accent3 2 2 2 21 2" xfId="36788"/>
    <cellStyle name="40% - Accent3 2 2 2 22" xfId="14669"/>
    <cellStyle name="40% - Accent3 2 2 2 22 2" xfId="37444"/>
    <cellStyle name="40% - Accent3 2 2 2 23" xfId="15325"/>
    <cellStyle name="40% - Accent3 2 2 2 23 2" xfId="38100"/>
    <cellStyle name="40% - Accent3 2 2 2 24" xfId="15981"/>
    <cellStyle name="40% - Accent3 2 2 2 24 2" xfId="38756"/>
    <cellStyle name="40% - Accent3 2 2 2 25" xfId="16637"/>
    <cellStyle name="40% - Accent3 2 2 2 25 2" xfId="39412"/>
    <cellStyle name="40% - Accent3 2 2 2 26" xfId="17293"/>
    <cellStyle name="40% - Accent3 2 2 2 26 2" xfId="40068"/>
    <cellStyle name="40% - Accent3 2 2 2 27" xfId="17949"/>
    <cellStyle name="40% - Accent3 2 2 2 27 2" xfId="40724"/>
    <cellStyle name="40% - Accent3 2 2 2 28" xfId="18605"/>
    <cellStyle name="40% - Accent3 2 2 2 28 2" xfId="41380"/>
    <cellStyle name="40% - Accent3 2 2 2 29" xfId="19261"/>
    <cellStyle name="40% - Accent3 2 2 2 29 2" xfId="42036"/>
    <cellStyle name="40% - Accent3 2 2 2 3" xfId="1221"/>
    <cellStyle name="40% - Accent3 2 2 2 3 2" xfId="2861"/>
    <cellStyle name="40% - Accent3 2 2 2 3 2 2" xfId="25636"/>
    <cellStyle name="40% - Accent3 2 2 2 3 3" xfId="23996"/>
    <cellStyle name="40% - Accent3 2 2 2 30" xfId="19917"/>
    <cellStyle name="40% - Accent3 2 2 2 30 2" xfId="42692"/>
    <cellStyle name="40% - Accent3 2 2 2 31" xfId="20573"/>
    <cellStyle name="40% - Accent3 2 2 2 31 2" xfId="43348"/>
    <cellStyle name="40% - Accent3 2 2 2 32" xfId="21229"/>
    <cellStyle name="40% - Accent3 2 2 2 32 2" xfId="44004"/>
    <cellStyle name="40% - Accent3 2 2 2 33" xfId="21885"/>
    <cellStyle name="40% - Accent3 2 2 2 33 2" xfId="44660"/>
    <cellStyle name="40% - Accent3 2 2 2 34" xfId="22541"/>
    <cellStyle name="40% - Accent3 2 2 2 34 2" xfId="45316"/>
    <cellStyle name="40% - Accent3 2 2 2 35" xfId="23340"/>
    <cellStyle name="40% - Accent3 2 2 2 4" xfId="1877"/>
    <cellStyle name="40% - Accent3 2 2 2 4 2" xfId="3517"/>
    <cellStyle name="40% - Accent3 2 2 2 4 2 2" xfId="26292"/>
    <cellStyle name="40% - Accent3 2 2 2 4 3" xfId="24652"/>
    <cellStyle name="40% - Accent3 2 2 2 5" xfId="4173"/>
    <cellStyle name="40% - Accent3 2 2 2 5 2" xfId="26948"/>
    <cellStyle name="40% - Accent3 2 2 2 6" xfId="4829"/>
    <cellStyle name="40% - Accent3 2 2 2 6 2" xfId="27604"/>
    <cellStyle name="40% - Accent3 2 2 2 7" xfId="5485"/>
    <cellStyle name="40% - Accent3 2 2 2 7 2" xfId="28260"/>
    <cellStyle name="40% - Accent3 2 2 2 8" xfId="6141"/>
    <cellStyle name="40% - Accent3 2 2 2 8 2" xfId="28916"/>
    <cellStyle name="40% - Accent3 2 2 2 9" xfId="2533"/>
    <cellStyle name="40% - Accent3 2 2 2 9 2" xfId="25308"/>
    <cellStyle name="40% - Accent3 2 2 20" xfId="12516"/>
    <cellStyle name="40% - Accent3 2 2 20 2" xfId="35291"/>
    <cellStyle name="40% - Accent3 2 2 21" xfId="13172"/>
    <cellStyle name="40% - Accent3 2 2 21 2" xfId="35947"/>
    <cellStyle name="40% - Accent3 2 2 22" xfId="13828"/>
    <cellStyle name="40% - Accent3 2 2 22 2" xfId="36603"/>
    <cellStyle name="40% - Accent3 2 2 23" xfId="14484"/>
    <cellStyle name="40% - Accent3 2 2 23 2" xfId="37259"/>
    <cellStyle name="40% - Accent3 2 2 24" xfId="15140"/>
    <cellStyle name="40% - Accent3 2 2 24 2" xfId="37915"/>
    <cellStyle name="40% - Accent3 2 2 25" xfId="15796"/>
    <cellStyle name="40% - Accent3 2 2 25 2" xfId="38571"/>
    <cellStyle name="40% - Accent3 2 2 26" xfId="16452"/>
    <cellStyle name="40% - Accent3 2 2 26 2" xfId="39227"/>
    <cellStyle name="40% - Accent3 2 2 27" xfId="17108"/>
    <cellStyle name="40% - Accent3 2 2 27 2" xfId="39883"/>
    <cellStyle name="40% - Accent3 2 2 28" xfId="17764"/>
    <cellStyle name="40% - Accent3 2 2 28 2" xfId="40539"/>
    <cellStyle name="40% - Accent3 2 2 29" xfId="18420"/>
    <cellStyle name="40% - Accent3 2 2 29 2" xfId="41195"/>
    <cellStyle name="40% - Accent3 2 2 3" xfId="708"/>
    <cellStyle name="40% - Accent3 2 2 3 10" xfId="8252"/>
    <cellStyle name="40% - Accent3 2 2 3 10 2" xfId="31027"/>
    <cellStyle name="40% - Accent3 2 2 3 11" xfId="8908"/>
    <cellStyle name="40% - Accent3 2 2 3 11 2" xfId="31683"/>
    <cellStyle name="40% - Accent3 2 2 3 12" xfId="9564"/>
    <cellStyle name="40% - Accent3 2 2 3 12 2" xfId="32339"/>
    <cellStyle name="40% - Accent3 2 2 3 13" xfId="10220"/>
    <cellStyle name="40% - Accent3 2 2 3 13 2" xfId="32995"/>
    <cellStyle name="40% - Accent3 2 2 3 14" xfId="10876"/>
    <cellStyle name="40% - Accent3 2 2 3 14 2" xfId="33651"/>
    <cellStyle name="40% - Accent3 2 2 3 15" xfId="11532"/>
    <cellStyle name="40% - Accent3 2 2 3 15 2" xfId="34307"/>
    <cellStyle name="40% - Accent3 2 2 3 16" xfId="12188"/>
    <cellStyle name="40% - Accent3 2 2 3 16 2" xfId="34963"/>
    <cellStyle name="40% - Accent3 2 2 3 17" xfId="12844"/>
    <cellStyle name="40% - Accent3 2 2 3 17 2" xfId="35619"/>
    <cellStyle name="40% - Accent3 2 2 3 18" xfId="13500"/>
    <cellStyle name="40% - Accent3 2 2 3 18 2" xfId="36275"/>
    <cellStyle name="40% - Accent3 2 2 3 19" xfId="14156"/>
    <cellStyle name="40% - Accent3 2 2 3 19 2" xfId="36931"/>
    <cellStyle name="40% - Accent3 2 2 3 2" xfId="1364"/>
    <cellStyle name="40% - Accent3 2 2 3 2 2" xfId="3660"/>
    <cellStyle name="40% - Accent3 2 2 3 2 2 2" xfId="26435"/>
    <cellStyle name="40% - Accent3 2 2 3 2 3" xfId="24139"/>
    <cellStyle name="40% - Accent3 2 2 3 20" xfId="14812"/>
    <cellStyle name="40% - Accent3 2 2 3 20 2" xfId="37587"/>
    <cellStyle name="40% - Accent3 2 2 3 21" xfId="15468"/>
    <cellStyle name="40% - Accent3 2 2 3 21 2" xfId="38243"/>
    <cellStyle name="40% - Accent3 2 2 3 22" xfId="16124"/>
    <cellStyle name="40% - Accent3 2 2 3 22 2" xfId="38899"/>
    <cellStyle name="40% - Accent3 2 2 3 23" xfId="16780"/>
    <cellStyle name="40% - Accent3 2 2 3 23 2" xfId="39555"/>
    <cellStyle name="40% - Accent3 2 2 3 24" xfId="17436"/>
    <cellStyle name="40% - Accent3 2 2 3 24 2" xfId="40211"/>
    <cellStyle name="40% - Accent3 2 2 3 25" xfId="18092"/>
    <cellStyle name="40% - Accent3 2 2 3 25 2" xfId="40867"/>
    <cellStyle name="40% - Accent3 2 2 3 26" xfId="18748"/>
    <cellStyle name="40% - Accent3 2 2 3 26 2" xfId="41523"/>
    <cellStyle name="40% - Accent3 2 2 3 27" xfId="19404"/>
    <cellStyle name="40% - Accent3 2 2 3 27 2" xfId="42179"/>
    <cellStyle name="40% - Accent3 2 2 3 28" xfId="20060"/>
    <cellStyle name="40% - Accent3 2 2 3 28 2" xfId="42835"/>
    <cellStyle name="40% - Accent3 2 2 3 29" xfId="20716"/>
    <cellStyle name="40% - Accent3 2 2 3 29 2" xfId="43491"/>
    <cellStyle name="40% - Accent3 2 2 3 3" xfId="2020"/>
    <cellStyle name="40% - Accent3 2 2 3 3 2" xfId="4316"/>
    <cellStyle name="40% - Accent3 2 2 3 3 2 2" xfId="27091"/>
    <cellStyle name="40% - Accent3 2 2 3 3 3" xfId="24795"/>
    <cellStyle name="40% - Accent3 2 2 3 30" xfId="21372"/>
    <cellStyle name="40% - Accent3 2 2 3 30 2" xfId="44147"/>
    <cellStyle name="40% - Accent3 2 2 3 31" xfId="22028"/>
    <cellStyle name="40% - Accent3 2 2 3 31 2" xfId="44803"/>
    <cellStyle name="40% - Accent3 2 2 3 32" xfId="22684"/>
    <cellStyle name="40% - Accent3 2 2 3 32 2" xfId="45459"/>
    <cellStyle name="40% - Accent3 2 2 3 33" xfId="23483"/>
    <cellStyle name="40% - Accent3 2 2 3 4" xfId="4972"/>
    <cellStyle name="40% - Accent3 2 2 3 4 2" xfId="27747"/>
    <cellStyle name="40% - Accent3 2 2 3 5" xfId="5628"/>
    <cellStyle name="40% - Accent3 2 2 3 5 2" xfId="28403"/>
    <cellStyle name="40% - Accent3 2 2 3 6" xfId="6284"/>
    <cellStyle name="40% - Accent3 2 2 3 6 2" xfId="29059"/>
    <cellStyle name="40% - Accent3 2 2 3 7" xfId="3004"/>
    <cellStyle name="40% - Accent3 2 2 3 7 2" xfId="25779"/>
    <cellStyle name="40% - Accent3 2 2 3 8" xfId="6940"/>
    <cellStyle name="40% - Accent3 2 2 3 8 2" xfId="29715"/>
    <cellStyle name="40% - Accent3 2 2 3 9" xfId="7596"/>
    <cellStyle name="40% - Accent3 2 2 3 9 2" xfId="30371"/>
    <cellStyle name="40% - Accent3 2 2 30" xfId="19076"/>
    <cellStyle name="40% - Accent3 2 2 30 2" xfId="41851"/>
    <cellStyle name="40% - Accent3 2 2 31" xfId="19732"/>
    <cellStyle name="40% - Accent3 2 2 31 2" xfId="42507"/>
    <cellStyle name="40% - Accent3 2 2 32" xfId="20388"/>
    <cellStyle name="40% - Accent3 2 2 32 2" xfId="43163"/>
    <cellStyle name="40% - Accent3 2 2 33" xfId="21044"/>
    <cellStyle name="40% - Accent3 2 2 33 2" xfId="43819"/>
    <cellStyle name="40% - Accent3 2 2 34" xfId="21700"/>
    <cellStyle name="40% - Accent3 2 2 34 2" xfId="44475"/>
    <cellStyle name="40% - Accent3 2 2 35" xfId="22356"/>
    <cellStyle name="40% - Accent3 2 2 35 2" xfId="45131"/>
    <cellStyle name="40% - Accent3 2 2 36" xfId="23012"/>
    <cellStyle name="40% - Accent3 2 2 4" xfId="381"/>
    <cellStyle name="40% - Accent3 2 2 4 2" xfId="2676"/>
    <cellStyle name="40% - Accent3 2 2 4 2 2" xfId="25451"/>
    <cellStyle name="40% - Accent3 2 2 4 3" xfId="23155"/>
    <cellStyle name="40% - Accent3 2 2 5" xfId="1036"/>
    <cellStyle name="40% - Accent3 2 2 5 2" xfId="3332"/>
    <cellStyle name="40% - Accent3 2 2 5 2 2" xfId="26107"/>
    <cellStyle name="40% - Accent3 2 2 5 3" xfId="23811"/>
    <cellStyle name="40% - Accent3 2 2 6" xfId="1692"/>
    <cellStyle name="40% - Accent3 2 2 6 2" xfId="3988"/>
    <cellStyle name="40% - Accent3 2 2 6 2 2" xfId="26763"/>
    <cellStyle name="40% - Accent3 2 2 6 3" xfId="24467"/>
    <cellStyle name="40% - Accent3 2 2 7" xfId="4644"/>
    <cellStyle name="40% - Accent3 2 2 7 2" xfId="27419"/>
    <cellStyle name="40% - Accent3 2 2 8" xfId="5300"/>
    <cellStyle name="40% - Accent3 2 2 8 2" xfId="28075"/>
    <cellStyle name="40% - Accent3 2 2 9" xfId="5956"/>
    <cellStyle name="40% - Accent3 2 2 9 2" xfId="28731"/>
    <cellStyle name="40% - Accent3 2 20" xfId="11774"/>
    <cellStyle name="40% - Accent3 2 20 2" xfId="34549"/>
    <cellStyle name="40% - Accent3 2 21" xfId="12430"/>
    <cellStyle name="40% - Accent3 2 21 2" xfId="35205"/>
    <cellStyle name="40% - Accent3 2 22" xfId="13086"/>
    <cellStyle name="40% - Accent3 2 22 2" xfId="35861"/>
    <cellStyle name="40% - Accent3 2 23" xfId="13742"/>
    <cellStyle name="40% - Accent3 2 23 2" xfId="36517"/>
    <cellStyle name="40% - Accent3 2 24" xfId="14398"/>
    <cellStyle name="40% - Accent3 2 24 2" xfId="37173"/>
    <cellStyle name="40% - Accent3 2 25" xfId="15054"/>
    <cellStyle name="40% - Accent3 2 25 2" xfId="37829"/>
    <cellStyle name="40% - Accent3 2 26" xfId="15710"/>
    <cellStyle name="40% - Accent3 2 26 2" xfId="38485"/>
    <cellStyle name="40% - Accent3 2 27" xfId="16366"/>
    <cellStyle name="40% - Accent3 2 27 2" xfId="39141"/>
    <cellStyle name="40% - Accent3 2 28" xfId="17022"/>
    <cellStyle name="40% - Accent3 2 28 2" xfId="39797"/>
    <cellStyle name="40% - Accent3 2 29" xfId="17678"/>
    <cellStyle name="40% - Accent3 2 29 2" xfId="40453"/>
    <cellStyle name="40% - Accent3 2 3" xfId="480"/>
    <cellStyle name="40% - Accent3 2 3 10" xfId="6711"/>
    <cellStyle name="40% - Accent3 2 3 10 2" xfId="29486"/>
    <cellStyle name="40% - Accent3 2 3 11" xfId="7367"/>
    <cellStyle name="40% - Accent3 2 3 11 2" xfId="30142"/>
    <cellStyle name="40% - Accent3 2 3 12" xfId="8023"/>
    <cellStyle name="40% - Accent3 2 3 12 2" xfId="30798"/>
    <cellStyle name="40% - Accent3 2 3 13" xfId="8679"/>
    <cellStyle name="40% - Accent3 2 3 13 2" xfId="31454"/>
    <cellStyle name="40% - Accent3 2 3 14" xfId="9335"/>
    <cellStyle name="40% - Accent3 2 3 14 2" xfId="32110"/>
    <cellStyle name="40% - Accent3 2 3 15" xfId="9991"/>
    <cellStyle name="40% - Accent3 2 3 15 2" xfId="32766"/>
    <cellStyle name="40% - Accent3 2 3 16" xfId="10647"/>
    <cellStyle name="40% - Accent3 2 3 16 2" xfId="33422"/>
    <cellStyle name="40% - Accent3 2 3 17" xfId="11303"/>
    <cellStyle name="40% - Accent3 2 3 17 2" xfId="34078"/>
    <cellStyle name="40% - Accent3 2 3 18" xfId="11959"/>
    <cellStyle name="40% - Accent3 2 3 18 2" xfId="34734"/>
    <cellStyle name="40% - Accent3 2 3 19" xfId="12615"/>
    <cellStyle name="40% - Accent3 2 3 19 2" xfId="35390"/>
    <cellStyle name="40% - Accent3 2 3 2" xfId="807"/>
    <cellStyle name="40% - Accent3 2 3 2 10" xfId="8351"/>
    <cellStyle name="40% - Accent3 2 3 2 10 2" xfId="31126"/>
    <cellStyle name="40% - Accent3 2 3 2 11" xfId="9007"/>
    <cellStyle name="40% - Accent3 2 3 2 11 2" xfId="31782"/>
    <cellStyle name="40% - Accent3 2 3 2 12" xfId="9663"/>
    <cellStyle name="40% - Accent3 2 3 2 12 2" xfId="32438"/>
    <cellStyle name="40% - Accent3 2 3 2 13" xfId="10319"/>
    <cellStyle name="40% - Accent3 2 3 2 13 2" xfId="33094"/>
    <cellStyle name="40% - Accent3 2 3 2 14" xfId="10975"/>
    <cellStyle name="40% - Accent3 2 3 2 14 2" xfId="33750"/>
    <cellStyle name="40% - Accent3 2 3 2 15" xfId="11631"/>
    <cellStyle name="40% - Accent3 2 3 2 15 2" xfId="34406"/>
    <cellStyle name="40% - Accent3 2 3 2 16" xfId="12287"/>
    <cellStyle name="40% - Accent3 2 3 2 16 2" xfId="35062"/>
    <cellStyle name="40% - Accent3 2 3 2 17" xfId="12943"/>
    <cellStyle name="40% - Accent3 2 3 2 17 2" xfId="35718"/>
    <cellStyle name="40% - Accent3 2 3 2 18" xfId="13599"/>
    <cellStyle name="40% - Accent3 2 3 2 18 2" xfId="36374"/>
    <cellStyle name="40% - Accent3 2 3 2 19" xfId="14255"/>
    <cellStyle name="40% - Accent3 2 3 2 19 2" xfId="37030"/>
    <cellStyle name="40% - Accent3 2 3 2 2" xfId="1463"/>
    <cellStyle name="40% - Accent3 2 3 2 2 2" xfId="3759"/>
    <cellStyle name="40% - Accent3 2 3 2 2 2 2" xfId="26534"/>
    <cellStyle name="40% - Accent3 2 3 2 2 3" xfId="24238"/>
    <cellStyle name="40% - Accent3 2 3 2 20" xfId="14911"/>
    <cellStyle name="40% - Accent3 2 3 2 20 2" xfId="37686"/>
    <cellStyle name="40% - Accent3 2 3 2 21" xfId="15567"/>
    <cellStyle name="40% - Accent3 2 3 2 21 2" xfId="38342"/>
    <cellStyle name="40% - Accent3 2 3 2 22" xfId="16223"/>
    <cellStyle name="40% - Accent3 2 3 2 22 2" xfId="38998"/>
    <cellStyle name="40% - Accent3 2 3 2 23" xfId="16879"/>
    <cellStyle name="40% - Accent3 2 3 2 23 2" xfId="39654"/>
    <cellStyle name="40% - Accent3 2 3 2 24" xfId="17535"/>
    <cellStyle name="40% - Accent3 2 3 2 24 2" xfId="40310"/>
    <cellStyle name="40% - Accent3 2 3 2 25" xfId="18191"/>
    <cellStyle name="40% - Accent3 2 3 2 25 2" xfId="40966"/>
    <cellStyle name="40% - Accent3 2 3 2 26" xfId="18847"/>
    <cellStyle name="40% - Accent3 2 3 2 26 2" xfId="41622"/>
    <cellStyle name="40% - Accent3 2 3 2 27" xfId="19503"/>
    <cellStyle name="40% - Accent3 2 3 2 27 2" xfId="42278"/>
    <cellStyle name="40% - Accent3 2 3 2 28" xfId="20159"/>
    <cellStyle name="40% - Accent3 2 3 2 28 2" xfId="42934"/>
    <cellStyle name="40% - Accent3 2 3 2 29" xfId="20815"/>
    <cellStyle name="40% - Accent3 2 3 2 29 2" xfId="43590"/>
    <cellStyle name="40% - Accent3 2 3 2 3" xfId="2119"/>
    <cellStyle name="40% - Accent3 2 3 2 3 2" xfId="4415"/>
    <cellStyle name="40% - Accent3 2 3 2 3 2 2" xfId="27190"/>
    <cellStyle name="40% - Accent3 2 3 2 3 3" xfId="24894"/>
    <cellStyle name="40% - Accent3 2 3 2 30" xfId="21471"/>
    <cellStyle name="40% - Accent3 2 3 2 30 2" xfId="44246"/>
    <cellStyle name="40% - Accent3 2 3 2 31" xfId="22127"/>
    <cellStyle name="40% - Accent3 2 3 2 31 2" xfId="44902"/>
    <cellStyle name="40% - Accent3 2 3 2 32" xfId="22783"/>
    <cellStyle name="40% - Accent3 2 3 2 32 2" xfId="45558"/>
    <cellStyle name="40% - Accent3 2 3 2 33" xfId="23582"/>
    <cellStyle name="40% - Accent3 2 3 2 4" xfId="5071"/>
    <cellStyle name="40% - Accent3 2 3 2 4 2" xfId="27846"/>
    <cellStyle name="40% - Accent3 2 3 2 5" xfId="5727"/>
    <cellStyle name="40% - Accent3 2 3 2 5 2" xfId="28502"/>
    <cellStyle name="40% - Accent3 2 3 2 6" xfId="6383"/>
    <cellStyle name="40% - Accent3 2 3 2 6 2" xfId="29158"/>
    <cellStyle name="40% - Accent3 2 3 2 7" xfId="3103"/>
    <cellStyle name="40% - Accent3 2 3 2 7 2" xfId="25878"/>
    <cellStyle name="40% - Accent3 2 3 2 8" xfId="7039"/>
    <cellStyle name="40% - Accent3 2 3 2 8 2" xfId="29814"/>
    <cellStyle name="40% - Accent3 2 3 2 9" xfId="7695"/>
    <cellStyle name="40% - Accent3 2 3 2 9 2" xfId="30470"/>
    <cellStyle name="40% - Accent3 2 3 20" xfId="13271"/>
    <cellStyle name="40% - Accent3 2 3 20 2" xfId="36046"/>
    <cellStyle name="40% - Accent3 2 3 21" xfId="13927"/>
    <cellStyle name="40% - Accent3 2 3 21 2" xfId="36702"/>
    <cellStyle name="40% - Accent3 2 3 22" xfId="14583"/>
    <cellStyle name="40% - Accent3 2 3 22 2" xfId="37358"/>
    <cellStyle name="40% - Accent3 2 3 23" xfId="15239"/>
    <cellStyle name="40% - Accent3 2 3 23 2" xfId="38014"/>
    <cellStyle name="40% - Accent3 2 3 24" xfId="15895"/>
    <cellStyle name="40% - Accent3 2 3 24 2" xfId="38670"/>
    <cellStyle name="40% - Accent3 2 3 25" xfId="16551"/>
    <cellStyle name="40% - Accent3 2 3 25 2" xfId="39326"/>
    <cellStyle name="40% - Accent3 2 3 26" xfId="17207"/>
    <cellStyle name="40% - Accent3 2 3 26 2" xfId="39982"/>
    <cellStyle name="40% - Accent3 2 3 27" xfId="17863"/>
    <cellStyle name="40% - Accent3 2 3 27 2" xfId="40638"/>
    <cellStyle name="40% - Accent3 2 3 28" xfId="18519"/>
    <cellStyle name="40% - Accent3 2 3 28 2" xfId="41294"/>
    <cellStyle name="40% - Accent3 2 3 29" xfId="19175"/>
    <cellStyle name="40% - Accent3 2 3 29 2" xfId="41950"/>
    <cellStyle name="40% - Accent3 2 3 3" xfId="1135"/>
    <cellStyle name="40% - Accent3 2 3 3 2" xfId="2775"/>
    <cellStyle name="40% - Accent3 2 3 3 2 2" xfId="25550"/>
    <cellStyle name="40% - Accent3 2 3 3 3" xfId="23910"/>
    <cellStyle name="40% - Accent3 2 3 30" xfId="19831"/>
    <cellStyle name="40% - Accent3 2 3 30 2" xfId="42606"/>
    <cellStyle name="40% - Accent3 2 3 31" xfId="20487"/>
    <cellStyle name="40% - Accent3 2 3 31 2" xfId="43262"/>
    <cellStyle name="40% - Accent3 2 3 32" xfId="21143"/>
    <cellStyle name="40% - Accent3 2 3 32 2" xfId="43918"/>
    <cellStyle name="40% - Accent3 2 3 33" xfId="21799"/>
    <cellStyle name="40% - Accent3 2 3 33 2" xfId="44574"/>
    <cellStyle name="40% - Accent3 2 3 34" xfId="22455"/>
    <cellStyle name="40% - Accent3 2 3 34 2" xfId="45230"/>
    <cellStyle name="40% - Accent3 2 3 35" xfId="23254"/>
    <cellStyle name="40% - Accent3 2 3 4" xfId="1791"/>
    <cellStyle name="40% - Accent3 2 3 4 2" xfId="3431"/>
    <cellStyle name="40% - Accent3 2 3 4 2 2" xfId="26206"/>
    <cellStyle name="40% - Accent3 2 3 4 3" xfId="24566"/>
    <cellStyle name="40% - Accent3 2 3 5" xfId="4087"/>
    <cellStyle name="40% - Accent3 2 3 5 2" xfId="26862"/>
    <cellStyle name="40% - Accent3 2 3 6" xfId="4743"/>
    <cellStyle name="40% - Accent3 2 3 6 2" xfId="27518"/>
    <cellStyle name="40% - Accent3 2 3 7" xfId="5399"/>
    <cellStyle name="40% - Accent3 2 3 7 2" xfId="28174"/>
    <cellStyle name="40% - Accent3 2 3 8" xfId="6055"/>
    <cellStyle name="40% - Accent3 2 3 8 2" xfId="28830"/>
    <cellStyle name="40% - Accent3 2 3 9" xfId="2447"/>
    <cellStyle name="40% - Accent3 2 3 9 2" xfId="25222"/>
    <cellStyle name="40% - Accent3 2 30" xfId="18334"/>
    <cellStyle name="40% - Accent3 2 30 2" xfId="41109"/>
    <cellStyle name="40% - Accent3 2 31" xfId="18990"/>
    <cellStyle name="40% - Accent3 2 31 2" xfId="41765"/>
    <cellStyle name="40% - Accent3 2 32" xfId="19646"/>
    <cellStyle name="40% - Accent3 2 32 2" xfId="42421"/>
    <cellStyle name="40% - Accent3 2 33" xfId="20302"/>
    <cellStyle name="40% - Accent3 2 33 2" xfId="43077"/>
    <cellStyle name="40% - Accent3 2 34" xfId="20958"/>
    <cellStyle name="40% - Accent3 2 34 2" xfId="43733"/>
    <cellStyle name="40% - Accent3 2 35" xfId="21614"/>
    <cellStyle name="40% - Accent3 2 35 2" xfId="44389"/>
    <cellStyle name="40% - Accent3 2 36" xfId="22270"/>
    <cellStyle name="40% - Accent3 2 36 2" xfId="45045"/>
    <cellStyle name="40% - Accent3 2 37" xfId="209"/>
    <cellStyle name="40% - Accent3 2 38" xfId="22926"/>
    <cellStyle name="40% - Accent3 2 4" xfId="622"/>
    <cellStyle name="40% - Accent3 2 4 10" xfId="8166"/>
    <cellStyle name="40% - Accent3 2 4 10 2" xfId="30941"/>
    <cellStyle name="40% - Accent3 2 4 11" xfId="8822"/>
    <cellStyle name="40% - Accent3 2 4 11 2" xfId="31597"/>
    <cellStyle name="40% - Accent3 2 4 12" xfId="9478"/>
    <cellStyle name="40% - Accent3 2 4 12 2" xfId="32253"/>
    <cellStyle name="40% - Accent3 2 4 13" xfId="10134"/>
    <cellStyle name="40% - Accent3 2 4 13 2" xfId="32909"/>
    <cellStyle name="40% - Accent3 2 4 14" xfId="10790"/>
    <cellStyle name="40% - Accent3 2 4 14 2" xfId="33565"/>
    <cellStyle name="40% - Accent3 2 4 15" xfId="11446"/>
    <cellStyle name="40% - Accent3 2 4 15 2" xfId="34221"/>
    <cellStyle name="40% - Accent3 2 4 16" xfId="12102"/>
    <cellStyle name="40% - Accent3 2 4 16 2" xfId="34877"/>
    <cellStyle name="40% - Accent3 2 4 17" xfId="12758"/>
    <cellStyle name="40% - Accent3 2 4 17 2" xfId="35533"/>
    <cellStyle name="40% - Accent3 2 4 18" xfId="13414"/>
    <cellStyle name="40% - Accent3 2 4 18 2" xfId="36189"/>
    <cellStyle name="40% - Accent3 2 4 19" xfId="14070"/>
    <cellStyle name="40% - Accent3 2 4 19 2" xfId="36845"/>
    <cellStyle name="40% - Accent3 2 4 2" xfId="1278"/>
    <cellStyle name="40% - Accent3 2 4 2 2" xfId="3574"/>
    <cellStyle name="40% - Accent3 2 4 2 2 2" xfId="26349"/>
    <cellStyle name="40% - Accent3 2 4 2 3" xfId="24053"/>
    <cellStyle name="40% - Accent3 2 4 20" xfId="14726"/>
    <cellStyle name="40% - Accent3 2 4 20 2" xfId="37501"/>
    <cellStyle name="40% - Accent3 2 4 21" xfId="15382"/>
    <cellStyle name="40% - Accent3 2 4 21 2" xfId="38157"/>
    <cellStyle name="40% - Accent3 2 4 22" xfId="16038"/>
    <cellStyle name="40% - Accent3 2 4 22 2" xfId="38813"/>
    <cellStyle name="40% - Accent3 2 4 23" xfId="16694"/>
    <cellStyle name="40% - Accent3 2 4 23 2" xfId="39469"/>
    <cellStyle name="40% - Accent3 2 4 24" xfId="17350"/>
    <cellStyle name="40% - Accent3 2 4 24 2" xfId="40125"/>
    <cellStyle name="40% - Accent3 2 4 25" xfId="18006"/>
    <cellStyle name="40% - Accent3 2 4 25 2" xfId="40781"/>
    <cellStyle name="40% - Accent3 2 4 26" xfId="18662"/>
    <cellStyle name="40% - Accent3 2 4 26 2" xfId="41437"/>
    <cellStyle name="40% - Accent3 2 4 27" xfId="19318"/>
    <cellStyle name="40% - Accent3 2 4 27 2" xfId="42093"/>
    <cellStyle name="40% - Accent3 2 4 28" xfId="19974"/>
    <cellStyle name="40% - Accent3 2 4 28 2" xfId="42749"/>
    <cellStyle name="40% - Accent3 2 4 29" xfId="20630"/>
    <cellStyle name="40% - Accent3 2 4 29 2" xfId="43405"/>
    <cellStyle name="40% - Accent3 2 4 3" xfId="1934"/>
    <cellStyle name="40% - Accent3 2 4 3 2" xfId="4230"/>
    <cellStyle name="40% - Accent3 2 4 3 2 2" xfId="27005"/>
    <cellStyle name="40% - Accent3 2 4 3 3" xfId="24709"/>
    <cellStyle name="40% - Accent3 2 4 30" xfId="21286"/>
    <cellStyle name="40% - Accent3 2 4 30 2" xfId="44061"/>
    <cellStyle name="40% - Accent3 2 4 31" xfId="21942"/>
    <cellStyle name="40% - Accent3 2 4 31 2" xfId="44717"/>
    <cellStyle name="40% - Accent3 2 4 32" xfId="22598"/>
    <cellStyle name="40% - Accent3 2 4 32 2" xfId="45373"/>
    <cellStyle name="40% - Accent3 2 4 33" xfId="23397"/>
    <cellStyle name="40% - Accent3 2 4 4" xfId="4886"/>
    <cellStyle name="40% - Accent3 2 4 4 2" xfId="27661"/>
    <cellStyle name="40% - Accent3 2 4 5" xfId="5542"/>
    <cellStyle name="40% - Accent3 2 4 5 2" xfId="28317"/>
    <cellStyle name="40% - Accent3 2 4 6" xfId="6198"/>
    <cellStyle name="40% - Accent3 2 4 6 2" xfId="28973"/>
    <cellStyle name="40% - Accent3 2 4 7" xfId="2918"/>
    <cellStyle name="40% - Accent3 2 4 7 2" xfId="25693"/>
    <cellStyle name="40% - Accent3 2 4 8" xfId="6854"/>
    <cellStyle name="40% - Accent3 2 4 8 2" xfId="29629"/>
    <cellStyle name="40% - Accent3 2 4 9" xfId="7510"/>
    <cellStyle name="40% - Accent3 2 4 9 2" xfId="30285"/>
    <cellStyle name="40% - Accent3 2 5" xfId="295"/>
    <cellStyle name="40% - Accent3 2 5 2" xfId="2590"/>
    <cellStyle name="40% - Accent3 2 5 2 2" xfId="25365"/>
    <cellStyle name="40% - Accent3 2 5 3" xfId="23069"/>
    <cellStyle name="40% - Accent3 2 6" xfId="950"/>
    <cellStyle name="40% - Accent3 2 6 2" xfId="3246"/>
    <cellStyle name="40% - Accent3 2 6 2 2" xfId="26021"/>
    <cellStyle name="40% - Accent3 2 6 3" xfId="23725"/>
    <cellStyle name="40% - Accent3 2 7" xfId="1606"/>
    <cellStyle name="40% - Accent3 2 7 2" xfId="3902"/>
    <cellStyle name="40% - Accent3 2 7 2 2" xfId="26677"/>
    <cellStyle name="40% - Accent3 2 7 3" xfId="24381"/>
    <cellStyle name="40% - Accent3 2 8" xfId="4558"/>
    <cellStyle name="40% - Accent3 2 8 2" xfId="27333"/>
    <cellStyle name="40% - Accent3 2 9" xfId="5214"/>
    <cellStyle name="40% - Accent3 2 9 2" xfId="27989"/>
    <cellStyle name="40% - Accent3 20" xfId="7166"/>
    <cellStyle name="40% - Accent3 20 2" xfId="29941"/>
    <cellStyle name="40% - Accent3 21" xfId="7822"/>
    <cellStyle name="40% - Accent3 21 2" xfId="30597"/>
    <cellStyle name="40% - Accent3 22" xfId="8478"/>
    <cellStyle name="40% - Accent3 22 2" xfId="31253"/>
    <cellStyle name="40% - Accent3 23" xfId="9134"/>
    <cellStyle name="40% - Accent3 23 2" xfId="31909"/>
    <cellStyle name="40% - Accent3 24" xfId="9790"/>
    <cellStyle name="40% - Accent3 24 2" xfId="32565"/>
    <cellStyle name="40% - Accent3 25" xfId="10446"/>
    <cellStyle name="40% - Accent3 25 2" xfId="33221"/>
    <cellStyle name="40% - Accent3 26" xfId="11102"/>
    <cellStyle name="40% - Accent3 26 2" xfId="33877"/>
    <cellStyle name="40% - Accent3 27" xfId="11758"/>
    <cellStyle name="40% - Accent3 27 2" xfId="34533"/>
    <cellStyle name="40% - Accent3 28" xfId="12414"/>
    <cellStyle name="40% - Accent3 28 2" xfId="35189"/>
    <cellStyle name="40% - Accent3 29" xfId="13070"/>
    <cellStyle name="40% - Accent3 29 2" xfId="35845"/>
    <cellStyle name="40% - Accent3 3" xfId="58"/>
    <cellStyle name="40% - Accent3 3 10" xfId="5885"/>
    <cellStyle name="40% - Accent3 3 10 2" xfId="28660"/>
    <cellStyle name="40% - Accent3 3 11" xfId="2277"/>
    <cellStyle name="40% - Accent3 3 11 2" xfId="25052"/>
    <cellStyle name="40% - Accent3 3 12" xfId="6541"/>
    <cellStyle name="40% - Accent3 3 12 2" xfId="29316"/>
    <cellStyle name="40% - Accent3 3 13" xfId="7197"/>
    <cellStyle name="40% - Accent3 3 13 2" xfId="29972"/>
    <cellStyle name="40% - Accent3 3 14" xfId="7853"/>
    <cellStyle name="40% - Accent3 3 14 2" xfId="30628"/>
    <cellStyle name="40% - Accent3 3 15" xfId="8509"/>
    <cellStyle name="40% - Accent3 3 15 2" xfId="31284"/>
    <cellStyle name="40% - Accent3 3 16" xfId="9165"/>
    <cellStyle name="40% - Accent3 3 16 2" xfId="31940"/>
    <cellStyle name="40% - Accent3 3 17" xfId="9821"/>
    <cellStyle name="40% - Accent3 3 17 2" xfId="32596"/>
    <cellStyle name="40% - Accent3 3 18" xfId="10477"/>
    <cellStyle name="40% - Accent3 3 18 2" xfId="33252"/>
    <cellStyle name="40% - Accent3 3 19" xfId="11133"/>
    <cellStyle name="40% - Accent3 3 19 2" xfId="33908"/>
    <cellStyle name="40% - Accent3 3 2" xfId="136"/>
    <cellStyle name="40% - Accent3 3 2 10" xfId="2332"/>
    <cellStyle name="40% - Accent3 3 2 10 2" xfId="25107"/>
    <cellStyle name="40% - Accent3 3 2 11" xfId="6596"/>
    <cellStyle name="40% - Accent3 3 2 11 2" xfId="29371"/>
    <cellStyle name="40% - Accent3 3 2 12" xfId="7252"/>
    <cellStyle name="40% - Accent3 3 2 12 2" xfId="30027"/>
    <cellStyle name="40% - Accent3 3 2 13" xfId="7908"/>
    <cellStyle name="40% - Accent3 3 2 13 2" xfId="30683"/>
    <cellStyle name="40% - Accent3 3 2 14" xfId="8564"/>
    <cellStyle name="40% - Accent3 3 2 14 2" xfId="31339"/>
    <cellStyle name="40% - Accent3 3 2 15" xfId="9220"/>
    <cellStyle name="40% - Accent3 3 2 15 2" xfId="31995"/>
    <cellStyle name="40% - Accent3 3 2 16" xfId="9876"/>
    <cellStyle name="40% - Accent3 3 2 16 2" xfId="32651"/>
    <cellStyle name="40% - Accent3 3 2 17" xfId="10532"/>
    <cellStyle name="40% - Accent3 3 2 17 2" xfId="33307"/>
    <cellStyle name="40% - Accent3 3 2 18" xfId="11188"/>
    <cellStyle name="40% - Accent3 3 2 18 2" xfId="33963"/>
    <cellStyle name="40% - Accent3 3 2 19" xfId="11844"/>
    <cellStyle name="40% - Accent3 3 2 19 2" xfId="34619"/>
    <cellStyle name="40% - Accent3 3 2 2" xfId="548"/>
    <cellStyle name="40% - Accent3 3 2 2 10" xfId="6781"/>
    <cellStyle name="40% - Accent3 3 2 2 10 2" xfId="29556"/>
    <cellStyle name="40% - Accent3 3 2 2 11" xfId="7437"/>
    <cellStyle name="40% - Accent3 3 2 2 11 2" xfId="30212"/>
    <cellStyle name="40% - Accent3 3 2 2 12" xfId="8093"/>
    <cellStyle name="40% - Accent3 3 2 2 12 2" xfId="30868"/>
    <cellStyle name="40% - Accent3 3 2 2 13" xfId="8749"/>
    <cellStyle name="40% - Accent3 3 2 2 13 2" xfId="31524"/>
    <cellStyle name="40% - Accent3 3 2 2 14" xfId="9405"/>
    <cellStyle name="40% - Accent3 3 2 2 14 2" xfId="32180"/>
    <cellStyle name="40% - Accent3 3 2 2 15" xfId="10061"/>
    <cellStyle name="40% - Accent3 3 2 2 15 2" xfId="32836"/>
    <cellStyle name="40% - Accent3 3 2 2 16" xfId="10717"/>
    <cellStyle name="40% - Accent3 3 2 2 16 2" xfId="33492"/>
    <cellStyle name="40% - Accent3 3 2 2 17" xfId="11373"/>
    <cellStyle name="40% - Accent3 3 2 2 17 2" xfId="34148"/>
    <cellStyle name="40% - Accent3 3 2 2 18" xfId="12029"/>
    <cellStyle name="40% - Accent3 3 2 2 18 2" xfId="34804"/>
    <cellStyle name="40% - Accent3 3 2 2 19" xfId="12685"/>
    <cellStyle name="40% - Accent3 3 2 2 19 2" xfId="35460"/>
    <cellStyle name="40% - Accent3 3 2 2 2" xfId="877"/>
    <cellStyle name="40% - Accent3 3 2 2 2 10" xfId="8421"/>
    <cellStyle name="40% - Accent3 3 2 2 2 10 2" xfId="31196"/>
    <cellStyle name="40% - Accent3 3 2 2 2 11" xfId="9077"/>
    <cellStyle name="40% - Accent3 3 2 2 2 11 2" xfId="31852"/>
    <cellStyle name="40% - Accent3 3 2 2 2 12" xfId="9733"/>
    <cellStyle name="40% - Accent3 3 2 2 2 12 2" xfId="32508"/>
    <cellStyle name="40% - Accent3 3 2 2 2 13" xfId="10389"/>
    <cellStyle name="40% - Accent3 3 2 2 2 13 2" xfId="33164"/>
    <cellStyle name="40% - Accent3 3 2 2 2 14" xfId="11045"/>
    <cellStyle name="40% - Accent3 3 2 2 2 14 2" xfId="33820"/>
    <cellStyle name="40% - Accent3 3 2 2 2 15" xfId="11701"/>
    <cellStyle name="40% - Accent3 3 2 2 2 15 2" xfId="34476"/>
    <cellStyle name="40% - Accent3 3 2 2 2 16" xfId="12357"/>
    <cellStyle name="40% - Accent3 3 2 2 2 16 2" xfId="35132"/>
    <cellStyle name="40% - Accent3 3 2 2 2 17" xfId="13013"/>
    <cellStyle name="40% - Accent3 3 2 2 2 17 2" xfId="35788"/>
    <cellStyle name="40% - Accent3 3 2 2 2 18" xfId="13669"/>
    <cellStyle name="40% - Accent3 3 2 2 2 18 2" xfId="36444"/>
    <cellStyle name="40% - Accent3 3 2 2 2 19" xfId="14325"/>
    <cellStyle name="40% - Accent3 3 2 2 2 19 2" xfId="37100"/>
    <cellStyle name="40% - Accent3 3 2 2 2 2" xfId="1533"/>
    <cellStyle name="40% - Accent3 3 2 2 2 2 2" xfId="3829"/>
    <cellStyle name="40% - Accent3 3 2 2 2 2 2 2" xfId="26604"/>
    <cellStyle name="40% - Accent3 3 2 2 2 2 3" xfId="24308"/>
    <cellStyle name="40% - Accent3 3 2 2 2 20" xfId="14981"/>
    <cellStyle name="40% - Accent3 3 2 2 2 20 2" xfId="37756"/>
    <cellStyle name="40% - Accent3 3 2 2 2 21" xfId="15637"/>
    <cellStyle name="40% - Accent3 3 2 2 2 21 2" xfId="38412"/>
    <cellStyle name="40% - Accent3 3 2 2 2 22" xfId="16293"/>
    <cellStyle name="40% - Accent3 3 2 2 2 22 2" xfId="39068"/>
    <cellStyle name="40% - Accent3 3 2 2 2 23" xfId="16949"/>
    <cellStyle name="40% - Accent3 3 2 2 2 23 2" xfId="39724"/>
    <cellStyle name="40% - Accent3 3 2 2 2 24" xfId="17605"/>
    <cellStyle name="40% - Accent3 3 2 2 2 24 2" xfId="40380"/>
    <cellStyle name="40% - Accent3 3 2 2 2 25" xfId="18261"/>
    <cellStyle name="40% - Accent3 3 2 2 2 25 2" xfId="41036"/>
    <cellStyle name="40% - Accent3 3 2 2 2 26" xfId="18917"/>
    <cellStyle name="40% - Accent3 3 2 2 2 26 2" xfId="41692"/>
    <cellStyle name="40% - Accent3 3 2 2 2 27" xfId="19573"/>
    <cellStyle name="40% - Accent3 3 2 2 2 27 2" xfId="42348"/>
    <cellStyle name="40% - Accent3 3 2 2 2 28" xfId="20229"/>
    <cellStyle name="40% - Accent3 3 2 2 2 28 2" xfId="43004"/>
    <cellStyle name="40% - Accent3 3 2 2 2 29" xfId="20885"/>
    <cellStyle name="40% - Accent3 3 2 2 2 29 2" xfId="43660"/>
    <cellStyle name="40% - Accent3 3 2 2 2 3" xfId="2189"/>
    <cellStyle name="40% - Accent3 3 2 2 2 3 2" xfId="4485"/>
    <cellStyle name="40% - Accent3 3 2 2 2 3 2 2" xfId="27260"/>
    <cellStyle name="40% - Accent3 3 2 2 2 3 3" xfId="24964"/>
    <cellStyle name="40% - Accent3 3 2 2 2 30" xfId="21541"/>
    <cellStyle name="40% - Accent3 3 2 2 2 30 2" xfId="44316"/>
    <cellStyle name="40% - Accent3 3 2 2 2 31" xfId="22197"/>
    <cellStyle name="40% - Accent3 3 2 2 2 31 2" xfId="44972"/>
    <cellStyle name="40% - Accent3 3 2 2 2 32" xfId="22853"/>
    <cellStyle name="40% - Accent3 3 2 2 2 32 2" xfId="45628"/>
    <cellStyle name="40% - Accent3 3 2 2 2 33" xfId="23652"/>
    <cellStyle name="40% - Accent3 3 2 2 2 4" xfId="5141"/>
    <cellStyle name="40% - Accent3 3 2 2 2 4 2" xfId="27916"/>
    <cellStyle name="40% - Accent3 3 2 2 2 5" xfId="5797"/>
    <cellStyle name="40% - Accent3 3 2 2 2 5 2" xfId="28572"/>
    <cellStyle name="40% - Accent3 3 2 2 2 6" xfId="6453"/>
    <cellStyle name="40% - Accent3 3 2 2 2 6 2" xfId="29228"/>
    <cellStyle name="40% - Accent3 3 2 2 2 7" xfId="3173"/>
    <cellStyle name="40% - Accent3 3 2 2 2 7 2" xfId="25948"/>
    <cellStyle name="40% - Accent3 3 2 2 2 8" xfId="7109"/>
    <cellStyle name="40% - Accent3 3 2 2 2 8 2" xfId="29884"/>
    <cellStyle name="40% - Accent3 3 2 2 2 9" xfId="7765"/>
    <cellStyle name="40% - Accent3 3 2 2 2 9 2" xfId="30540"/>
    <cellStyle name="40% - Accent3 3 2 2 20" xfId="13341"/>
    <cellStyle name="40% - Accent3 3 2 2 20 2" xfId="36116"/>
    <cellStyle name="40% - Accent3 3 2 2 21" xfId="13997"/>
    <cellStyle name="40% - Accent3 3 2 2 21 2" xfId="36772"/>
    <cellStyle name="40% - Accent3 3 2 2 22" xfId="14653"/>
    <cellStyle name="40% - Accent3 3 2 2 22 2" xfId="37428"/>
    <cellStyle name="40% - Accent3 3 2 2 23" xfId="15309"/>
    <cellStyle name="40% - Accent3 3 2 2 23 2" xfId="38084"/>
    <cellStyle name="40% - Accent3 3 2 2 24" xfId="15965"/>
    <cellStyle name="40% - Accent3 3 2 2 24 2" xfId="38740"/>
    <cellStyle name="40% - Accent3 3 2 2 25" xfId="16621"/>
    <cellStyle name="40% - Accent3 3 2 2 25 2" xfId="39396"/>
    <cellStyle name="40% - Accent3 3 2 2 26" xfId="17277"/>
    <cellStyle name="40% - Accent3 3 2 2 26 2" xfId="40052"/>
    <cellStyle name="40% - Accent3 3 2 2 27" xfId="17933"/>
    <cellStyle name="40% - Accent3 3 2 2 27 2" xfId="40708"/>
    <cellStyle name="40% - Accent3 3 2 2 28" xfId="18589"/>
    <cellStyle name="40% - Accent3 3 2 2 28 2" xfId="41364"/>
    <cellStyle name="40% - Accent3 3 2 2 29" xfId="19245"/>
    <cellStyle name="40% - Accent3 3 2 2 29 2" xfId="42020"/>
    <cellStyle name="40% - Accent3 3 2 2 3" xfId="1205"/>
    <cellStyle name="40% - Accent3 3 2 2 3 2" xfId="2845"/>
    <cellStyle name="40% - Accent3 3 2 2 3 2 2" xfId="25620"/>
    <cellStyle name="40% - Accent3 3 2 2 3 3" xfId="23980"/>
    <cellStyle name="40% - Accent3 3 2 2 30" xfId="19901"/>
    <cellStyle name="40% - Accent3 3 2 2 30 2" xfId="42676"/>
    <cellStyle name="40% - Accent3 3 2 2 31" xfId="20557"/>
    <cellStyle name="40% - Accent3 3 2 2 31 2" xfId="43332"/>
    <cellStyle name="40% - Accent3 3 2 2 32" xfId="21213"/>
    <cellStyle name="40% - Accent3 3 2 2 32 2" xfId="43988"/>
    <cellStyle name="40% - Accent3 3 2 2 33" xfId="21869"/>
    <cellStyle name="40% - Accent3 3 2 2 33 2" xfId="44644"/>
    <cellStyle name="40% - Accent3 3 2 2 34" xfId="22525"/>
    <cellStyle name="40% - Accent3 3 2 2 34 2" xfId="45300"/>
    <cellStyle name="40% - Accent3 3 2 2 35" xfId="23324"/>
    <cellStyle name="40% - Accent3 3 2 2 4" xfId="1861"/>
    <cellStyle name="40% - Accent3 3 2 2 4 2" xfId="3501"/>
    <cellStyle name="40% - Accent3 3 2 2 4 2 2" xfId="26276"/>
    <cellStyle name="40% - Accent3 3 2 2 4 3" xfId="24636"/>
    <cellStyle name="40% - Accent3 3 2 2 5" xfId="4157"/>
    <cellStyle name="40% - Accent3 3 2 2 5 2" xfId="26932"/>
    <cellStyle name="40% - Accent3 3 2 2 6" xfId="4813"/>
    <cellStyle name="40% - Accent3 3 2 2 6 2" xfId="27588"/>
    <cellStyle name="40% - Accent3 3 2 2 7" xfId="5469"/>
    <cellStyle name="40% - Accent3 3 2 2 7 2" xfId="28244"/>
    <cellStyle name="40% - Accent3 3 2 2 8" xfId="6125"/>
    <cellStyle name="40% - Accent3 3 2 2 8 2" xfId="28900"/>
    <cellStyle name="40% - Accent3 3 2 2 9" xfId="2517"/>
    <cellStyle name="40% - Accent3 3 2 2 9 2" xfId="25292"/>
    <cellStyle name="40% - Accent3 3 2 20" xfId="12500"/>
    <cellStyle name="40% - Accent3 3 2 20 2" xfId="35275"/>
    <cellStyle name="40% - Accent3 3 2 21" xfId="13156"/>
    <cellStyle name="40% - Accent3 3 2 21 2" xfId="35931"/>
    <cellStyle name="40% - Accent3 3 2 22" xfId="13812"/>
    <cellStyle name="40% - Accent3 3 2 22 2" xfId="36587"/>
    <cellStyle name="40% - Accent3 3 2 23" xfId="14468"/>
    <cellStyle name="40% - Accent3 3 2 23 2" xfId="37243"/>
    <cellStyle name="40% - Accent3 3 2 24" xfId="15124"/>
    <cellStyle name="40% - Accent3 3 2 24 2" xfId="37899"/>
    <cellStyle name="40% - Accent3 3 2 25" xfId="15780"/>
    <cellStyle name="40% - Accent3 3 2 25 2" xfId="38555"/>
    <cellStyle name="40% - Accent3 3 2 26" xfId="16436"/>
    <cellStyle name="40% - Accent3 3 2 26 2" xfId="39211"/>
    <cellStyle name="40% - Accent3 3 2 27" xfId="17092"/>
    <cellStyle name="40% - Accent3 3 2 27 2" xfId="39867"/>
    <cellStyle name="40% - Accent3 3 2 28" xfId="17748"/>
    <cellStyle name="40% - Accent3 3 2 28 2" xfId="40523"/>
    <cellStyle name="40% - Accent3 3 2 29" xfId="18404"/>
    <cellStyle name="40% - Accent3 3 2 29 2" xfId="41179"/>
    <cellStyle name="40% - Accent3 3 2 3" xfId="692"/>
    <cellStyle name="40% - Accent3 3 2 3 10" xfId="8236"/>
    <cellStyle name="40% - Accent3 3 2 3 10 2" xfId="31011"/>
    <cellStyle name="40% - Accent3 3 2 3 11" xfId="8892"/>
    <cellStyle name="40% - Accent3 3 2 3 11 2" xfId="31667"/>
    <cellStyle name="40% - Accent3 3 2 3 12" xfId="9548"/>
    <cellStyle name="40% - Accent3 3 2 3 12 2" xfId="32323"/>
    <cellStyle name="40% - Accent3 3 2 3 13" xfId="10204"/>
    <cellStyle name="40% - Accent3 3 2 3 13 2" xfId="32979"/>
    <cellStyle name="40% - Accent3 3 2 3 14" xfId="10860"/>
    <cellStyle name="40% - Accent3 3 2 3 14 2" xfId="33635"/>
    <cellStyle name="40% - Accent3 3 2 3 15" xfId="11516"/>
    <cellStyle name="40% - Accent3 3 2 3 15 2" xfId="34291"/>
    <cellStyle name="40% - Accent3 3 2 3 16" xfId="12172"/>
    <cellStyle name="40% - Accent3 3 2 3 16 2" xfId="34947"/>
    <cellStyle name="40% - Accent3 3 2 3 17" xfId="12828"/>
    <cellStyle name="40% - Accent3 3 2 3 17 2" xfId="35603"/>
    <cellStyle name="40% - Accent3 3 2 3 18" xfId="13484"/>
    <cellStyle name="40% - Accent3 3 2 3 18 2" xfId="36259"/>
    <cellStyle name="40% - Accent3 3 2 3 19" xfId="14140"/>
    <cellStyle name="40% - Accent3 3 2 3 19 2" xfId="36915"/>
    <cellStyle name="40% - Accent3 3 2 3 2" xfId="1348"/>
    <cellStyle name="40% - Accent3 3 2 3 2 2" xfId="3644"/>
    <cellStyle name="40% - Accent3 3 2 3 2 2 2" xfId="26419"/>
    <cellStyle name="40% - Accent3 3 2 3 2 3" xfId="24123"/>
    <cellStyle name="40% - Accent3 3 2 3 20" xfId="14796"/>
    <cellStyle name="40% - Accent3 3 2 3 20 2" xfId="37571"/>
    <cellStyle name="40% - Accent3 3 2 3 21" xfId="15452"/>
    <cellStyle name="40% - Accent3 3 2 3 21 2" xfId="38227"/>
    <cellStyle name="40% - Accent3 3 2 3 22" xfId="16108"/>
    <cellStyle name="40% - Accent3 3 2 3 22 2" xfId="38883"/>
    <cellStyle name="40% - Accent3 3 2 3 23" xfId="16764"/>
    <cellStyle name="40% - Accent3 3 2 3 23 2" xfId="39539"/>
    <cellStyle name="40% - Accent3 3 2 3 24" xfId="17420"/>
    <cellStyle name="40% - Accent3 3 2 3 24 2" xfId="40195"/>
    <cellStyle name="40% - Accent3 3 2 3 25" xfId="18076"/>
    <cellStyle name="40% - Accent3 3 2 3 25 2" xfId="40851"/>
    <cellStyle name="40% - Accent3 3 2 3 26" xfId="18732"/>
    <cellStyle name="40% - Accent3 3 2 3 26 2" xfId="41507"/>
    <cellStyle name="40% - Accent3 3 2 3 27" xfId="19388"/>
    <cellStyle name="40% - Accent3 3 2 3 27 2" xfId="42163"/>
    <cellStyle name="40% - Accent3 3 2 3 28" xfId="20044"/>
    <cellStyle name="40% - Accent3 3 2 3 28 2" xfId="42819"/>
    <cellStyle name="40% - Accent3 3 2 3 29" xfId="20700"/>
    <cellStyle name="40% - Accent3 3 2 3 29 2" xfId="43475"/>
    <cellStyle name="40% - Accent3 3 2 3 3" xfId="2004"/>
    <cellStyle name="40% - Accent3 3 2 3 3 2" xfId="4300"/>
    <cellStyle name="40% - Accent3 3 2 3 3 2 2" xfId="27075"/>
    <cellStyle name="40% - Accent3 3 2 3 3 3" xfId="24779"/>
    <cellStyle name="40% - Accent3 3 2 3 30" xfId="21356"/>
    <cellStyle name="40% - Accent3 3 2 3 30 2" xfId="44131"/>
    <cellStyle name="40% - Accent3 3 2 3 31" xfId="22012"/>
    <cellStyle name="40% - Accent3 3 2 3 31 2" xfId="44787"/>
    <cellStyle name="40% - Accent3 3 2 3 32" xfId="22668"/>
    <cellStyle name="40% - Accent3 3 2 3 32 2" xfId="45443"/>
    <cellStyle name="40% - Accent3 3 2 3 33" xfId="23467"/>
    <cellStyle name="40% - Accent3 3 2 3 4" xfId="4956"/>
    <cellStyle name="40% - Accent3 3 2 3 4 2" xfId="27731"/>
    <cellStyle name="40% - Accent3 3 2 3 5" xfId="5612"/>
    <cellStyle name="40% - Accent3 3 2 3 5 2" xfId="28387"/>
    <cellStyle name="40% - Accent3 3 2 3 6" xfId="6268"/>
    <cellStyle name="40% - Accent3 3 2 3 6 2" xfId="29043"/>
    <cellStyle name="40% - Accent3 3 2 3 7" xfId="2988"/>
    <cellStyle name="40% - Accent3 3 2 3 7 2" xfId="25763"/>
    <cellStyle name="40% - Accent3 3 2 3 8" xfId="6924"/>
    <cellStyle name="40% - Accent3 3 2 3 8 2" xfId="29699"/>
    <cellStyle name="40% - Accent3 3 2 3 9" xfId="7580"/>
    <cellStyle name="40% - Accent3 3 2 3 9 2" xfId="30355"/>
    <cellStyle name="40% - Accent3 3 2 30" xfId="19060"/>
    <cellStyle name="40% - Accent3 3 2 30 2" xfId="41835"/>
    <cellStyle name="40% - Accent3 3 2 31" xfId="19716"/>
    <cellStyle name="40% - Accent3 3 2 31 2" xfId="42491"/>
    <cellStyle name="40% - Accent3 3 2 32" xfId="20372"/>
    <cellStyle name="40% - Accent3 3 2 32 2" xfId="43147"/>
    <cellStyle name="40% - Accent3 3 2 33" xfId="21028"/>
    <cellStyle name="40% - Accent3 3 2 33 2" xfId="43803"/>
    <cellStyle name="40% - Accent3 3 2 34" xfId="21684"/>
    <cellStyle name="40% - Accent3 3 2 34 2" xfId="44459"/>
    <cellStyle name="40% - Accent3 3 2 35" xfId="22340"/>
    <cellStyle name="40% - Accent3 3 2 35 2" xfId="45115"/>
    <cellStyle name="40% - Accent3 3 2 36" xfId="22996"/>
    <cellStyle name="40% - Accent3 3 2 4" xfId="365"/>
    <cellStyle name="40% - Accent3 3 2 4 2" xfId="2660"/>
    <cellStyle name="40% - Accent3 3 2 4 2 2" xfId="25435"/>
    <cellStyle name="40% - Accent3 3 2 4 3" xfId="23139"/>
    <cellStyle name="40% - Accent3 3 2 5" xfId="1020"/>
    <cellStyle name="40% - Accent3 3 2 5 2" xfId="3316"/>
    <cellStyle name="40% - Accent3 3 2 5 2 2" xfId="26091"/>
    <cellStyle name="40% - Accent3 3 2 5 3" xfId="23795"/>
    <cellStyle name="40% - Accent3 3 2 6" xfId="1676"/>
    <cellStyle name="40% - Accent3 3 2 6 2" xfId="3972"/>
    <cellStyle name="40% - Accent3 3 2 6 2 2" xfId="26747"/>
    <cellStyle name="40% - Accent3 3 2 6 3" xfId="24451"/>
    <cellStyle name="40% - Accent3 3 2 7" xfId="4628"/>
    <cellStyle name="40% - Accent3 3 2 7 2" xfId="27403"/>
    <cellStyle name="40% - Accent3 3 2 8" xfId="5284"/>
    <cellStyle name="40% - Accent3 3 2 8 2" xfId="28059"/>
    <cellStyle name="40% - Accent3 3 2 9" xfId="5940"/>
    <cellStyle name="40% - Accent3 3 2 9 2" xfId="28715"/>
    <cellStyle name="40% - Accent3 3 20" xfId="11789"/>
    <cellStyle name="40% - Accent3 3 20 2" xfId="34564"/>
    <cellStyle name="40% - Accent3 3 21" xfId="12445"/>
    <cellStyle name="40% - Accent3 3 21 2" xfId="35220"/>
    <cellStyle name="40% - Accent3 3 22" xfId="13101"/>
    <cellStyle name="40% - Accent3 3 22 2" xfId="35876"/>
    <cellStyle name="40% - Accent3 3 23" xfId="13757"/>
    <cellStyle name="40% - Accent3 3 23 2" xfId="36532"/>
    <cellStyle name="40% - Accent3 3 24" xfId="14413"/>
    <cellStyle name="40% - Accent3 3 24 2" xfId="37188"/>
    <cellStyle name="40% - Accent3 3 25" xfId="15069"/>
    <cellStyle name="40% - Accent3 3 25 2" xfId="37844"/>
    <cellStyle name="40% - Accent3 3 26" xfId="15725"/>
    <cellStyle name="40% - Accent3 3 26 2" xfId="38500"/>
    <cellStyle name="40% - Accent3 3 27" xfId="16381"/>
    <cellStyle name="40% - Accent3 3 27 2" xfId="39156"/>
    <cellStyle name="40% - Accent3 3 28" xfId="17037"/>
    <cellStyle name="40% - Accent3 3 28 2" xfId="39812"/>
    <cellStyle name="40% - Accent3 3 29" xfId="17693"/>
    <cellStyle name="40% - Accent3 3 29 2" xfId="40468"/>
    <cellStyle name="40% - Accent3 3 3" xfId="494"/>
    <cellStyle name="40% - Accent3 3 3 10" xfId="6726"/>
    <cellStyle name="40% - Accent3 3 3 10 2" xfId="29501"/>
    <cellStyle name="40% - Accent3 3 3 11" xfId="7382"/>
    <cellStyle name="40% - Accent3 3 3 11 2" xfId="30157"/>
    <cellStyle name="40% - Accent3 3 3 12" xfId="8038"/>
    <cellStyle name="40% - Accent3 3 3 12 2" xfId="30813"/>
    <cellStyle name="40% - Accent3 3 3 13" xfId="8694"/>
    <cellStyle name="40% - Accent3 3 3 13 2" xfId="31469"/>
    <cellStyle name="40% - Accent3 3 3 14" xfId="9350"/>
    <cellStyle name="40% - Accent3 3 3 14 2" xfId="32125"/>
    <cellStyle name="40% - Accent3 3 3 15" xfId="10006"/>
    <cellStyle name="40% - Accent3 3 3 15 2" xfId="32781"/>
    <cellStyle name="40% - Accent3 3 3 16" xfId="10662"/>
    <cellStyle name="40% - Accent3 3 3 16 2" xfId="33437"/>
    <cellStyle name="40% - Accent3 3 3 17" xfId="11318"/>
    <cellStyle name="40% - Accent3 3 3 17 2" xfId="34093"/>
    <cellStyle name="40% - Accent3 3 3 18" xfId="11974"/>
    <cellStyle name="40% - Accent3 3 3 18 2" xfId="34749"/>
    <cellStyle name="40% - Accent3 3 3 19" xfId="12630"/>
    <cellStyle name="40% - Accent3 3 3 19 2" xfId="35405"/>
    <cellStyle name="40% - Accent3 3 3 2" xfId="822"/>
    <cellStyle name="40% - Accent3 3 3 2 10" xfId="8366"/>
    <cellStyle name="40% - Accent3 3 3 2 10 2" xfId="31141"/>
    <cellStyle name="40% - Accent3 3 3 2 11" xfId="9022"/>
    <cellStyle name="40% - Accent3 3 3 2 11 2" xfId="31797"/>
    <cellStyle name="40% - Accent3 3 3 2 12" xfId="9678"/>
    <cellStyle name="40% - Accent3 3 3 2 12 2" xfId="32453"/>
    <cellStyle name="40% - Accent3 3 3 2 13" xfId="10334"/>
    <cellStyle name="40% - Accent3 3 3 2 13 2" xfId="33109"/>
    <cellStyle name="40% - Accent3 3 3 2 14" xfId="10990"/>
    <cellStyle name="40% - Accent3 3 3 2 14 2" xfId="33765"/>
    <cellStyle name="40% - Accent3 3 3 2 15" xfId="11646"/>
    <cellStyle name="40% - Accent3 3 3 2 15 2" xfId="34421"/>
    <cellStyle name="40% - Accent3 3 3 2 16" xfId="12302"/>
    <cellStyle name="40% - Accent3 3 3 2 16 2" xfId="35077"/>
    <cellStyle name="40% - Accent3 3 3 2 17" xfId="12958"/>
    <cellStyle name="40% - Accent3 3 3 2 17 2" xfId="35733"/>
    <cellStyle name="40% - Accent3 3 3 2 18" xfId="13614"/>
    <cellStyle name="40% - Accent3 3 3 2 18 2" xfId="36389"/>
    <cellStyle name="40% - Accent3 3 3 2 19" xfId="14270"/>
    <cellStyle name="40% - Accent3 3 3 2 19 2" xfId="37045"/>
    <cellStyle name="40% - Accent3 3 3 2 2" xfId="1478"/>
    <cellStyle name="40% - Accent3 3 3 2 2 2" xfId="3774"/>
    <cellStyle name="40% - Accent3 3 3 2 2 2 2" xfId="26549"/>
    <cellStyle name="40% - Accent3 3 3 2 2 3" xfId="24253"/>
    <cellStyle name="40% - Accent3 3 3 2 20" xfId="14926"/>
    <cellStyle name="40% - Accent3 3 3 2 20 2" xfId="37701"/>
    <cellStyle name="40% - Accent3 3 3 2 21" xfId="15582"/>
    <cellStyle name="40% - Accent3 3 3 2 21 2" xfId="38357"/>
    <cellStyle name="40% - Accent3 3 3 2 22" xfId="16238"/>
    <cellStyle name="40% - Accent3 3 3 2 22 2" xfId="39013"/>
    <cellStyle name="40% - Accent3 3 3 2 23" xfId="16894"/>
    <cellStyle name="40% - Accent3 3 3 2 23 2" xfId="39669"/>
    <cellStyle name="40% - Accent3 3 3 2 24" xfId="17550"/>
    <cellStyle name="40% - Accent3 3 3 2 24 2" xfId="40325"/>
    <cellStyle name="40% - Accent3 3 3 2 25" xfId="18206"/>
    <cellStyle name="40% - Accent3 3 3 2 25 2" xfId="40981"/>
    <cellStyle name="40% - Accent3 3 3 2 26" xfId="18862"/>
    <cellStyle name="40% - Accent3 3 3 2 26 2" xfId="41637"/>
    <cellStyle name="40% - Accent3 3 3 2 27" xfId="19518"/>
    <cellStyle name="40% - Accent3 3 3 2 27 2" xfId="42293"/>
    <cellStyle name="40% - Accent3 3 3 2 28" xfId="20174"/>
    <cellStyle name="40% - Accent3 3 3 2 28 2" xfId="42949"/>
    <cellStyle name="40% - Accent3 3 3 2 29" xfId="20830"/>
    <cellStyle name="40% - Accent3 3 3 2 29 2" xfId="43605"/>
    <cellStyle name="40% - Accent3 3 3 2 3" xfId="2134"/>
    <cellStyle name="40% - Accent3 3 3 2 3 2" xfId="4430"/>
    <cellStyle name="40% - Accent3 3 3 2 3 2 2" xfId="27205"/>
    <cellStyle name="40% - Accent3 3 3 2 3 3" xfId="24909"/>
    <cellStyle name="40% - Accent3 3 3 2 30" xfId="21486"/>
    <cellStyle name="40% - Accent3 3 3 2 30 2" xfId="44261"/>
    <cellStyle name="40% - Accent3 3 3 2 31" xfId="22142"/>
    <cellStyle name="40% - Accent3 3 3 2 31 2" xfId="44917"/>
    <cellStyle name="40% - Accent3 3 3 2 32" xfId="22798"/>
    <cellStyle name="40% - Accent3 3 3 2 32 2" xfId="45573"/>
    <cellStyle name="40% - Accent3 3 3 2 33" xfId="23597"/>
    <cellStyle name="40% - Accent3 3 3 2 4" xfId="5086"/>
    <cellStyle name="40% - Accent3 3 3 2 4 2" xfId="27861"/>
    <cellStyle name="40% - Accent3 3 3 2 5" xfId="5742"/>
    <cellStyle name="40% - Accent3 3 3 2 5 2" xfId="28517"/>
    <cellStyle name="40% - Accent3 3 3 2 6" xfId="6398"/>
    <cellStyle name="40% - Accent3 3 3 2 6 2" xfId="29173"/>
    <cellStyle name="40% - Accent3 3 3 2 7" xfId="3118"/>
    <cellStyle name="40% - Accent3 3 3 2 7 2" xfId="25893"/>
    <cellStyle name="40% - Accent3 3 3 2 8" xfId="7054"/>
    <cellStyle name="40% - Accent3 3 3 2 8 2" xfId="29829"/>
    <cellStyle name="40% - Accent3 3 3 2 9" xfId="7710"/>
    <cellStyle name="40% - Accent3 3 3 2 9 2" xfId="30485"/>
    <cellStyle name="40% - Accent3 3 3 20" xfId="13286"/>
    <cellStyle name="40% - Accent3 3 3 20 2" xfId="36061"/>
    <cellStyle name="40% - Accent3 3 3 21" xfId="13942"/>
    <cellStyle name="40% - Accent3 3 3 21 2" xfId="36717"/>
    <cellStyle name="40% - Accent3 3 3 22" xfId="14598"/>
    <cellStyle name="40% - Accent3 3 3 22 2" xfId="37373"/>
    <cellStyle name="40% - Accent3 3 3 23" xfId="15254"/>
    <cellStyle name="40% - Accent3 3 3 23 2" xfId="38029"/>
    <cellStyle name="40% - Accent3 3 3 24" xfId="15910"/>
    <cellStyle name="40% - Accent3 3 3 24 2" xfId="38685"/>
    <cellStyle name="40% - Accent3 3 3 25" xfId="16566"/>
    <cellStyle name="40% - Accent3 3 3 25 2" xfId="39341"/>
    <cellStyle name="40% - Accent3 3 3 26" xfId="17222"/>
    <cellStyle name="40% - Accent3 3 3 26 2" xfId="39997"/>
    <cellStyle name="40% - Accent3 3 3 27" xfId="17878"/>
    <cellStyle name="40% - Accent3 3 3 27 2" xfId="40653"/>
    <cellStyle name="40% - Accent3 3 3 28" xfId="18534"/>
    <cellStyle name="40% - Accent3 3 3 28 2" xfId="41309"/>
    <cellStyle name="40% - Accent3 3 3 29" xfId="19190"/>
    <cellStyle name="40% - Accent3 3 3 29 2" xfId="41965"/>
    <cellStyle name="40% - Accent3 3 3 3" xfId="1150"/>
    <cellStyle name="40% - Accent3 3 3 3 2" xfId="2790"/>
    <cellStyle name="40% - Accent3 3 3 3 2 2" xfId="25565"/>
    <cellStyle name="40% - Accent3 3 3 3 3" xfId="23925"/>
    <cellStyle name="40% - Accent3 3 3 30" xfId="19846"/>
    <cellStyle name="40% - Accent3 3 3 30 2" xfId="42621"/>
    <cellStyle name="40% - Accent3 3 3 31" xfId="20502"/>
    <cellStyle name="40% - Accent3 3 3 31 2" xfId="43277"/>
    <cellStyle name="40% - Accent3 3 3 32" xfId="21158"/>
    <cellStyle name="40% - Accent3 3 3 32 2" xfId="43933"/>
    <cellStyle name="40% - Accent3 3 3 33" xfId="21814"/>
    <cellStyle name="40% - Accent3 3 3 33 2" xfId="44589"/>
    <cellStyle name="40% - Accent3 3 3 34" xfId="22470"/>
    <cellStyle name="40% - Accent3 3 3 34 2" xfId="45245"/>
    <cellStyle name="40% - Accent3 3 3 35" xfId="23269"/>
    <cellStyle name="40% - Accent3 3 3 4" xfId="1806"/>
    <cellStyle name="40% - Accent3 3 3 4 2" xfId="3446"/>
    <cellStyle name="40% - Accent3 3 3 4 2 2" xfId="26221"/>
    <cellStyle name="40% - Accent3 3 3 4 3" xfId="24581"/>
    <cellStyle name="40% - Accent3 3 3 5" xfId="4102"/>
    <cellStyle name="40% - Accent3 3 3 5 2" xfId="26877"/>
    <cellStyle name="40% - Accent3 3 3 6" xfId="4758"/>
    <cellStyle name="40% - Accent3 3 3 6 2" xfId="27533"/>
    <cellStyle name="40% - Accent3 3 3 7" xfId="5414"/>
    <cellStyle name="40% - Accent3 3 3 7 2" xfId="28189"/>
    <cellStyle name="40% - Accent3 3 3 8" xfId="6070"/>
    <cellStyle name="40% - Accent3 3 3 8 2" xfId="28845"/>
    <cellStyle name="40% - Accent3 3 3 9" xfId="2462"/>
    <cellStyle name="40% - Accent3 3 3 9 2" xfId="25237"/>
    <cellStyle name="40% - Accent3 3 30" xfId="18349"/>
    <cellStyle name="40% - Accent3 3 30 2" xfId="41124"/>
    <cellStyle name="40% - Accent3 3 31" xfId="19005"/>
    <cellStyle name="40% - Accent3 3 31 2" xfId="41780"/>
    <cellStyle name="40% - Accent3 3 32" xfId="19661"/>
    <cellStyle name="40% - Accent3 3 32 2" xfId="42436"/>
    <cellStyle name="40% - Accent3 3 33" xfId="20317"/>
    <cellStyle name="40% - Accent3 3 33 2" xfId="43092"/>
    <cellStyle name="40% - Accent3 3 34" xfId="20973"/>
    <cellStyle name="40% - Accent3 3 34 2" xfId="43748"/>
    <cellStyle name="40% - Accent3 3 35" xfId="21629"/>
    <cellStyle name="40% - Accent3 3 35 2" xfId="44404"/>
    <cellStyle name="40% - Accent3 3 36" xfId="22285"/>
    <cellStyle name="40% - Accent3 3 36 2" xfId="45060"/>
    <cellStyle name="40% - Accent3 3 37" xfId="224"/>
    <cellStyle name="40% - Accent3 3 38" xfId="22941"/>
    <cellStyle name="40% - Accent3 3 4" xfId="637"/>
    <cellStyle name="40% - Accent3 3 4 10" xfId="8181"/>
    <cellStyle name="40% - Accent3 3 4 10 2" xfId="30956"/>
    <cellStyle name="40% - Accent3 3 4 11" xfId="8837"/>
    <cellStyle name="40% - Accent3 3 4 11 2" xfId="31612"/>
    <cellStyle name="40% - Accent3 3 4 12" xfId="9493"/>
    <cellStyle name="40% - Accent3 3 4 12 2" xfId="32268"/>
    <cellStyle name="40% - Accent3 3 4 13" xfId="10149"/>
    <cellStyle name="40% - Accent3 3 4 13 2" xfId="32924"/>
    <cellStyle name="40% - Accent3 3 4 14" xfId="10805"/>
    <cellStyle name="40% - Accent3 3 4 14 2" xfId="33580"/>
    <cellStyle name="40% - Accent3 3 4 15" xfId="11461"/>
    <cellStyle name="40% - Accent3 3 4 15 2" xfId="34236"/>
    <cellStyle name="40% - Accent3 3 4 16" xfId="12117"/>
    <cellStyle name="40% - Accent3 3 4 16 2" xfId="34892"/>
    <cellStyle name="40% - Accent3 3 4 17" xfId="12773"/>
    <cellStyle name="40% - Accent3 3 4 17 2" xfId="35548"/>
    <cellStyle name="40% - Accent3 3 4 18" xfId="13429"/>
    <cellStyle name="40% - Accent3 3 4 18 2" xfId="36204"/>
    <cellStyle name="40% - Accent3 3 4 19" xfId="14085"/>
    <cellStyle name="40% - Accent3 3 4 19 2" xfId="36860"/>
    <cellStyle name="40% - Accent3 3 4 2" xfId="1293"/>
    <cellStyle name="40% - Accent3 3 4 2 2" xfId="3589"/>
    <cellStyle name="40% - Accent3 3 4 2 2 2" xfId="26364"/>
    <cellStyle name="40% - Accent3 3 4 2 3" xfId="24068"/>
    <cellStyle name="40% - Accent3 3 4 20" xfId="14741"/>
    <cellStyle name="40% - Accent3 3 4 20 2" xfId="37516"/>
    <cellStyle name="40% - Accent3 3 4 21" xfId="15397"/>
    <cellStyle name="40% - Accent3 3 4 21 2" xfId="38172"/>
    <cellStyle name="40% - Accent3 3 4 22" xfId="16053"/>
    <cellStyle name="40% - Accent3 3 4 22 2" xfId="38828"/>
    <cellStyle name="40% - Accent3 3 4 23" xfId="16709"/>
    <cellStyle name="40% - Accent3 3 4 23 2" xfId="39484"/>
    <cellStyle name="40% - Accent3 3 4 24" xfId="17365"/>
    <cellStyle name="40% - Accent3 3 4 24 2" xfId="40140"/>
    <cellStyle name="40% - Accent3 3 4 25" xfId="18021"/>
    <cellStyle name="40% - Accent3 3 4 25 2" xfId="40796"/>
    <cellStyle name="40% - Accent3 3 4 26" xfId="18677"/>
    <cellStyle name="40% - Accent3 3 4 26 2" xfId="41452"/>
    <cellStyle name="40% - Accent3 3 4 27" xfId="19333"/>
    <cellStyle name="40% - Accent3 3 4 27 2" xfId="42108"/>
    <cellStyle name="40% - Accent3 3 4 28" xfId="19989"/>
    <cellStyle name="40% - Accent3 3 4 28 2" xfId="42764"/>
    <cellStyle name="40% - Accent3 3 4 29" xfId="20645"/>
    <cellStyle name="40% - Accent3 3 4 29 2" xfId="43420"/>
    <cellStyle name="40% - Accent3 3 4 3" xfId="1949"/>
    <cellStyle name="40% - Accent3 3 4 3 2" xfId="4245"/>
    <cellStyle name="40% - Accent3 3 4 3 2 2" xfId="27020"/>
    <cellStyle name="40% - Accent3 3 4 3 3" xfId="24724"/>
    <cellStyle name="40% - Accent3 3 4 30" xfId="21301"/>
    <cellStyle name="40% - Accent3 3 4 30 2" xfId="44076"/>
    <cellStyle name="40% - Accent3 3 4 31" xfId="21957"/>
    <cellStyle name="40% - Accent3 3 4 31 2" xfId="44732"/>
    <cellStyle name="40% - Accent3 3 4 32" xfId="22613"/>
    <cellStyle name="40% - Accent3 3 4 32 2" xfId="45388"/>
    <cellStyle name="40% - Accent3 3 4 33" xfId="23412"/>
    <cellStyle name="40% - Accent3 3 4 4" xfId="4901"/>
    <cellStyle name="40% - Accent3 3 4 4 2" xfId="27676"/>
    <cellStyle name="40% - Accent3 3 4 5" xfId="5557"/>
    <cellStyle name="40% - Accent3 3 4 5 2" xfId="28332"/>
    <cellStyle name="40% - Accent3 3 4 6" xfId="6213"/>
    <cellStyle name="40% - Accent3 3 4 6 2" xfId="28988"/>
    <cellStyle name="40% - Accent3 3 4 7" xfId="2933"/>
    <cellStyle name="40% - Accent3 3 4 7 2" xfId="25708"/>
    <cellStyle name="40% - Accent3 3 4 8" xfId="6869"/>
    <cellStyle name="40% - Accent3 3 4 8 2" xfId="29644"/>
    <cellStyle name="40% - Accent3 3 4 9" xfId="7525"/>
    <cellStyle name="40% - Accent3 3 4 9 2" xfId="30300"/>
    <cellStyle name="40% - Accent3 3 5" xfId="310"/>
    <cellStyle name="40% - Accent3 3 5 2" xfId="2605"/>
    <cellStyle name="40% - Accent3 3 5 2 2" xfId="25380"/>
    <cellStyle name="40% - Accent3 3 5 3" xfId="23084"/>
    <cellStyle name="40% - Accent3 3 6" xfId="965"/>
    <cellStyle name="40% - Accent3 3 6 2" xfId="3261"/>
    <cellStyle name="40% - Accent3 3 6 2 2" xfId="26036"/>
    <cellStyle name="40% - Accent3 3 6 3" xfId="23740"/>
    <cellStyle name="40% - Accent3 3 7" xfId="1621"/>
    <cellStyle name="40% - Accent3 3 7 2" xfId="3917"/>
    <cellStyle name="40% - Accent3 3 7 2 2" xfId="26692"/>
    <cellStyle name="40% - Accent3 3 7 3" xfId="24396"/>
    <cellStyle name="40% - Accent3 3 8" xfId="4573"/>
    <cellStyle name="40% - Accent3 3 8 2" xfId="27348"/>
    <cellStyle name="40% - Accent3 3 9" xfId="5229"/>
    <cellStyle name="40% - Accent3 3 9 2" xfId="28004"/>
    <cellStyle name="40% - Accent3 30" xfId="13726"/>
    <cellStyle name="40% - Accent3 30 2" xfId="36501"/>
    <cellStyle name="40% - Accent3 31" xfId="14382"/>
    <cellStyle name="40% - Accent3 31 2" xfId="37157"/>
    <cellStyle name="40% - Accent3 32" xfId="15038"/>
    <cellStyle name="40% - Accent3 32 2" xfId="37813"/>
    <cellStyle name="40% - Accent3 33" xfId="15694"/>
    <cellStyle name="40% - Accent3 33 2" xfId="38469"/>
    <cellStyle name="40% - Accent3 34" xfId="16350"/>
    <cellStyle name="40% - Accent3 34 2" xfId="39125"/>
    <cellStyle name="40% - Accent3 35" xfId="17006"/>
    <cellStyle name="40% - Accent3 35 2" xfId="39781"/>
    <cellStyle name="40% - Accent3 36" xfId="17662"/>
    <cellStyle name="40% - Accent3 36 2" xfId="40437"/>
    <cellStyle name="40% - Accent3 37" xfId="18318"/>
    <cellStyle name="40% - Accent3 37 2" xfId="41093"/>
    <cellStyle name="40% - Accent3 38" xfId="18974"/>
    <cellStyle name="40% - Accent3 38 2" xfId="41749"/>
    <cellStyle name="40% - Accent3 39" xfId="19630"/>
    <cellStyle name="40% - Accent3 39 2" xfId="42405"/>
    <cellStyle name="40% - Accent3 4" xfId="93"/>
    <cellStyle name="40% - Accent3 4 10" xfId="5899"/>
    <cellStyle name="40% - Accent3 4 10 2" xfId="28674"/>
    <cellStyle name="40% - Accent3 4 11" xfId="2291"/>
    <cellStyle name="40% - Accent3 4 11 2" xfId="25066"/>
    <cellStyle name="40% - Accent3 4 12" xfId="6555"/>
    <cellStyle name="40% - Accent3 4 12 2" xfId="29330"/>
    <cellStyle name="40% - Accent3 4 13" xfId="7211"/>
    <cellStyle name="40% - Accent3 4 13 2" xfId="29986"/>
    <cellStyle name="40% - Accent3 4 14" xfId="7867"/>
    <cellStyle name="40% - Accent3 4 14 2" xfId="30642"/>
    <cellStyle name="40% - Accent3 4 15" xfId="8523"/>
    <cellStyle name="40% - Accent3 4 15 2" xfId="31298"/>
    <cellStyle name="40% - Accent3 4 16" xfId="9179"/>
    <cellStyle name="40% - Accent3 4 16 2" xfId="31954"/>
    <cellStyle name="40% - Accent3 4 17" xfId="9835"/>
    <cellStyle name="40% - Accent3 4 17 2" xfId="32610"/>
    <cellStyle name="40% - Accent3 4 18" xfId="10491"/>
    <cellStyle name="40% - Accent3 4 18 2" xfId="33266"/>
    <cellStyle name="40% - Accent3 4 19" xfId="11147"/>
    <cellStyle name="40% - Accent3 4 19 2" xfId="33922"/>
    <cellStyle name="40% - Accent3 4 2" xfId="164"/>
    <cellStyle name="40% - Accent3 4 2 10" xfId="2362"/>
    <cellStyle name="40% - Accent3 4 2 10 2" xfId="25137"/>
    <cellStyle name="40% - Accent3 4 2 11" xfId="6626"/>
    <cellStyle name="40% - Accent3 4 2 11 2" xfId="29401"/>
    <cellStyle name="40% - Accent3 4 2 12" xfId="7282"/>
    <cellStyle name="40% - Accent3 4 2 12 2" xfId="30057"/>
    <cellStyle name="40% - Accent3 4 2 13" xfId="7938"/>
    <cellStyle name="40% - Accent3 4 2 13 2" xfId="30713"/>
    <cellStyle name="40% - Accent3 4 2 14" xfId="8594"/>
    <cellStyle name="40% - Accent3 4 2 14 2" xfId="31369"/>
    <cellStyle name="40% - Accent3 4 2 15" xfId="9250"/>
    <cellStyle name="40% - Accent3 4 2 15 2" xfId="32025"/>
    <cellStyle name="40% - Accent3 4 2 16" xfId="9906"/>
    <cellStyle name="40% - Accent3 4 2 16 2" xfId="32681"/>
    <cellStyle name="40% - Accent3 4 2 17" xfId="10562"/>
    <cellStyle name="40% - Accent3 4 2 17 2" xfId="33337"/>
    <cellStyle name="40% - Accent3 4 2 18" xfId="11218"/>
    <cellStyle name="40% - Accent3 4 2 18 2" xfId="33993"/>
    <cellStyle name="40% - Accent3 4 2 19" xfId="11874"/>
    <cellStyle name="40% - Accent3 4 2 19 2" xfId="34649"/>
    <cellStyle name="40% - Accent3 4 2 2" xfId="578"/>
    <cellStyle name="40% - Accent3 4 2 2 10" xfId="6811"/>
    <cellStyle name="40% - Accent3 4 2 2 10 2" xfId="29586"/>
    <cellStyle name="40% - Accent3 4 2 2 11" xfId="7467"/>
    <cellStyle name="40% - Accent3 4 2 2 11 2" xfId="30242"/>
    <cellStyle name="40% - Accent3 4 2 2 12" xfId="8123"/>
    <cellStyle name="40% - Accent3 4 2 2 12 2" xfId="30898"/>
    <cellStyle name="40% - Accent3 4 2 2 13" xfId="8779"/>
    <cellStyle name="40% - Accent3 4 2 2 13 2" xfId="31554"/>
    <cellStyle name="40% - Accent3 4 2 2 14" xfId="9435"/>
    <cellStyle name="40% - Accent3 4 2 2 14 2" xfId="32210"/>
    <cellStyle name="40% - Accent3 4 2 2 15" xfId="10091"/>
    <cellStyle name="40% - Accent3 4 2 2 15 2" xfId="32866"/>
    <cellStyle name="40% - Accent3 4 2 2 16" xfId="10747"/>
    <cellStyle name="40% - Accent3 4 2 2 16 2" xfId="33522"/>
    <cellStyle name="40% - Accent3 4 2 2 17" xfId="11403"/>
    <cellStyle name="40% - Accent3 4 2 2 17 2" xfId="34178"/>
    <cellStyle name="40% - Accent3 4 2 2 18" xfId="12059"/>
    <cellStyle name="40% - Accent3 4 2 2 18 2" xfId="34834"/>
    <cellStyle name="40% - Accent3 4 2 2 19" xfId="12715"/>
    <cellStyle name="40% - Accent3 4 2 2 19 2" xfId="35490"/>
    <cellStyle name="40% - Accent3 4 2 2 2" xfId="907"/>
    <cellStyle name="40% - Accent3 4 2 2 2 10" xfId="8451"/>
    <cellStyle name="40% - Accent3 4 2 2 2 10 2" xfId="31226"/>
    <cellStyle name="40% - Accent3 4 2 2 2 11" xfId="9107"/>
    <cellStyle name="40% - Accent3 4 2 2 2 11 2" xfId="31882"/>
    <cellStyle name="40% - Accent3 4 2 2 2 12" xfId="9763"/>
    <cellStyle name="40% - Accent3 4 2 2 2 12 2" xfId="32538"/>
    <cellStyle name="40% - Accent3 4 2 2 2 13" xfId="10419"/>
    <cellStyle name="40% - Accent3 4 2 2 2 13 2" xfId="33194"/>
    <cellStyle name="40% - Accent3 4 2 2 2 14" xfId="11075"/>
    <cellStyle name="40% - Accent3 4 2 2 2 14 2" xfId="33850"/>
    <cellStyle name="40% - Accent3 4 2 2 2 15" xfId="11731"/>
    <cellStyle name="40% - Accent3 4 2 2 2 15 2" xfId="34506"/>
    <cellStyle name="40% - Accent3 4 2 2 2 16" xfId="12387"/>
    <cellStyle name="40% - Accent3 4 2 2 2 16 2" xfId="35162"/>
    <cellStyle name="40% - Accent3 4 2 2 2 17" xfId="13043"/>
    <cellStyle name="40% - Accent3 4 2 2 2 17 2" xfId="35818"/>
    <cellStyle name="40% - Accent3 4 2 2 2 18" xfId="13699"/>
    <cellStyle name="40% - Accent3 4 2 2 2 18 2" xfId="36474"/>
    <cellStyle name="40% - Accent3 4 2 2 2 19" xfId="14355"/>
    <cellStyle name="40% - Accent3 4 2 2 2 19 2" xfId="37130"/>
    <cellStyle name="40% - Accent3 4 2 2 2 2" xfId="1563"/>
    <cellStyle name="40% - Accent3 4 2 2 2 2 2" xfId="3859"/>
    <cellStyle name="40% - Accent3 4 2 2 2 2 2 2" xfId="26634"/>
    <cellStyle name="40% - Accent3 4 2 2 2 2 3" xfId="24338"/>
    <cellStyle name="40% - Accent3 4 2 2 2 20" xfId="15011"/>
    <cellStyle name="40% - Accent3 4 2 2 2 20 2" xfId="37786"/>
    <cellStyle name="40% - Accent3 4 2 2 2 21" xfId="15667"/>
    <cellStyle name="40% - Accent3 4 2 2 2 21 2" xfId="38442"/>
    <cellStyle name="40% - Accent3 4 2 2 2 22" xfId="16323"/>
    <cellStyle name="40% - Accent3 4 2 2 2 22 2" xfId="39098"/>
    <cellStyle name="40% - Accent3 4 2 2 2 23" xfId="16979"/>
    <cellStyle name="40% - Accent3 4 2 2 2 23 2" xfId="39754"/>
    <cellStyle name="40% - Accent3 4 2 2 2 24" xfId="17635"/>
    <cellStyle name="40% - Accent3 4 2 2 2 24 2" xfId="40410"/>
    <cellStyle name="40% - Accent3 4 2 2 2 25" xfId="18291"/>
    <cellStyle name="40% - Accent3 4 2 2 2 25 2" xfId="41066"/>
    <cellStyle name="40% - Accent3 4 2 2 2 26" xfId="18947"/>
    <cellStyle name="40% - Accent3 4 2 2 2 26 2" xfId="41722"/>
    <cellStyle name="40% - Accent3 4 2 2 2 27" xfId="19603"/>
    <cellStyle name="40% - Accent3 4 2 2 2 27 2" xfId="42378"/>
    <cellStyle name="40% - Accent3 4 2 2 2 28" xfId="20259"/>
    <cellStyle name="40% - Accent3 4 2 2 2 28 2" xfId="43034"/>
    <cellStyle name="40% - Accent3 4 2 2 2 29" xfId="20915"/>
    <cellStyle name="40% - Accent3 4 2 2 2 29 2" xfId="43690"/>
    <cellStyle name="40% - Accent3 4 2 2 2 3" xfId="2219"/>
    <cellStyle name="40% - Accent3 4 2 2 2 3 2" xfId="4515"/>
    <cellStyle name="40% - Accent3 4 2 2 2 3 2 2" xfId="27290"/>
    <cellStyle name="40% - Accent3 4 2 2 2 3 3" xfId="24994"/>
    <cellStyle name="40% - Accent3 4 2 2 2 30" xfId="21571"/>
    <cellStyle name="40% - Accent3 4 2 2 2 30 2" xfId="44346"/>
    <cellStyle name="40% - Accent3 4 2 2 2 31" xfId="22227"/>
    <cellStyle name="40% - Accent3 4 2 2 2 31 2" xfId="45002"/>
    <cellStyle name="40% - Accent3 4 2 2 2 32" xfId="22883"/>
    <cellStyle name="40% - Accent3 4 2 2 2 32 2" xfId="45658"/>
    <cellStyle name="40% - Accent3 4 2 2 2 33" xfId="23682"/>
    <cellStyle name="40% - Accent3 4 2 2 2 4" xfId="5171"/>
    <cellStyle name="40% - Accent3 4 2 2 2 4 2" xfId="27946"/>
    <cellStyle name="40% - Accent3 4 2 2 2 5" xfId="5827"/>
    <cellStyle name="40% - Accent3 4 2 2 2 5 2" xfId="28602"/>
    <cellStyle name="40% - Accent3 4 2 2 2 6" xfId="6483"/>
    <cellStyle name="40% - Accent3 4 2 2 2 6 2" xfId="29258"/>
    <cellStyle name="40% - Accent3 4 2 2 2 7" xfId="3203"/>
    <cellStyle name="40% - Accent3 4 2 2 2 7 2" xfId="25978"/>
    <cellStyle name="40% - Accent3 4 2 2 2 8" xfId="7139"/>
    <cellStyle name="40% - Accent3 4 2 2 2 8 2" xfId="29914"/>
    <cellStyle name="40% - Accent3 4 2 2 2 9" xfId="7795"/>
    <cellStyle name="40% - Accent3 4 2 2 2 9 2" xfId="30570"/>
    <cellStyle name="40% - Accent3 4 2 2 20" xfId="13371"/>
    <cellStyle name="40% - Accent3 4 2 2 20 2" xfId="36146"/>
    <cellStyle name="40% - Accent3 4 2 2 21" xfId="14027"/>
    <cellStyle name="40% - Accent3 4 2 2 21 2" xfId="36802"/>
    <cellStyle name="40% - Accent3 4 2 2 22" xfId="14683"/>
    <cellStyle name="40% - Accent3 4 2 2 22 2" xfId="37458"/>
    <cellStyle name="40% - Accent3 4 2 2 23" xfId="15339"/>
    <cellStyle name="40% - Accent3 4 2 2 23 2" xfId="38114"/>
    <cellStyle name="40% - Accent3 4 2 2 24" xfId="15995"/>
    <cellStyle name="40% - Accent3 4 2 2 24 2" xfId="38770"/>
    <cellStyle name="40% - Accent3 4 2 2 25" xfId="16651"/>
    <cellStyle name="40% - Accent3 4 2 2 25 2" xfId="39426"/>
    <cellStyle name="40% - Accent3 4 2 2 26" xfId="17307"/>
    <cellStyle name="40% - Accent3 4 2 2 26 2" xfId="40082"/>
    <cellStyle name="40% - Accent3 4 2 2 27" xfId="17963"/>
    <cellStyle name="40% - Accent3 4 2 2 27 2" xfId="40738"/>
    <cellStyle name="40% - Accent3 4 2 2 28" xfId="18619"/>
    <cellStyle name="40% - Accent3 4 2 2 28 2" xfId="41394"/>
    <cellStyle name="40% - Accent3 4 2 2 29" xfId="19275"/>
    <cellStyle name="40% - Accent3 4 2 2 29 2" xfId="42050"/>
    <cellStyle name="40% - Accent3 4 2 2 3" xfId="1235"/>
    <cellStyle name="40% - Accent3 4 2 2 3 2" xfId="2875"/>
    <cellStyle name="40% - Accent3 4 2 2 3 2 2" xfId="25650"/>
    <cellStyle name="40% - Accent3 4 2 2 3 3" xfId="24010"/>
    <cellStyle name="40% - Accent3 4 2 2 30" xfId="19931"/>
    <cellStyle name="40% - Accent3 4 2 2 30 2" xfId="42706"/>
    <cellStyle name="40% - Accent3 4 2 2 31" xfId="20587"/>
    <cellStyle name="40% - Accent3 4 2 2 31 2" xfId="43362"/>
    <cellStyle name="40% - Accent3 4 2 2 32" xfId="21243"/>
    <cellStyle name="40% - Accent3 4 2 2 32 2" xfId="44018"/>
    <cellStyle name="40% - Accent3 4 2 2 33" xfId="21899"/>
    <cellStyle name="40% - Accent3 4 2 2 33 2" xfId="44674"/>
    <cellStyle name="40% - Accent3 4 2 2 34" xfId="22555"/>
    <cellStyle name="40% - Accent3 4 2 2 34 2" xfId="45330"/>
    <cellStyle name="40% - Accent3 4 2 2 35" xfId="23354"/>
    <cellStyle name="40% - Accent3 4 2 2 4" xfId="1891"/>
    <cellStyle name="40% - Accent3 4 2 2 4 2" xfId="3531"/>
    <cellStyle name="40% - Accent3 4 2 2 4 2 2" xfId="26306"/>
    <cellStyle name="40% - Accent3 4 2 2 4 3" xfId="24666"/>
    <cellStyle name="40% - Accent3 4 2 2 5" xfId="4187"/>
    <cellStyle name="40% - Accent3 4 2 2 5 2" xfId="26962"/>
    <cellStyle name="40% - Accent3 4 2 2 6" xfId="4843"/>
    <cellStyle name="40% - Accent3 4 2 2 6 2" xfId="27618"/>
    <cellStyle name="40% - Accent3 4 2 2 7" xfId="5499"/>
    <cellStyle name="40% - Accent3 4 2 2 7 2" xfId="28274"/>
    <cellStyle name="40% - Accent3 4 2 2 8" xfId="6155"/>
    <cellStyle name="40% - Accent3 4 2 2 8 2" xfId="28930"/>
    <cellStyle name="40% - Accent3 4 2 2 9" xfId="2547"/>
    <cellStyle name="40% - Accent3 4 2 2 9 2" xfId="25322"/>
    <cellStyle name="40% - Accent3 4 2 20" xfId="12530"/>
    <cellStyle name="40% - Accent3 4 2 20 2" xfId="35305"/>
    <cellStyle name="40% - Accent3 4 2 21" xfId="13186"/>
    <cellStyle name="40% - Accent3 4 2 21 2" xfId="35961"/>
    <cellStyle name="40% - Accent3 4 2 22" xfId="13842"/>
    <cellStyle name="40% - Accent3 4 2 22 2" xfId="36617"/>
    <cellStyle name="40% - Accent3 4 2 23" xfId="14498"/>
    <cellStyle name="40% - Accent3 4 2 23 2" xfId="37273"/>
    <cellStyle name="40% - Accent3 4 2 24" xfId="15154"/>
    <cellStyle name="40% - Accent3 4 2 24 2" xfId="37929"/>
    <cellStyle name="40% - Accent3 4 2 25" xfId="15810"/>
    <cellStyle name="40% - Accent3 4 2 25 2" xfId="38585"/>
    <cellStyle name="40% - Accent3 4 2 26" xfId="16466"/>
    <cellStyle name="40% - Accent3 4 2 26 2" xfId="39241"/>
    <cellStyle name="40% - Accent3 4 2 27" xfId="17122"/>
    <cellStyle name="40% - Accent3 4 2 27 2" xfId="39897"/>
    <cellStyle name="40% - Accent3 4 2 28" xfId="17778"/>
    <cellStyle name="40% - Accent3 4 2 28 2" xfId="40553"/>
    <cellStyle name="40% - Accent3 4 2 29" xfId="18434"/>
    <cellStyle name="40% - Accent3 4 2 29 2" xfId="41209"/>
    <cellStyle name="40% - Accent3 4 2 3" xfId="722"/>
    <cellStyle name="40% - Accent3 4 2 3 10" xfId="8266"/>
    <cellStyle name="40% - Accent3 4 2 3 10 2" xfId="31041"/>
    <cellStyle name="40% - Accent3 4 2 3 11" xfId="8922"/>
    <cellStyle name="40% - Accent3 4 2 3 11 2" xfId="31697"/>
    <cellStyle name="40% - Accent3 4 2 3 12" xfId="9578"/>
    <cellStyle name="40% - Accent3 4 2 3 12 2" xfId="32353"/>
    <cellStyle name="40% - Accent3 4 2 3 13" xfId="10234"/>
    <cellStyle name="40% - Accent3 4 2 3 13 2" xfId="33009"/>
    <cellStyle name="40% - Accent3 4 2 3 14" xfId="10890"/>
    <cellStyle name="40% - Accent3 4 2 3 14 2" xfId="33665"/>
    <cellStyle name="40% - Accent3 4 2 3 15" xfId="11546"/>
    <cellStyle name="40% - Accent3 4 2 3 15 2" xfId="34321"/>
    <cellStyle name="40% - Accent3 4 2 3 16" xfId="12202"/>
    <cellStyle name="40% - Accent3 4 2 3 16 2" xfId="34977"/>
    <cellStyle name="40% - Accent3 4 2 3 17" xfId="12858"/>
    <cellStyle name="40% - Accent3 4 2 3 17 2" xfId="35633"/>
    <cellStyle name="40% - Accent3 4 2 3 18" xfId="13514"/>
    <cellStyle name="40% - Accent3 4 2 3 18 2" xfId="36289"/>
    <cellStyle name="40% - Accent3 4 2 3 19" xfId="14170"/>
    <cellStyle name="40% - Accent3 4 2 3 19 2" xfId="36945"/>
    <cellStyle name="40% - Accent3 4 2 3 2" xfId="1378"/>
    <cellStyle name="40% - Accent3 4 2 3 2 2" xfId="3674"/>
    <cellStyle name="40% - Accent3 4 2 3 2 2 2" xfId="26449"/>
    <cellStyle name="40% - Accent3 4 2 3 2 3" xfId="24153"/>
    <cellStyle name="40% - Accent3 4 2 3 20" xfId="14826"/>
    <cellStyle name="40% - Accent3 4 2 3 20 2" xfId="37601"/>
    <cellStyle name="40% - Accent3 4 2 3 21" xfId="15482"/>
    <cellStyle name="40% - Accent3 4 2 3 21 2" xfId="38257"/>
    <cellStyle name="40% - Accent3 4 2 3 22" xfId="16138"/>
    <cellStyle name="40% - Accent3 4 2 3 22 2" xfId="38913"/>
    <cellStyle name="40% - Accent3 4 2 3 23" xfId="16794"/>
    <cellStyle name="40% - Accent3 4 2 3 23 2" xfId="39569"/>
    <cellStyle name="40% - Accent3 4 2 3 24" xfId="17450"/>
    <cellStyle name="40% - Accent3 4 2 3 24 2" xfId="40225"/>
    <cellStyle name="40% - Accent3 4 2 3 25" xfId="18106"/>
    <cellStyle name="40% - Accent3 4 2 3 25 2" xfId="40881"/>
    <cellStyle name="40% - Accent3 4 2 3 26" xfId="18762"/>
    <cellStyle name="40% - Accent3 4 2 3 26 2" xfId="41537"/>
    <cellStyle name="40% - Accent3 4 2 3 27" xfId="19418"/>
    <cellStyle name="40% - Accent3 4 2 3 27 2" xfId="42193"/>
    <cellStyle name="40% - Accent3 4 2 3 28" xfId="20074"/>
    <cellStyle name="40% - Accent3 4 2 3 28 2" xfId="42849"/>
    <cellStyle name="40% - Accent3 4 2 3 29" xfId="20730"/>
    <cellStyle name="40% - Accent3 4 2 3 29 2" xfId="43505"/>
    <cellStyle name="40% - Accent3 4 2 3 3" xfId="2034"/>
    <cellStyle name="40% - Accent3 4 2 3 3 2" xfId="4330"/>
    <cellStyle name="40% - Accent3 4 2 3 3 2 2" xfId="27105"/>
    <cellStyle name="40% - Accent3 4 2 3 3 3" xfId="24809"/>
    <cellStyle name="40% - Accent3 4 2 3 30" xfId="21386"/>
    <cellStyle name="40% - Accent3 4 2 3 30 2" xfId="44161"/>
    <cellStyle name="40% - Accent3 4 2 3 31" xfId="22042"/>
    <cellStyle name="40% - Accent3 4 2 3 31 2" xfId="44817"/>
    <cellStyle name="40% - Accent3 4 2 3 32" xfId="22698"/>
    <cellStyle name="40% - Accent3 4 2 3 32 2" xfId="45473"/>
    <cellStyle name="40% - Accent3 4 2 3 33" xfId="23497"/>
    <cellStyle name="40% - Accent3 4 2 3 4" xfId="4986"/>
    <cellStyle name="40% - Accent3 4 2 3 4 2" xfId="27761"/>
    <cellStyle name="40% - Accent3 4 2 3 5" xfId="5642"/>
    <cellStyle name="40% - Accent3 4 2 3 5 2" xfId="28417"/>
    <cellStyle name="40% - Accent3 4 2 3 6" xfId="6298"/>
    <cellStyle name="40% - Accent3 4 2 3 6 2" xfId="29073"/>
    <cellStyle name="40% - Accent3 4 2 3 7" xfId="3018"/>
    <cellStyle name="40% - Accent3 4 2 3 7 2" xfId="25793"/>
    <cellStyle name="40% - Accent3 4 2 3 8" xfId="6954"/>
    <cellStyle name="40% - Accent3 4 2 3 8 2" xfId="29729"/>
    <cellStyle name="40% - Accent3 4 2 3 9" xfId="7610"/>
    <cellStyle name="40% - Accent3 4 2 3 9 2" xfId="30385"/>
    <cellStyle name="40% - Accent3 4 2 30" xfId="19090"/>
    <cellStyle name="40% - Accent3 4 2 30 2" xfId="41865"/>
    <cellStyle name="40% - Accent3 4 2 31" xfId="19746"/>
    <cellStyle name="40% - Accent3 4 2 31 2" xfId="42521"/>
    <cellStyle name="40% - Accent3 4 2 32" xfId="20402"/>
    <cellStyle name="40% - Accent3 4 2 32 2" xfId="43177"/>
    <cellStyle name="40% - Accent3 4 2 33" xfId="21058"/>
    <cellStyle name="40% - Accent3 4 2 33 2" xfId="43833"/>
    <cellStyle name="40% - Accent3 4 2 34" xfId="21714"/>
    <cellStyle name="40% - Accent3 4 2 34 2" xfId="44489"/>
    <cellStyle name="40% - Accent3 4 2 35" xfId="22370"/>
    <cellStyle name="40% - Accent3 4 2 35 2" xfId="45145"/>
    <cellStyle name="40% - Accent3 4 2 36" xfId="23026"/>
    <cellStyle name="40% - Accent3 4 2 4" xfId="395"/>
    <cellStyle name="40% - Accent3 4 2 4 2" xfId="2690"/>
    <cellStyle name="40% - Accent3 4 2 4 2 2" xfId="25465"/>
    <cellStyle name="40% - Accent3 4 2 4 3" xfId="23169"/>
    <cellStyle name="40% - Accent3 4 2 5" xfId="1050"/>
    <cellStyle name="40% - Accent3 4 2 5 2" xfId="3346"/>
    <cellStyle name="40% - Accent3 4 2 5 2 2" xfId="26121"/>
    <cellStyle name="40% - Accent3 4 2 5 3" xfId="23825"/>
    <cellStyle name="40% - Accent3 4 2 6" xfId="1706"/>
    <cellStyle name="40% - Accent3 4 2 6 2" xfId="4002"/>
    <cellStyle name="40% - Accent3 4 2 6 2 2" xfId="26777"/>
    <cellStyle name="40% - Accent3 4 2 6 3" xfId="24481"/>
    <cellStyle name="40% - Accent3 4 2 7" xfId="4658"/>
    <cellStyle name="40% - Accent3 4 2 7 2" xfId="27433"/>
    <cellStyle name="40% - Accent3 4 2 8" xfId="5314"/>
    <cellStyle name="40% - Accent3 4 2 8 2" xfId="28089"/>
    <cellStyle name="40% - Accent3 4 2 9" xfId="5970"/>
    <cellStyle name="40% - Accent3 4 2 9 2" xfId="28745"/>
    <cellStyle name="40% - Accent3 4 20" xfId="11803"/>
    <cellStyle name="40% - Accent3 4 20 2" xfId="34578"/>
    <cellStyle name="40% - Accent3 4 21" xfId="12459"/>
    <cellStyle name="40% - Accent3 4 21 2" xfId="35234"/>
    <cellStyle name="40% - Accent3 4 22" xfId="13115"/>
    <cellStyle name="40% - Accent3 4 22 2" xfId="35890"/>
    <cellStyle name="40% - Accent3 4 23" xfId="13771"/>
    <cellStyle name="40% - Accent3 4 23 2" xfId="36546"/>
    <cellStyle name="40% - Accent3 4 24" xfId="14427"/>
    <cellStyle name="40% - Accent3 4 24 2" xfId="37202"/>
    <cellStyle name="40% - Accent3 4 25" xfId="15083"/>
    <cellStyle name="40% - Accent3 4 25 2" xfId="37858"/>
    <cellStyle name="40% - Accent3 4 26" xfId="15739"/>
    <cellStyle name="40% - Accent3 4 26 2" xfId="38514"/>
    <cellStyle name="40% - Accent3 4 27" xfId="16395"/>
    <cellStyle name="40% - Accent3 4 27 2" xfId="39170"/>
    <cellStyle name="40% - Accent3 4 28" xfId="17051"/>
    <cellStyle name="40% - Accent3 4 28 2" xfId="39826"/>
    <cellStyle name="40% - Accent3 4 29" xfId="17707"/>
    <cellStyle name="40% - Accent3 4 29 2" xfId="40482"/>
    <cellStyle name="40% - Accent3 4 3" xfId="508"/>
    <cellStyle name="40% - Accent3 4 3 10" xfId="6740"/>
    <cellStyle name="40% - Accent3 4 3 10 2" xfId="29515"/>
    <cellStyle name="40% - Accent3 4 3 11" xfId="7396"/>
    <cellStyle name="40% - Accent3 4 3 11 2" xfId="30171"/>
    <cellStyle name="40% - Accent3 4 3 12" xfId="8052"/>
    <cellStyle name="40% - Accent3 4 3 12 2" xfId="30827"/>
    <cellStyle name="40% - Accent3 4 3 13" xfId="8708"/>
    <cellStyle name="40% - Accent3 4 3 13 2" xfId="31483"/>
    <cellStyle name="40% - Accent3 4 3 14" xfId="9364"/>
    <cellStyle name="40% - Accent3 4 3 14 2" xfId="32139"/>
    <cellStyle name="40% - Accent3 4 3 15" xfId="10020"/>
    <cellStyle name="40% - Accent3 4 3 15 2" xfId="32795"/>
    <cellStyle name="40% - Accent3 4 3 16" xfId="10676"/>
    <cellStyle name="40% - Accent3 4 3 16 2" xfId="33451"/>
    <cellStyle name="40% - Accent3 4 3 17" xfId="11332"/>
    <cellStyle name="40% - Accent3 4 3 17 2" xfId="34107"/>
    <cellStyle name="40% - Accent3 4 3 18" xfId="11988"/>
    <cellStyle name="40% - Accent3 4 3 18 2" xfId="34763"/>
    <cellStyle name="40% - Accent3 4 3 19" xfId="12644"/>
    <cellStyle name="40% - Accent3 4 3 19 2" xfId="35419"/>
    <cellStyle name="40% - Accent3 4 3 2" xfId="836"/>
    <cellStyle name="40% - Accent3 4 3 2 10" xfId="8380"/>
    <cellStyle name="40% - Accent3 4 3 2 10 2" xfId="31155"/>
    <cellStyle name="40% - Accent3 4 3 2 11" xfId="9036"/>
    <cellStyle name="40% - Accent3 4 3 2 11 2" xfId="31811"/>
    <cellStyle name="40% - Accent3 4 3 2 12" xfId="9692"/>
    <cellStyle name="40% - Accent3 4 3 2 12 2" xfId="32467"/>
    <cellStyle name="40% - Accent3 4 3 2 13" xfId="10348"/>
    <cellStyle name="40% - Accent3 4 3 2 13 2" xfId="33123"/>
    <cellStyle name="40% - Accent3 4 3 2 14" xfId="11004"/>
    <cellStyle name="40% - Accent3 4 3 2 14 2" xfId="33779"/>
    <cellStyle name="40% - Accent3 4 3 2 15" xfId="11660"/>
    <cellStyle name="40% - Accent3 4 3 2 15 2" xfId="34435"/>
    <cellStyle name="40% - Accent3 4 3 2 16" xfId="12316"/>
    <cellStyle name="40% - Accent3 4 3 2 16 2" xfId="35091"/>
    <cellStyle name="40% - Accent3 4 3 2 17" xfId="12972"/>
    <cellStyle name="40% - Accent3 4 3 2 17 2" xfId="35747"/>
    <cellStyle name="40% - Accent3 4 3 2 18" xfId="13628"/>
    <cellStyle name="40% - Accent3 4 3 2 18 2" xfId="36403"/>
    <cellStyle name="40% - Accent3 4 3 2 19" xfId="14284"/>
    <cellStyle name="40% - Accent3 4 3 2 19 2" xfId="37059"/>
    <cellStyle name="40% - Accent3 4 3 2 2" xfId="1492"/>
    <cellStyle name="40% - Accent3 4 3 2 2 2" xfId="3788"/>
    <cellStyle name="40% - Accent3 4 3 2 2 2 2" xfId="26563"/>
    <cellStyle name="40% - Accent3 4 3 2 2 3" xfId="24267"/>
    <cellStyle name="40% - Accent3 4 3 2 20" xfId="14940"/>
    <cellStyle name="40% - Accent3 4 3 2 20 2" xfId="37715"/>
    <cellStyle name="40% - Accent3 4 3 2 21" xfId="15596"/>
    <cellStyle name="40% - Accent3 4 3 2 21 2" xfId="38371"/>
    <cellStyle name="40% - Accent3 4 3 2 22" xfId="16252"/>
    <cellStyle name="40% - Accent3 4 3 2 22 2" xfId="39027"/>
    <cellStyle name="40% - Accent3 4 3 2 23" xfId="16908"/>
    <cellStyle name="40% - Accent3 4 3 2 23 2" xfId="39683"/>
    <cellStyle name="40% - Accent3 4 3 2 24" xfId="17564"/>
    <cellStyle name="40% - Accent3 4 3 2 24 2" xfId="40339"/>
    <cellStyle name="40% - Accent3 4 3 2 25" xfId="18220"/>
    <cellStyle name="40% - Accent3 4 3 2 25 2" xfId="40995"/>
    <cellStyle name="40% - Accent3 4 3 2 26" xfId="18876"/>
    <cellStyle name="40% - Accent3 4 3 2 26 2" xfId="41651"/>
    <cellStyle name="40% - Accent3 4 3 2 27" xfId="19532"/>
    <cellStyle name="40% - Accent3 4 3 2 27 2" xfId="42307"/>
    <cellStyle name="40% - Accent3 4 3 2 28" xfId="20188"/>
    <cellStyle name="40% - Accent3 4 3 2 28 2" xfId="42963"/>
    <cellStyle name="40% - Accent3 4 3 2 29" xfId="20844"/>
    <cellStyle name="40% - Accent3 4 3 2 29 2" xfId="43619"/>
    <cellStyle name="40% - Accent3 4 3 2 3" xfId="2148"/>
    <cellStyle name="40% - Accent3 4 3 2 3 2" xfId="4444"/>
    <cellStyle name="40% - Accent3 4 3 2 3 2 2" xfId="27219"/>
    <cellStyle name="40% - Accent3 4 3 2 3 3" xfId="24923"/>
    <cellStyle name="40% - Accent3 4 3 2 30" xfId="21500"/>
    <cellStyle name="40% - Accent3 4 3 2 30 2" xfId="44275"/>
    <cellStyle name="40% - Accent3 4 3 2 31" xfId="22156"/>
    <cellStyle name="40% - Accent3 4 3 2 31 2" xfId="44931"/>
    <cellStyle name="40% - Accent3 4 3 2 32" xfId="22812"/>
    <cellStyle name="40% - Accent3 4 3 2 32 2" xfId="45587"/>
    <cellStyle name="40% - Accent3 4 3 2 33" xfId="23611"/>
    <cellStyle name="40% - Accent3 4 3 2 4" xfId="5100"/>
    <cellStyle name="40% - Accent3 4 3 2 4 2" xfId="27875"/>
    <cellStyle name="40% - Accent3 4 3 2 5" xfId="5756"/>
    <cellStyle name="40% - Accent3 4 3 2 5 2" xfId="28531"/>
    <cellStyle name="40% - Accent3 4 3 2 6" xfId="6412"/>
    <cellStyle name="40% - Accent3 4 3 2 6 2" xfId="29187"/>
    <cellStyle name="40% - Accent3 4 3 2 7" xfId="3132"/>
    <cellStyle name="40% - Accent3 4 3 2 7 2" xfId="25907"/>
    <cellStyle name="40% - Accent3 4 3 2 8" xfId="7068"/>
    <cellStyle name="40% - Accent3 4 3 2 8 2" xfId="29843"/>
    <cellStyle name="40% - Accent3 4 3 2 9" xfId="7724"/>
    <cellStyle name="40% - Accent3 4 3 2 9 2" xfId="30499"/>
    <cellStyle name="40% - Accent3 4 3 20" xfId="13300"/>
    <cellStyle name="40% - Accent3 4 3 20 2" xfId="36075"/>
    <cellStyle name="40% - Accent3 4 3 21" xfId="13956"/>
    <cellStyle name="40% - Accent3 4 3 21 2" xfId="36731"/>
    <cellStyle name="40% - Accent3 4 3 22" xfId="14612"/>
    <cellStyle name="40% - Accent3 4 3 22 2" xfId="37387"/>
    <cellStyle name="40% - Accent3 4 3 23" xfId="15268"/>
    <cellStyle name="40% - Accent3 4 3 23 2" xfId="38043"/>
    <cellStyle name="40% - Accent3 4 3 24" xfId="15924"/>
    <cellStyle name="40% - Accent3 4 3 24 2" xfId="38699"/>
    <cellStyle name="40% - Accent3 4 3 25" xfId="16580"/>
    <cellStyle name="40% - Accent3 4 3 25 2" xfId="39355"/>
    <cellStyle name="40% - Accent3 4 3 26" xfId="17236"/>
    <cellStyle name="40% - Accent3 4 3 26 2" xfId="40011"/>
    <cellStyle name="40% - Accent3 4 3 27" xfId="17892"/>
    <cellStyle name="40% - Accent3 4 3 27 2" xfId="40667"/>
    <cellStyle name="40% - Accent3 4 3 28" xfId="18548"/>
    <cellStyle name="40% - Accent3 4 3 28 2" xfId="41323"/>
    <cellStyle name="40% - Accent3 4 3 29" xfId="19204"/>
    <cellStyle name="40% - Accent3 4 3 29 2" xfId="41979"/>
    <cellStyle name="40% - Accent3 4 3 3" xfId="1164"/>
    <cellStyle name="40% - Accent3 4 3 3 2" xfId="2804"/>
    <cellStyle name="40% - Accent3 4 3 3 2 2" xfId="25579"/>
    <cellStyle name="40% - Accent3 4 3 3 3" xfId="23939"/>
    <cellStyle name="40% - Accent3 4 3 30" xfId="19860"/>
    <cellStyle name="40% - Accent3 4 3 30 2" xfId="42635"/>
    <cellStyle name="40% - Accent3 4 3 31" xfId="20516"/>
    <cellStyle name="40% - Accent3 4 3 31 2" xfId="43291"/>
    <cellStyle name="40% - Accent3 4 3 32" xfId="21172"/>
    <cellStyle name="40% - Accent3 4 3 32 2" xfId="43947"/>
    <cellStyle name="40% - Accent3 4 3 33" xfId="21828"/>
    <cellStyle name="40% - Accent3 4 3 33 2" xfId="44603"/>
    <cellStyle name="40% - Accent3 4 3 34" xfId="22484"/>
    <cellStyle name="40% - Accent3 4 3 34 2" xfId="45259"/>
    <cellStyle name="40% - Accent3 4 3 35" xfId="23283"/>
    <cellStyle name="40% - Accent3 4 3 4" xfId="1820"/>
    <cellStyle name="40% - Accent3 4 3 4 2" xfId="3460"/>
    <cellStyle name="40% - Accent3 4 3 4 2 2" xfId="26235"/>
    <cellStyle name="40% - Accent3 4 3 4 3" xfId="24595"/>
    <cellStyle name="40% - Accent3 4 3 5" xfId="4116"/>
    <cellStyle name="40% - Accent3 4 3 5 2" xfId="26891"/>
    <cellStyle name="40% - Accent3 4 3 6" xfId="4772"/>
    <cellStyle name="40% - Accent3 4 3 6 2" xfId="27547"/>
    <cellStyle name="40% - Accent3 4 3 7" xfId="5428"/>
    <cellStyle name="40% - Accent3 4 3 7 2" xfId="28203"/>
    <cellStyle name="40% - Accent3 4 3 8" xfId="6084"/>
    <cellStyle name="40% - Accent3 4 3 8 2" xfId="28859"/>
    <cellStyle name="40% - Accent3 4 3 9" xfId="2476"/>
    <cellStyle name="40% - Accent3 4 3 9 2" xfId="25251"/>
    <cellStyle name="40% - Accent3 4 30" xfId="18363"/>
    <cellStyle name="40% - Accent3 4 30 2" xfId="41138"/>
    <cellStyle name="40% - Accent3 4 31" xfId="19019"/>
    <cellStyle name="40% - Accent3 4 31 2" xfId="41794"/>
    <cellStyle name="40% - Accent3 4 32" xfId="19675"/>
    <cellStyle name="40% - Accent3 4 32 2" xfId="42450"/>
    <cellStyle name="40% - Accent3 4 33" xfId="20331"/>
    <cellStyle name="40% - Accent3 4 33 2" xfId="43106"/>
    <cellStyle name="40% - Accent3 4 34" xfId="20987"/>
    <cellStyle name="40% - Accent3 4 34 2" xfId="43762"/>
    <cellStyle name="40% - Accent3 4 35" xfId="21643"/>
    <cellStyle name="40% - Accent3 4 35 2" xfId="44418"/>
    <cellStyle name="40% - Accent3 4 36" xfId="22299"/>
    <cellStyle name="40% - Accent3 4 36 2" xfId="45074"/>
    <cellStyle name="40% - Accent3 4 37" xfId="238"/>
    <cellStyle name="40% - Accent3 4 38" xfId="22955"/>
    <cellStyle name="40% - Accent3 4 4" xfId="651"/>
    <cellStyle name="40% - Accent3 4 4 10" xfId="8195"/>
    <cellStyle name="40% - Accent3 4 4 10 2" xfId="30970"/>
    <cellStyle name="40% - Accent3 4 4 11" xfId="8851"/>
    <cellStyle name="40% - Accent3 4 4 11 2" xfId="31626"/>
    <cellStyle name="40% - Accent3 4 4 12" xfId="9507"/>
    <cellStyle name="40% - Accent3 4 4 12 2" xfId="32282"/>
    <cellStyle name="40% - Accent3 4 4 13" xfId="10163"/>
    <cellStyle name="40% - Accent3 4 4 13 2" xfId="32938"/>
    <cellStyle name="40% - Accent3 4 4 14" xfId="10819"/>
    <cellStyle name="40% - Accent3 4 4 14 2" xfId="33594"/>
    <cellStyle name="40% - Accent3 4 4 15" xfId="11475"/>
    <cellStyle name="40% - Accent3 4 4 15 2" xfId="34250"/>
    <cellStyle name="40% - Accent3 4 4 16" xfId="12131"/>
    <cellStyle name="40% - Accent3 4 4 16 2" xfId="34906"/>
    <cellStyle name="40% - Accent3 4 4 17" xfId="12787"/>
    <cellStyle name="40% - Accent3 4 4 17 2" xfId="35562"/>
    <cellStyle name="40% - Accent3 4 4 18" xfId="13443"/>
    <cellStyle name="40% - Accent3 4 4 18 2" xfId="36218"/>
    <cellStyle name="40% - Accent3 4 4 19" xfId="14099"/>
    <cellStyle name="40% - Accent3 4 4 19 2" xfId="36874"/>
    <cellStyle name="40% - Accent3 4 4 2" xfId="1307"/>
    <cellStyle name="40% - Accent3 4 4 2 2" xfId="3603"/>
    <cellStyle name="40% - Accent3 4 4 2 2 2" xfId="26378"/>
    <cellStyle name="40% - Accent3 4 4 2 3" xfId="24082"/>
    <cellStyle name="40% - Accent3 4 4 20" xfId="14755"/>
    <cellStyle name="40% - Accent3 4 4 20 2" xfId="37530"/>
    <cellStyle name="40% - Accent3 4 4 21" xfId="15411"/>
    <cellStyle name="40% - Accent3 4 4 21 2" xfId="38186"/>
    <cellStyle name="40% - Accent3 4 4 22" xfId="16067"/>
    <cellStyle name="40% - Accent3 4 4 22 2" xfId="38842"/>
    <cellStyle name="40% - Accent3 4 4 23" xfId="16723"/>
    <cellStyle name="40% - Accent3 4 4 23 2" xfId="39498"/>
    <cellStyle name="40% - Accent3 4 4 24" xfId="17379"/>
    <cellStyle name="40% - Accent3 4 4 24 2" xfId="40154"/>
    <cellStyle name="40% - Accent3 4 4 25" xfId="18035"/>
    <cellStyle name="40% - Accent3 4 4 25 2" xfId="40810"/>
    <cellStyle name="40% - Accent3 4 4 26" xfId="18691"/>
    <cellStyle name="40% - Accent3 4 4 26 2" xfId="41466"/>
    <cellStyle name="40% - Accent3 4 4 27" xfId="19347"/>
    <cellStyle name="40% - Accent3 4 4 27 2" xfId="42122"/>
    <cellStyle name="40% - Accent3 4 4 28" xfId="20003"/>
    <cellStyle name="40% - Accent3 4 4 28 2" xfId="42778"/>
    <cellStyle name="40% - Accent3 4 4 29" xfId="20659"/>
    <cellStyle name="40% - Accent3 4 4 29 2" xfId="43434"/>
    <cellStyle name="40% - Accent3 4 4 3" xfId="1963"/>
    <cellStyle name="40% - Accent3 4 4 3 2" xfId="4259"/>
    <cellStyle name="40% - Accent3 4 4 3 2 2" xfId="27034"/>
    <cellStyle name="40% - Accent3 4 4 3 3" xfId="24738"/>
    <cellStyle name="40% - Accent3 4 4 30" xfId="21315"/>
    <cellStyle name="40% - Accent3 4 4 30 2" xfId="44090"/>
    <cellStyle name="40% - Accent3 4 4 31" xfId="21971"/>
    <cellStyle name="40% - Accent3 4 4 31 2" xfId="44746"/>
    <cellStyle name="40% - Accent3 4 4 32" xfId="22627"/>
    <cellStyle name="40% - Accent3 4 4 32 2" xfId="45402"/>
    <cellStyle name="40% - Accent3 4 4 33" xfId="23426"/>
    <cellStyle name="40% - Accent3 4 4 4" xfId="4915"/>
    <cellStyle name="40% - Accent3 4 4 4 2" xfId="27690"/>
    <cellStyle name="40% - Accent3 4 4 5" xfId="5571"/>
    <cellStyle name="40% - Accent3 4 4 5 2" xfId="28346"/>
    <cellStyle name="40% - Accent3 4 4 6" xfId="6227"/>
    <cellStyle name="40% - Accent3 4 4 6 2" xfId="29002"/>
    <cellStyle name="40% - Accent3 4 4 7" xfId="2947"/>
    <cellStyle name="40% - Accent3 4 4 7 2" xfId="25722"/>
    <cellStyle name="40% - Accent3 4 4 8" xfId="6883"/>
    <cellStyle name="40% - Accent3 4 4 8 2" xfId="29658"/>
    <cellStyle name="40% - Accent3 4 4 9" xfId="7539"/>
    <cellStyle name="40% - Accent3 4 4 9 2" xfId="30314"/>
    <cellStyle name="40% - Accent3 4 5" xfId="324"/>
    <cellStyle name="40% - Accent3 4 5 2" xfId="2619"/>
    <cellStyle name="40% - Accent3 4 5 2 2" xfId="25394"/>
    <cellStyle name="40% - Accent3 4 5 3" xfId="23098"/>
    <cellStyle name="40% - Accent3 4 6" xfId="979"/>
    <cellStyle name="40% - Accent3 4 6 2" xfId="3275"/>
    <cellStyle name="40% - Accent3 4 6 2 2" xfId="26050"/>
    <cellStyle name="40% - Accent3 4 6 3" xfId="23754"/>
    <cellStyle name="40% - Accent3 4 7" xfId="1635"/>
    <cellStyle name="40% - Accent3 4 7 2" xfId="3931"/>
    <cellStyle name="40% - Accent3 4 7 2 2" xfId="26706"/>
    <cellStyle name="40% - Accent3 4 7 3" xfId="24410"/>
    <cellStyle name="40% - Accent3 4 8" xfId="4587"/>
    <cellStyle name="40% - Accent3 4 8 2" xfId="27362"/>
    <cellStyle name="40% - Accent3 4 9" xfId="5243"/>
    <cellStyle name="40% - Accent3 4 9 2" xfId="28018"/>
    <cellStyle name="40% - Accent3 40" xfId="20286"/>
    <cellStyle name="40% - Accent3 40 2" xfId="43061"/>
    <cellStyle name="40% - Accent3 41" xfId="20942"/>
    <cellStyle name="40% - Accent3 41 2" xfId="43717"/>
    <cellStyle name="40% - Accent3 42" xfId="21598"/>
    <cellStyle name="40% - Accent3 42 2" xfId="44373"/>
    <cellStyle name="40% - Accent3 43" xfId="22254"/>
    <cellStyle name="40% - Accent3 43 2" xfId="45029"/>
    <cellStyle name="40% - Accent3 44" xfId="193"/>
    <cellStyle name="40% - Accent3 45" xfId="22910"/>
    <cellStyle name="40% - Accent3 5" xfId="107"/>
    <cellStyle name="40% - Accent3 5 10" xfId="5913"/>
    <cellStyle name="40% - Accent3 5 10 2" xfId="28688"/>
    <cellStyle name="40% - Accent3 5 11" xfId="2305"/>
    <cellStyle name="40% - Accent3 5 11 2" xfId="25080"/>
    <cellStyle name="40% - Accent3 5 12" xfId="6569"/>
    <cellStyle name="40% - Accent3 5 12 2" xfId="29344"/>
    <cellStyle name="40% - Accent3 5 13" xfId="7225"/>
    <cellStyle name="40% - Accent3 5 13 2" xfId="30000"/>
    <cellStyle name="40% - Accent3 5 14" xfId="7881"/>
    <cellStyle name="40% - Accent3 5 14 2" xfId="30656"/>
    <cellStyle name="40% - Accent3 5 15" xfId="8537"/>
    <cellStyle name="40% - Accent3 5 15 2" xfId="31312"/>
    <cellStyle name="40% - Accent3 5 16" xfId="9193"/>
    <cellStyle name="40% - Accent3 5 16 2" xfId="31968"/>
    <cellStyle name="40% - Accent3 5 17" xfId="9849"/>
    <cellStyle name="40% - Accent3 5 17 2" xfId="32624"/>
    <cellStyle name="40% - Accent3 5 18" xfId="10505"/>
    <cellStyle name="40% - Accent3 5 18 2" xfId="33280"/>
    <cellStyle name="40% - Accent3 5 19" xfId="11161"/>
    <cellStyle name="40% - Accent3 5 19 2" xfId="33936"/>
    <cellStyle name="40% - Accent3 5 2" xfId="178"/>
    <cellStyle name="40% - Accent3 5 2 10" xfId="2376"/>
    <cellStyle name="40% - Accent3 5 2 10 2" xfId="25151"/>
    <cellStyle name="40% - Accent3 5 2 11" xfId="6640"/>
    <cellStyle name="40% - Accent3 5 2 11 2" xfId="29415"/>
    <cellStyle name="40% - Accent3 5 2 12" xfId="7296"/>
    <cellStyle name="40% - Accent3 5 2 12 2" xfId="30071"/>
    <cellStyle name="40% - Accent3 5 2 13" xfId="7952"/>
    <cellStyle name="40% - Accent3 5 2 13 2" xfId="30727"/>
    <cellStyle name="40% - Accent3 5 2 14" xfId="8608"/>
    <cellStyle name="40% - Accent3 5 2 14 2" xfId="31383"/>
    <cellStyle name="40% - Accent3 5 2 15" xfId="9264"/>
    <cellStyle name="40% - Accent3 5 2 15 2" xfId="32039"/>
    <cellStyle name="40% - Accent3 5 2 16" xfId="9920"/>
    <cellStyle name="40% - Accent3 5 2 16 2" xfId="32695"/>
    <cellStyle name="40% - Accent3 5 2 17" xfId="10576"/>
    <cellStyle name="40% - Accent3 5 2 17 2" xfId="33351"/>
    <cellStyle name="40% - Accent3 5 2 18" xfId="11232"/>
    <cellStyle name="40% - Accent3 5 2 18 2" xfId="34007"/>
    <cellStyle name="40% - Accent3 5 2 19" xfId="11888"/>
    <cellStyle name="40% - Accent3 5 2 19 2" xfId="34663"/>
    <cellStyle name="40% - Accent3 5 2 2" xfId="592"/>
    <cellStyle name="40% - Accent3 5 2 2 10" xfId="6825"/>
    <cellStyle name="40% - Accent3 5 2 2 10 2" xfId="29600"/>
    <cellStyle name="40% - Accent3 5 2 2 11" xfId="7481"/>
    <cellStyle name="40% - Accent3 5 2 2 11 2" xfId="30256"/>
    <cellStyle name="40% - Accent3 5 2 2 12" xfId="8137"/>
    <cellStyle name="40% - Accent3 5 2 2 12 2" xfId="30912"/>
    <cellStyle name="40% - Accent3 5 2 2 13" xfId="8793"/>
    <cellStyle name="40% - Accent3 5 2 2 13 2" xfId="31568"/>
    <cellStyle name="40% - Accent3 5 2 2 14" xfId="9449"/>
    <cellStyle name="40% - Accent3 5 2 2 14 2" xfId="32224"/>
    <cellStyle name="40% - Accent3 5 2 2 15" xfId="10105"/>
    <cellStyle name="40% - Accent3 5 2 2 15 2" xfId="32880"/>
    <cellStyle name="40% - Accent3 5 2 2 16" xfId="10761"/>
    <cellStyle name="40% - Accent3 5 2 2 16 2" xfId="33536"/>
    <cellStyle name="40% - Accent3 5 2 2 17" xfId="11417"/>
    <cellStyle name="40% - Accent3 5 2 2 17 2" xfId="34192"/>
    <cellStyle name="40% - Accent3 5 2 2 18" xfId="12073"/>
    <cellStyle name="40% - Accent3 5 2 2 18 2" xfId="34848"/>
    <cellStyle name="40% - Accent3 5 2 2 19" xfId="12729"/>
    <cellStyle name="40% - Accent3 5 2 2 19 2" xfId="35504"/>
    <cellStyle name="40% - Accent3 5 2 2 2" xfId="921"/>
    <cellStyle name="40% - Accent3 5 2 2 2 10" xfId="8465"/>
    <cellStyle name="40% - Accent3 5 2 2 2 10 2" xfId="31240"/>
    <cellStyle name="40% - Accent3 5 2 2 2 11" xfId="9121"/>
    <cellStyle name="40% - Accent3 5 2 2 2 11 2" xfId="31896"/>
    <cellStyle name="40% - Accent3 5 2 2 2 12" xfId="9777"/>
    <cellStyle name="40% - Accent3 5 2 2 2 12 2" xfId="32552"/>
    <cellStyle name="40% - Accent3 5 2 2 2 13" xfId="10433"/>
    <cellStyle name="40% - Accent3 5 2 2 2 13 2" xfId="33208"/>
    <cellStyle name="40% - Accent3 5 2 2 2 14" xfId="11089"/>
    <cellStyle name="40% - Accent3 5 2 2 2 14 2" xfId="33864"/>
    <cellStyle name="40% - Accent3 5 2 2 2 15" xfId="11745"/>
    <cellStyle name="40% - Accent3 5 2 2 2 15 2" xfId="34520"/>
    <cellStyle name="40% - Accent3 5 2 2 2 16" xfId="12401"/>
    <cellStyle name="40% - Accent3 5 2 2 2 16 2" xfId="35176"/>
    <cellStyle name="40% - Accent3 5 2 2 2 17" xfId="13057"/>
    <cellStyle name="40% - Accent3 5 2 2 2 17 2" xfId="35832"/>
    <cellStyle name="40% - Accent3 5 2 2 2 18" xfId="13713"/>
    <cellStyle name="40% - Accent3 5 2 2 2 18 2" xfId="36488"/>
    <cellStyle name="40% - Accent3 5 2 2 2 19" xfId="14369"/>
    <cellStyle name="40% - Accent3 5 2 2 2 19 2" xfId="37144"/>
    <cellStyle name="40% - Accent3 5 2 2 2 2" xfId="1577"/>
    <cellStyle name="40% - Accent3 5 2 2 2 2 2" xfId="3873"/>
    <cellStyle name="40% - Accent3 5 2 2 2 2 2 2" xfId="26648"/>
    <cellStyle name="40% - Accent3 5 2 2 2 2 3" xfId="24352"/>
    <cellStyle name="40% - Accent3 5 2 2 2 20" xfId="15025"/>
    <cellStyle name="40% - Accent3 5 2 2 2 20 2" xfId="37800"/>
    <cellStyle name="40% - Accent3 5 2 2 2 21" xfId="15681"/>
    <cellStyle name="40% - Accent3 5 2 2 2 21 2" xfId="38456"/>
    <cellStyle name="40% - Accent3 5 2 2 2 22" xfId="16337"/>
    <cellStyle name="40% - Accent3 5 2 2 2 22 2" xfId="39112"/>
    <cellStyle name="40% - Accent3 5 2 2 2 23" xfId="16993"/>
    <cellStyle name="40% - Accent3 5 2 2 2 23 2" xfId="39768"/>
    <cellStyle name="40% - Accent3 5 2 2 2 24" xfId="17649"/>
    <cellStyle name="40% - Accent3 5 2 2 2 24 2" xfId="40424"/>
    <cellStyle name="40% - Accent3 5 2 2 2 25" xfId="18305"/>
    <cellStyle name="40% - Accent3 5 2 2 2 25 2" xfId="41080"/>
    <cellStyle name="40% - Accent3 5 2 2 2 26" xfId="18961"/>
    <cellStyle name="40% - Accent3 5 2 2 2 26 2" xfId="41736"/>
    <cellStyle name="40% - Accent3 5 2 2 2 27" xfId="19617"/>
    <cellStyle name="40% - Accent3 5 2 2 2 27 2" xfId="42392"/>
    <cellStyle name="40% - Accent3 5 2 2 2 28" xfId="20273"/>
    <cellStyle name="40% - Accent3 5 2 2 2 28 2" xfId="43048"/>
    <cellStyle name="40% - Accent3 5 2 2 2 29" xfId="20929"/>
    <cellStyle name="40% - Accent3 5 2 2 2 29 2" xfId="43704"/>
    <cellStyle name="40% - Accent3 5 2 2 2 3" xfId="2233"/>
    <cellStyle name="40% - Accent3 5 2 2 2 3 2" xfId="4529"/>
    <cellStyle name="40% - Accent3 5 2 2 2 3 2 2" xfId="27304"/>
    <cellStyle name="40% - Accent3 5 2 2 2 3 3" xfId="25008"/>
    <cellStyle name="40% - Accent3 5 2 2 2 30" xfId="21585"/>
    <cellStyle name="40% - Accent3 5 2 2 2 30 2" xfId="44360"/>
    <cellStyle name="40% - Accent3 5 2 2 2 31" xfId="22241"/>
    <cellStyle name="40% - Accent3 5 2 2 2 31 2" xfId="45016"/>
    <cellStyle name="40% - Accent3 5 2 2 2 32" xfId="22897"/>
    <cellStyle name="40% - Accent3 5 2 2 2 32 2" xfId="45672"/>
    <cellStyle name="40% - Accent3 5 2 2 2 33" xfId="23696"/>
    <cellStyle name="40% - Accent3 5 2 2 2 4" xfId="5185"/>
    <cellStyle name="40% - Accent3 5 2 2 2 4 2" xfId="27960"/>
    <cellStyle name="40% - Accent3 5 2 2 2 5" xfId="5841"/>
    <cellStyle name="40% - Accent3 5 2 2 2 5 2" xfId="28616"/>
    <cellStyle name="40% - Accent3 5 2 2 2 6" xfId="6497"/>
    <cellStyle name="40% - Accent3 5 2 2 2 6 2" xfId="29272"/>
    <cellStyle name="40% - Accent3 5 2 2 2 7" xfId="3217"/>
    <cellStyle name="40% - Accent3 5 2 2 2 7 2" xfId="25992"/>
    <cellStyle name="40% - Accent3 5 2 2 2 8" xfId="7153"/>
    <cellStyle name="40% - Accent3 5 2 2 2 8 2" xfId="29928"/>
    <cellStyle name="40% - Accent3 5 2 2 2 9" xfId="7809"/>
    <cellStyle name="40% - Accent3 5 2 2 2 9 2" xfId="30584"/>
    <cellStyle name="40% - Accent3 5 2 2 20" xfId="13385"/>
    <cellStyle name="40% - Accent3 5 2 2 20 2" xfId="36160"/>
    <cellStyle name="40% - Accent3 5 2 2 21" xfId="14041"/>
    <cellStyle name="40% - Accent3 5 2 2 21 2" xfId="36816"/>
    <cellStyle name="40% - Accent3 5 2 2 22" xfId="14697"/>
    <cellStyle name="40% - Accent3 5 2 2 22 2" xfId="37472"/>
    <cellStyle name="40% - Accent3 5 2 2 23" xfId="15353"/>
    <cellStyle name="40% - Accent3 5 2 2 23 2" xfId="38128"/>
    <cellStyle name="40% - Accent3 5 2 2 24" xfId="16009"/>
    <cellStyle name="40% - Accent3 5 2 2 24 2" xfId="38784"/>
    <cellStyle name="40% - Accent3 5 2 2 25" xfId="16665"/>
    <cellStyle name="40% - Accent3 5 2 2 25 2" xfId="39440"/>
    <cellStyle name="40% - Accent3 5 2 2 26" xfId="17321"/>
    <cellStyle name="40% - Accent3 5 2 2 26 2" xfId="40096"/>
    <cellStyle name="40% - Accent3 5 2 2 27" xfId="17977"/>
    <cellStyle name="40% - Accent3 5 2 2 27 2" xfId="40752"/>
    <cellStyle name="40% - Accent3 5 2 2 28" xfId="18633"/>
    <cellStyle name="40% - Accent3 5 2 2 28 2" xfId="41408"/>
    <cellStyle name="40% - Accent3 5 2 2 29" xfId="19289"/>
    <cellStyle name="40% - Accent3 5 2 2 29 2" xfId="42064"/>
    <cellStyle name="40% - Accent3 5 2 2 3" xfId="1249"/>
    <cellStyle name="40% - Accent3 5 2 2 3 2" xfId="2889"/>
    <cellStyle name="40% - Accent3 5 2 2 3 2 2" xfId="25664"/>
    <cellStyle name="40% - Accent3 5 2 2 3 3" xfId="24024"/>
    <cellStyle name="40% - Accent3 5 2 2 30" xfId="19945"/>
    <cellStyle name="40% - Accent3 5 2 2 30 2" xfId="42720"/>
    <cellStyle name="40% - Accent3 5 2 2 31" xfId="20601"/>
    <cellStyle name="40% - Accent3 5 2 2 31 2" xfId="43376"/>
    <cellStyle name="40% - Accent3 5 2 2 32" xfId="21257"/>
    <cellStyle name="40% - Accent3 5 2 2 32 2" xfId="44032"/>
    <cellStyle name="40% - Accent3 5 2 2 33" xfId="21913"/>
    <cellStyle name="40% - Accent3 5 2 2 33 2" xfId="44688"/>
    <cellStyle name="40% - Accent3 5 2 2 34" xfId="22569"/>
    <cellStyle name="40% - Accent3 5 2 2 34 2" xfId="45344"/>
    <cellStyle name="40% - Accent3 5 2 2 35" xfId="23368"/>
    <cellStyle name="40% - Accent3 5 2 2 4" xfId="1905"/>
    <cellStyle name="40% - Accent3 5 2 2 4 2" xfId="3545"/>
    <cellStyle name="40% - Accent3 5 2 2 4 2 2" xfId="26320"/>
    <cellStyle name="40% - Accent3 5 2 2 4 3" xfId="24680"/>
    <cellStyle name="40% - Accent3 5 2 2 5" xfId="4201"/>
    <cellStyle name="40% - Accent3 5 2 2 5 2" xfId="26976"/>
    <cellStyle name="40% - Accent3 5 2 2 6" xfId="4857"/>
    <cellStyle name="40% - Accent3 5 2 2 6 2" xfId="27632"/>
    <cellStyle name="40% - Accent3 5 2 2 7" xfId="5513"/>
    <cellStyle name="40% - Accent3 5 2 2 7 2" xfId="28288"/>
    <cellStyle name="40% - Accent3 5 2 2 8" xfId="6169"/>
    <cellStyle name="40% - Accent3 5 2 2 8 2" xfId="28944"/>
    <cellStyle name="40% - Accent3 5 2 2 9" xfId="2561"/>
    <cellStyle name="40% - Accent3 5 2 2 9 2" xfId="25336"/>
    <cellStyle name="40% - Accent3 5 2 20" xfId="12544"/>
    <cellStyle name="40% - Accent3 5 2 20 2" xfId="35319"/>
    <cellStyle name="40% - Accent3 5 2 21" xfId="13200"/>
    <cellStyle name="40% - Accent3 5 2 21 2" xfId="35975"/>
    <cellStyle name="40% - Accent3 5 2 22" xfId="13856"/>
    <cellStyle name="40% - Accent3 5 2 22 2" xfId="36631"/>
    <cellStyle name="40% - Accent3 5 2 23" xfId="14512"/>
    <cellStyle name="40% - Accent3 5 2 23 2" xfId="37287"/>
    <cellStyle name="40% - Accent3 5 2 24" xfId="15168"/>
    <cellStyle name="40% - Accent3 5 2 24 2" xfId="37943"/>
    <cellStyle name="40% - Accent3 5 2 25" xfId="15824"/>
    <cellStyle name="40% - Accent3 5 2 25 2" xfId="38599"/>
    <cellStyle name="40% - Accent3 5 2 26" xfId="16480"/>
    <cellStyle name="40% - Accent3 5 2 26 2" xfId="39255"/>
    <cellStyle name="40% - Accent3 5 2 27" xfId="17136"/>
    <cellStyle name="40% - Accent3 5 2 27 2" xfId="39911"/>
    <cellStyle name="40% - Accent3 5 2 28" xfId="17792"/>
    <cellStyle name="40% - Accent3 5 2 28 2" xfId="40567"/>
    <cellStyle name="40% - Accent3 5 2 29" xfId="18448"/>
    <cellStyle name="40% - Accent3 5 2 29 2" xfId="41223"/>
    <cellStyle name="40% - Accent3 5 2 3" xfId="736"/>
    <cellStyle name="40% - Accent3 5 2 3 10" xfId="8280"/>
    <cellStyle name="40% - Accent3 5 2 3 10 2" xfId="31055"/>
    <cellStyle name="40% - Accent3 5 2 3 11" xfId="8936"/>
    <cellStyle name="40% - Accent3 5 2 3 11 2" xfId="31711"/>
    <cellStyle name="40% - Accent3 5 2 3 12" xfId="9592"/>
    <cellStyle name="40% - Accent3 5 2 3 12 2" xfId="32367"/>
    <cellStyle name="40% - Accent3 5 2 3 13" xfId="10248"/>
    <cellStyle name="40% - Accent3 5 2 3 13 2" xfId="33023"/>
    <cellStyle name="40% - Accent3 5 2 3 14" xfId="10904"/>
    <cellStyle name="40% - Accent3 5 2 3 14 2" xfId="33679"/>
    <cellStyle name="40% - Accent3 5 2 3 15" xfId="11560"/>
    <cellStyle name="40% - Accent3 5 2 3 15 2" xfId="34335"/>
    <cellStyle name="40% - Accent3 5 2 3 16" xfId="12216"/>
    <cellStyle name="40% - Accent3 5 2 3 16 2" xfId="34991"/>
    <cellStyle name="40% - Accent3 5 2 3 17" xfId="12872"/>
    <cellStyle name="40% - Accent3 5 2 3 17 2" xfId="35647"/>
    <cellStyle name="40% - Accent3 5 2 3 18" xfId="13528"/>
    <cellStyle name="40% - Accent3 5 2 3 18 2" xfId="36303"/>
    <cellStyle name="40% - Accent3 5 2 3 19" xfId="14184"/>
    <cellStyle name="40% - Accent3 5 2 3 19 2" xfId="36959"/>
    <cellStyle name="40% - Accent3 5 2 3 2" xfId="1392"/>
    <cellStyle name="40% - Accent3 5 2 3 2 2" xfId="3688"/>
    <cellStyle name="40% - Accent3 5 2 3 2 2 2" xfId="26463"/>
    <cellStyle name="40% - Accent3 5 2 3 2 3" xfId="24167"/>
    <cellStyle name="40% - Accent3 5 2 3 20" xfId="14840"/>
    <cellStyle name="40% - Accent3 5 2 3 20 2" xfId="37615"/>
    <cellStyle name="40% - Accent3 5 2 3 21" xfId="15496"/>
    <cellStyle name="40% - Accent3 5 2 3 21 2" xfId="38271"/>
    <cellStyle name="40% - Accent3 5 2 3 22" xfId="16152"/>
    <cellStyle name="40% - Accent3 5 2 3 22 2" xfId="38927"/>
    <cellStyle name="40% - Accent3 5 2 3 23" xfId="16808"/>
    <cellStyle name="40% - Accent3 5 2 3 23 2" xfId="39583"/>
    <cellStyle name="40% - Accent3 5 2 3 24" xfId="17464"/>
    <cellStyle name="40% - Accent3 5 2 3 24 2" xfId="40239"/>
    <cellStyle name="40% - Accent3 5 2 3 25" xfId="18120"/>
    <cellStyle name="40% - Accent3 5 2 3 25 2" xfId="40895"/>
    <cellStyle name="40% - Accent3 5 2 3 26" xfId="18776"/>
    <cellStyle name="40% - Accent3 5 2 3 26 2" xfId="41551"/>
    <cellStyle name="40% - Accent3 5 2 3 27" xfId="19432"/>
    <cellStyle name="40% - Accent3 5 2 3 27 2" xfId="42207"/>
    <cellStyle name="40% - Accent3 5 2 3 28" xfId="20088"/>
    <cellStyle name="40% - Accent3 5 2 3 28 2" xfId="42863"/>
    <cellStyle name="40% - Accent3 5 2 3 29" xfId="20744"/>
    <cellStyle name="40% - Accent3 5 2 3 29 2" xfId="43519"/>
    <cellStyle name="40% - Accent3 5 2 3 3" xfId="2048"/>
    <cellStyle name="40% - Accent3 5 2 3 3 2" xfId="4344"/>
    <cellStyle name="40% - Accent3 5 2 3 3 2 2" xfId="27119"/>
    <cellStyle name="40% - Accent3 5 2 3 3 3" xfId="24823"/>
    <cellStyle name="40% - Accent3 5 2 3 30" xfId="21400"/>
    <cellStyle name="40% - Accent3 5 2 3 30 2" xfId="44175"/>
    <cellStyle name="40% - Accent3 5 2 3 31" xfId="22056"/>
    <cellStyle name="40% - Accent3 5 2 3 31 2" xfId="44831"/>
    <cellStyle name="40% - Accent3 5 2 3 32" xfId="22712"/>
    <cellStyle name="40% - Accent3 5 2 3 32 2" xfId="45487"/>
    <cellStyle name="40% - Accent3 5 2 3 33" xfId="23511"/>
    <cellStyle name="40% - Accent3 5 2 3 4" xfId="5000"/>
    <cellStyle name="40% - Accent3 5 2 3 4 2" xfId="27775"/>
    <cellStyle name="40% - Accent3 5 2 3 5" xfId="5656"/>
    <cellStyle name="40% - Accent3 5 2 3 5 2" xfId="28431"/>
    <cellStyle name="40% - Accent3 5 2 3 6" xfId="6312"/>
    <cellStyle name="40% - Accent3 5 2 3 6 2" xfId="29087"/>
    <cellStyle name="40% - Accent3 5 2 3 7" xfId="3032"/>
    <cellStyle name="40% - Accent3 5 2 3 7 2" xfId="25807"/>
    <cellStyle name="40% - Accent3 5 2 3 8" xfId="6968"/>
    <cellStyle name="40% - Accent3 5 2 3 8 2" xfId="29743"/>
    <cellStyle name="40% - Accent3 5 2 3 9" xfId="7624"/>
    <cellStyle name="40% - Accent3 5 2 3 9 2" xfId="30399"/>
    <cellStyle name="40% - Accent3 5 2 30" xfId="19104"/>
    <cellStyle name="40% - Accent3 5 2 30 2" xfId="41879"/>
    <cellStyle name="40% - Accent3 5 2 31" xfId="19760"/>
    <cellStyle name="40% - Accent3 5 2 31 2" xfId="42535"/>
    <cellStyle name="40% - Accent3 5 2 32" xfId="20416"/>
    <cellStyle name="40% - Accent3 5 2 32 2" xfId="43191"/>
    <cellStyle name="40% - Accent3 5 2 33" xfId="21072"/>
    <cellStyle name="40% - Accent3 5 2 33 2" xfId="43847"/>
    <cellStyle name="40% - Accent3 5 2 34" xfId="21728"/>
    <cellStyle name="40% - Accent3 5 2 34 2" xfId="44503"/>
    <cellStyle name="40% - Accent3 5 2 35" xfId="22384"/>
    <cellStyle name="40% - Accent3 5 2 35 2" xfId="45159"/>
    <cellStyle name="40% - Accent3 5 2 36" xfId="23040"/>
    <cellStyle name="40% - Accent3 5 2 4" xfId="409"/>
    <cellStyle name="40% - Accent3 5 2 4 2" xfId="2704"/>
    <cellStyle name="40% - Accent3 5 2 4 2 2" xfId="25479"/>
    <cellStyle name="40% - Accent3 5 2 4 3" xfId="23183"/>
    <cellStyle name="40% - Accent3 5 2 5" xfId="1064"/>
    <cellStyle name="40% - Accent3 5 2 5 2" xfId="3360"/>
    <cellStyle name="40% - Accent3 5 2 5 2 2" xfId="26135"/>
    <cellStyle name="40% - Accent3 5 2 5 3" xfId="23839"/>
    <cellStyle name="40% - Accent3 5 2 6" xfId="1720"/>
    <cellStyle name="40% - Accent3 5 2 6 2" xfId="4016"/>
    <cellStyle name="40% - Accent3 5 2 6 2 2" xfId="26791"/>
    <cellStyle name="40% - Accent3 5 2 6 3" xfId="24495"/>
    <cellStyle name="40% - Accent3 5 2 7" xfId="4672"/>
    <cellStyle name="40% - Accent3 5 2 7 2" xfId="27447"/>
    <cellStyle name="40% - Accent3 5 2 8" xfId="5328"/>
    <cellStyle name="40% - Accent3 5 2 8 2" xfId="28103"/>
    <cellStyle name="40% - Accent3 5 2 9" xfId="5984"/>
    <cellStyle name="40% - Accent3 5 2 9 2" xfId="28759"/>
    <cellStyle name="40% - Accent3 5 20" xfId="11817"/>
    <cellStyle name="40% - Accent3 5 20 2" xfId="34592"/>
    <cellStyle name="40% - Accent3 5 21" xfId="12473"/>
    <cellStyle name="40% - Accent3 5 21 2" xfId="35248"/>
    <cellStyle name="40% - Accent3 5 22" xfId="13129"/>
    <cellStyle name="40% - Accent3 5 22 2" xfId="35904"/>
    <cellStyle name="40% - Accent3 5 23" xfId="13785"/>
    <cellStyle name="40% - Accent3 5 23 2" xfId="36560"/>
    <cellStyle name="40% - Accent3 5 24" xfId="14441"/>
    <cellStyle name="40% - Accent3 5 24 2" xfId="37216"/>
    <cellStyle name="40% - Accent3 5 25" xfId="15097"/>
    <cellStyle name="40% - Accent3 5 25 2" xfId="37872"/>
    <cellStyle name="40% - Accent3 5 26" xfId="15753"/>
    <cellStyle name="40% - Accent3 5 26 2" xfId="38528"/>
    <cellStyle name="40% - Accent3 5 27" xfId="16409"/>
    <cellStyle name="40% - Accent3 5 27 2" xfId="39184"/>
    <cellStyle name="40% - Accent3 5 28" xfId="17065"/>
    <cellStyle name="40% - Accent3 5 28 2" xfId="39840"/>
    <cellStyle name="40% - Accent3 5 29" xfId="17721"/>
    <cellStyle name="40% - Accent3 5 29 2" xfId="40496"/>
    <cellStyle name="40% - Accent3 5 3" xfId="522"/>
    <cellStyle name="40% - Accent3 5 3 10" xfId="6754"/>
    <cellStyle name="40% - Accent3 5 3 10 2" xfId="29529"/>
    <cellStyle name="40% - Accent3 5 3 11" xfId="7410"/>
    <cellStyle name="40% - Accent3 5 3 11 2" xfId="30185"/>
    <cellStyle name="40% - Accent3 5 3 12" xfId="8066"/>
    <cellStyle name="40% - Accent3 5 3 12 2" xfId="30841"/>
    <cellStyle name="40% - Accent3 5 3 13" xfId="8722"/>
    <cellStyle name="40% - Accent3 5 3 13 2" xfId="31497"/>
    <cellStyle name="40% - Accent3 5 3 14" xfId="9378"/>
    <cellStyle name="40% - Accent3 5 3 14 2" xfId="32153"/>
    <cellStyle name="40% - Accent3 5 3 15" xfId="10034"/>
    <cellStyle name="40% - Accent3 5 3 15 2" xfId="32809"/>
    <cellStyle name="40% - Accent3 5 3 16" xfId="10690"/>
    <cellStyle name="40% - Accent3 5 3 16 2" xfId="33465"/>
    <cellStyle name="40% - Accent3 5 3 17" xfId="11346"/>
    <cellStyle name="40% - Accent3 5 3 17 2" xfId="34121"/>
    <cellStyle name="40% - Accent3 5 3 18" xfId="12002"/>
    <cellStyle name="40% - Accent3 5 3 18 2" xfId="34777"/>
    <cellStyle name="40% - Accent3 5 3 19" xfId="12658"/>
    <cellStyle name="40% - Accent3 5 3 19 2" xfId="35433"/>
    <cellStyle name="40% - Accent3 5 3 2" xfId="850"/>
    <cellStyle name="40% - Accent3 5 3 2 10" xfId="8394"/>
    <cellStyle name="40% - Accent3 5 3 2 10 2" xfId="31169"/>
    <cellStyle name="40% - Accent3 5 3 2 11" xfId="9050"/>
    <cellStyle name="40% - Accent3 5 3 2 11 2" xfId="31825"/>
    <cellStyle name="40% - Accent3 5 3 2 12" xfId="9706"/>
    <cellStyle name="40% - Accent3 5 3 2 12 2" xfId="32481"/>
    <cellStyle name="40% - Accent3 5 3 2 13" xfId="10362"/>
    <cellStyle name="40% - Accent3 5 3 2 13 2" xfId="33137"/>
    <cellStyle name="40% - Accent3 5 3 2 14" xfId="11018"/>
    <cellStyle name="40% - Accent3 5 3 2 14 2" xfId="33793"/>
    <cellStyle name="40% - Accent3 5 3 2 15" xfId="11674"/>
    <cellStyle name="40% - Accent3 5 3 2 15 2" xfId="34449"/>
    <cellStyle name="40% - Accent3 5 3 2 16" xfId="12330"/>
    <cellStyle name="40% - Accent3 5 3 2 16 2" xfId="35105"/>
    <cellStyle name="40% - Accent3 5 3 2 17" xfId="12986"/>
    <cellStyle name="40% - Accent3 5 3 2 17 2" xfId="35761"/>
    <cellStyle name="40% - Accent3 5 3 2 18" xfId="13642"/>
    <cellStyle name="40% - Accent3 5 3 2 18 2" xfId="36417"/>
    <cellStyle name="40% - Accent3 5 3 2 19" xfId="14298"/>
    <cellStyle name="40% - Accent3 5 3 2 19 2" xfId="37073"/>
    <cellStyle name="40% - Accent3 5 3 2 2" xfId="1506"/>
    <cellStyle name="40% - Accent3 5 3 2 2 2" xfId="3802"/>
    <cellStyle name="40% - Accent3 5 3 2 2 2 2" xfId="26577"/>
    <cellStyle name="40% - Accent3 5 3 2 2 3" xfId="24281"/>
    <cellStyle name="40% - Accent3 5 3 2 20" xfId="14954"/>
    <cellStyle name="40% - Accent3 5 3 2 20 2" xfId="37729"/>
    <cellStyle name="40% - Accent3 5 3 2 21" xfId="15610"/>
    <cellStyle name="40% - Accent3 5 3 2 21 2" xfId="38385"/>
    <cellStyle name="40% - Accent3 5 3 2 22" xfId="16266"/>
    <cellStyle name="40% - Accent3 5 3 2 22 2" xfId="39041"/>
    <cellStyle name="40% - Accent3 5 3 2 23" xfId="16922"/>
    <cellStyle name="40% - Accent3 5 3 2 23 2" xfId="39697"/>
    <cellStyle name="40% - Accent3 5 3 2 24" xfId="17578"/>
    <cellStyle name="40% - Accent3 5 3 2 24 2" xfId="40353"/>
    <cellStyle name="40% - Accent3 5 3 2 25" xfId="18234"/>
    <cellStyle name="40% - Accent3 5 3 2 25 2" xfId="41009"/>
    <cellStyle name="40% - Accent3 5 3 2 26" xfId="18890"/>
    <cellStyle name="40% - Accent3 5 3 2 26 2" xfId="41665"/>
    <cellStyle name="40% - Accent3 5 3 2 27" xfId="19546"/>
    <cellStyle name="40% - Accent3 5 3 2 27 2" xfId="42321"/>
    <cellStyle name="40% - Accent3 5 3 2 28" xfId="20202"/>
    <cellStyle name="40% - Accent3 5 3 2 28 2" xfId="42977"/>
    <cellStyle name="40% - Accent3 5 3 2 29" xfId="20858"/>
    <cellStyle name="40% - Accent3 5 3 2 29 2" xfId="43633"/>
    <cellStyle name="40% - Accent3 5 3 2 3" xfId="2162"/>
    <cellStyle name="40% - Accent3 5 3 2 3 2" xfId="4458"/>
    <cellStyle name="40% - Accent3 5 3 2 3 2 2" xfId="27233"/>
    <cellStyle name="40% - Accent3 5 3 2 3 3" xfId="24937"/>
    <cellStyle name="40% - Accent3 5 3 2 30" xfId="21514"/>
    <cellStyle name="40% - Accent3 5 3 2 30 2" xfId="44289"/>
    <cellStyle name="40% - Accent3 5 3 2 31" xfId="22170"/>
    <cellStyle name="40% - Accent3 5 3 2 31 2" xfId="44945"/>
    <cellStyle name="40% - Accent3 5 3 2 32" xfId="22826"/>
    <cellStyle name="40% - Accent3 5 3 2 32 2" xfId="45601"/>
    <cellStyle name="40% - Accent3 5 3 2 33" xfId="23625"/>
    <cellStyle name="40% - Accent3 5 3 2 4" xfId="5114"/>
    <cellStyle name="40% - Accent3 5 3 2 4 2" xfId="27889"/>
    <cellStyle name="40% - Accent3 5 3 2 5" xfId="5770"/>
    <cellStyle name="40% - Accent3 5 3 2 5 2" xfId="28545"/>
    <cellStyle name="40% - Accent3 5 3 2 6" xfId="6426"/>
    <cellStyle name="40% - Accent3 5 3 2 6 2" xfId="29201"/>
    <cellStyle name="40% - Accent3 5 3 2 7" xfId="3146"/>
    <cellStyle name="40% - Accent3 5 3 2 7 2" xfId="25921"/>
    <cellStyle name="40% - Accent3 5 3 2 8" xfId="7082"/>
    <cellStyle name="40% - Accent3 5 3 2 8 2" xfId="29857"/>
    <cellStyle name="40% - Accent3 5 3 2 9" xfId="7738"/>
    <cellStyle name="40% - Accent3 5 3 2 9 2" xfId="30513"/>
    <cellStyle name="40% - Accent3 5 3 20" xfId="13314"/>
    <cellStyle name="40% - Accent3 5 3 20 2" xfId="36089"/>
    <cellStyle name="40% - Accent3 5 3 21" xfId="13970"/>
    <cellStyle name="40% - Accent3 5 3 21 2" xfId="36745"/>
    <cellStyle name="40% - Accent3 5 3 22" xfId="14626"/>
    <cellStyle name="40% - Accent3 5 3 22 2" xfId="37401"/>
    <cellStyle name="40% - Accent3 5 3 23" xfId="15282"/>
    <cellStyle name="40% - Accent3 5 3 23 2" xfId="38057"/>
    <cellStyle name="40% - Accent3 5 3 24" xfId="15938"/>
    <cellStyle name="40% - Accent3 5 3 24 2" xfId="38713"/>
    <cellStyle name="40% - Accent3 5 3 25" xfId="16594"/>
    <cellStyle name="40% - Accent3 5 3 25 2" xfId="39369"/>
    <cellStyle name="40% - Accent3 5 3 26" xfId="17250"/>
    <cellStyle name="40% - Accent3 5 3 26 2" xfId="40025"/>
    <cellStyle name="40% - Accent3 5 3 27" xfId="17906"/>
    <cellStyle name="40% - Accent3 5 3 27 2" xfId="40681"/>
    <cellStyle name="40% - Accent3 5 3 28" xfId="18562"/>
    <cellStyle name="40% - Accent3 5 3 28 2" xfId="41337"/>
    <cellStyle name="40% - Accent3 5 3 29" xfId="19218"/>
    <cellStyle name="40% - Accent3 5 3 29 2" xfId="41993"/>
    <cellStyle name="40% - Accent3 5 3 3" xfId="1178"/>
    <cellStyle name="40% - Accent3 5 3 3 2" xfId="2818"/>
    <cellStyle name="40% - Accent3 5 3 3 2 2" xfId="25593"/>
    <cellStyle name="40% - Accent3 5 3 3 3" xfId="23953"/>
    <cellStyle name="40% - Accent3 5 3 30" xfId="19874"/>
    <cellStyle name="40% - Accent3 5 3 30 2" xfId="42649"/>
    <cellStyle name="40% - Accent3 5 3 31" xfId="20530"/>
    <cellStyle name="40% - Accent3 5 3 31 2" xfId="43305"/>
    <cellStyle name="40% - Accent3 5 3 32" xfId="21186"/>
    <cellStyle name="40% - Accent3 5 3 32 2" xfId="43961"/>
    <cellStyle name="40% - Accent3 5 3 33" xfId="21842"/>
    <cellStyle name="40% - Accent3 5 3 33 2" xfId="44617"/>
    <cellStyle name="40% - Accent3 5 3 34" xfId="22498"/>
    <cellStyle name="40% - Accent3 5 3 34 2" xfId="45273"/>
    <cellStyle name="40% - Accent3 5 3 35" xfId="23297"/>
    <cellStyle name="40% - Accent3 5 3 4" xfId="1834"/>
    <cellStyle name="40% - Accent3 5 3 4 2" xfId="3474"/>
    <cellStyle name="40% - Accent3 5 3 4 2 2" xfId="26249"/>
    <cellStyle name="40% - Accent3 5 3 4 3" xfId="24609"/>
    <cellStyle name="40% - Accent3 5 3 5" xfId="4130"/>
    <cellStyle name="40% - Accent3 5 3 5 2" xfId="26905"/>
    <cellStyle name="40% - Accent3 5 3 6" xfId="4786"/>
    <cellStyle name="40% - Accent3 5 3 6 2" xfId="27561"/>
    <cellStyle name="40% - Accent3 5 3 7" xfId="5442"/>
    <cellStyle name="40% - Accent3 5 3 7 2" xfId="28217"/>
    <cellStyle name="40% - Accent3 5 3 8" xfId="6098"/>
    <cellStyle name="40% - Accent3 5 3 8 2" xfId="28873"/>
    <cellStyle name="40% - Accent3 5 3 9" xfId="2490"/>
    <cellStyle name="40% - Accent3 5 3 9 2" xfId="25265"/>
    <cellStyle name="40% - Accent3 5 30" xfId="18377"/>
    <cellStyle name="40% - Accent3 5 30 2" xfId="41152"/>
    <cellStyle name="40% - Accent3 5 31" xfId="19033"/>
    <cellStyle name="40% - Accent3 5 31 2" xfId="41808"/>
    <cellStyle name="40% - Accent3 5 32" xfId="19689"/>
    <cellStyle name="40% - Accent3 5 32 2" xfId="42464"/>
    <cellStyle name="40% - Accent3 5 33" xfId="20345"/>
    <cellStyle name="40% - Accent3 5 33 2" xfId="43120"/>
    <cellStyle name="40% - Accent3 5 34" xfId="21001"/>
    <cellStyle name="40% - Accent3 5 34 2" xfId="43776"/>
    <cellStyle name="40% - Accent3 5 35" xfId="21657"/>
    <cellStyle name="40% - Accent3 5 35 2" xfId="44432"/>
    <cellStyle name="40% - Accent3 5 36" xfId="22313"/>
    <cellStyle name="40% - Accent3 5 36 2" xfId="45088"/>
    <cellStyle name="40% - Accent3 5 37" xfId="252"/>
    <cellStyle name="40% - Accent3 5 38" xfId="22969"/>
    <cellStyle name="40% - Accent3 5 4" xfId="665"/>
    <cellStyle name="40% - Accent3 5 4 10" xfId="8209"/>
    <cellStyle name="40% - Accent3 5 4 10 2" xfId="30984"/>
    <cellStyle name="40% - Accent3 5 4 11" xfId="8865"/>
    <cellStyle name="40% - Accent3 5 4 11 2" xfId="31640"/>
    <cellStyle name="40% - Accent3 5 4 12" xfId="9521"/>
    <cellStyle name="40% - Accent3 5 4 12 2" xfId="32296"/>
    <cellStyle name="40% - Accent3 5 4 13" xfId="10177"/>
    <cellStyle name="40% - Accent3 5 4 13 2" xfId="32952"/>
    <cellStyle name="40% - Accent3 5 4 14" xfId="10833"/>
    <cellStyle name="40% - Accent3 5 4 14 2" xfId="33608"/>
    <cellStyle name="40% - Accent3 5 4 15" xfId="11489"/>
    <cellStyle name="40% - Accent3 5 4 15 2" xfId="34264"/>
    <cellStyle name="40% - Accent3 5 4 16" xfId="12145"/>
    <cellStyle name="40% - Accent3 5 4 16 2" xfId="34920"/>
    <cellStyle name="40% - Accent3 5 4 17" xfId="12801"/>
    <cellStyle name="40% - Accent3 5 4 17 2" xfId="35576"/>
    <cellStyle name="40% - Accent3 5 4 18" xfId="13457"/>
    <cellStyle name="40% - Accent3 5 4 18 2" xfId="36232"/>
    <cellStyle name="40% - Accent3 5 4 19" xfId="14113"/>
    <cellStyle name="40% - Accent3 5 4 19 2" xfId="36888"/>
    <cellStyle name="40% - Accent3 5 4 2" xfId="1321"/>
    <cellStyle name="40% - Accent3 5 4 2 2" xfId="3617"/>
    <cellStyle name="40% - Accent3 5 4 2 2 2" xfId="26392"/>
    <cellStyle name="40% - Accent3 5 4 2 3" xfId="24096"/>
    <cellStyle name="40% - Accent3 5 4 20" xfId="14769"/>
    <cellStyle name="40% - Accent3 5 4 20 2" xfId="37544"/>
    <cellStyle name="40% - Accent3 5 4 21" xfId="15425"/>
    <cellStyle name="40% - Accent3 5 4 21 2" xfId="38200"/>
    <cellStyle name="40% - Accent3 5 4 22" xfId="16081"/>
    <cellStyle name="40% - Accent3 5 4 22 2" xfId="38856"/>
    <cellStyle name="40% - Accent3 5 4 23" xfId="16737"/>
    <cellStyle name="40% - Accent3 5 4 23 2" xfId="39512"/>
    <cellStyle name="40% - Accent3 5 4 24" xfId="17393"/>
    <cellStyle name="40% - Accent3 5 4 24 2" xfId="40168"/>
    <cellStyle name="40% - Accent3 5 4 25" xfId="18049"/>
    <cellStyle name="40% - Accent3 5 4 25 2" xfId="40824"/>
    <cellStyle name="40% - Accent3 5 4 26" xfId="18705"/>
    <cellStyle name="40% - Accent3 5 4 26 2" xfId="41480"/>
    <cellStyle name="40% - Accent3 5 4 27" xfId="19361"/>
    <cellStyle name="40% - Accent3 5 4 27 2" xfId="42136"/>
    <cellStyle name="40% - Accent3 5 4 28" xfId="20017"/>
    <cellStyle name="40% - Accent3 5 4 28 2" xfId="42792"/>
    <cellStyle name="40% - Accent3 5 4 29" xfId="20673"/>
    <cellStyle name="40% - Accent3 5 4 29 2" xfId="43448"/>
    <cellStyle name="40% - Accent3 5 4 3" xfId="1977"/>
    <cellStyle name="40% - Accent3 5 4 3 2" xfId="4273"/>
    <cellStyle name="40% - Accent3 5 4 3 2 2" xfId="27048"/>
    <cellStyle name="40% - Accent3 5 4 3 3" xfId="24752"/>
    <cellStyle name="40% - Accent3 5 4 30" xfId="21329"/>
    <cellStyle name="40% - Accent3 5 4 30 2" xfId="44104"/>
    <cellStyle name="40% - Accent3 5 4 31" xfId="21985"/>
    <cellStyle name="40% - Accent3 5 4 31 2" xfId="44760"/>
    <cellStyle name="40% - Accent3 5 4 32" xfId="22641"/>
    <cellStyle name="40% - Accent3 5 4 32 2" xfId="45416"/>
    <cellStyle name="40% - Accent3 5 4 33" xfId="23440"/>
    <cellStyle name="40% - Accent3 5 4 4" xfId="4929"/>
    <cellStyle name="40% - Accent3 5 4 4 2" xfId="27704"/>
    <cellStyle name="40% - Accent3 5 4 5" xfId="5585"/>
    <cellStyle name="40% - Accent3 5 4 5 2" xfId="28360"/>
    <cellStyle name="40% - Accent3 5 4 6" xfId="6241"/>
    <cellStyle name="40% - Accent3 5 4 6 2" xfId="29016"/>
    <cellStyle name="40% - Accent3 5 4 7" xfId="2961"/>
    <cellStyle name="40% - Accent3 5 4 7 2" xfId="25736"/>
    <cellStyle name="40% - Accent3 5 4 8" xfId="6897"/>
    <cellStyle name="40% - Accent3 5 4 8 2" xfId="29672"/>
    <cellStyle name="40% - Accent3 5 4 9" xfId="7553"/>
    <cellStyle name="40% - Accent3 5 4 9 2" xfId="30328"/>
    <cellStyle name="40% - Accent3 5 5" xfId="338"/>
    <cellStyle name="40% - Accent3 5 5 2" xfId="2633"/>
    <cellStyle name="40% - Accent3 5 5 2 2" xfId="25408"/>
    <cellStyle name="40% - Accent3 5 5 3" xfId="23112"/>
    <cellStyle name="40% - Accent3 5 6" xfId="993"/>
    <cellStyle name="40% - Accent3 5 6 2" xfId="3289"/>
    <cellStyle name="40% - Accent3 5 6 2 2" xfId="26064"/>
    <cellStyle name="40% - Accent3 5 6 3" xfId="23768"/>
    <cellStyle name="40% - Accent3 5 7" xfId="1649"/>
    <cellStyle name="40% - Accent3 5 7 2" xfId="3945"/>
    <cellStyle name="40% - Accent3 5 7 2 2" xfId="26720"/>
    <cellStyle name="40% - Accent3 5 7 3" xfId="24424"/>
    <cellStyle name="40% - Accent3 5 8" xfId="4601"/>
    <cellStyle name="40% - Accent3 5 8 2" xfId="27376"/>
    <cellStyle name="40% - Accent3 5 9" xfId="5257"/>
    <cellStyle name="40% - Accent3 5 9 2" xfId="28032"/>
    <cellStyle name="40% - Accent3 6" xfId="120"/>
    <cellStyle name="40% - Accent3 6 10" xfId="2318"/>
    <cellStyle name="40% - Accent3 6 10 2" xfId="25093"/>
    <cellStyle name="40% - Accent3 6 11" xfId="6582"/>
    <cellStyle name="40% - Accent3 6 11 2" xfId="29357"/>
    <cellStyle name="40% - Accent3 6 12" xfId="7238"/>
    <cellStyle name="40% - Accent3 6 12 2" xfId="30013"/>
    <cellStyle name="40% - Accent3 6 13" xfId="7894"/>
    <cellStyle name="40% - Accent3 6 13 2" xfId="30669"/>
    <cellStyle name="40% - Accent3 6 14" xfId="8550"/>
    <cellStyle name="40% - Accent3 6 14 2" xfId="31325"/>
    <cellStyle name="40% - Accent3 6 15" xfId="9206"/>
    <cellStyle name="40% - Accent3 6 15 2" xfId="31981"/>
    <cellStyle name="40% - Accent3 6 16" xfId="9862"/>
    <cellStyle name="40% - Accent3 6 16 2" xfId="32637"/>
    <cellStyle name="40% - Accent3 6 17" xfId="10518"/>
    <cellStyle name="40% - Accent3 6 17 2" xfId="33293"/>
    <cellStyle name="40% - Accent3 6 18" xfId="11174"/>
    <cellStyle name="40% - Accent3 6 18 2" xfId="33949"/>
    <cellStyle name="40% - Accent3 6 19" xfId="11830"/>
    <cellStyle name="40% - Accent3 6 19 2" xfId="34605"/>
    <cellStyle name="40% - Accent3 6 2" xfId="534"/>
    <cellStyle name="40% - Accent3 6 2 10" xfId="6767"/>
    <cellStyle name="40% - Accent3 6 2 10 2" xfId="29542"/>
    <cellStyle name="40% - Accent3 6 2 11" xfId="7423"/>
    <cellStyle name="40% - Accent3 6 2 11 2" xfId="30198"/>
    <cellStyle name="40% - Accent3 6 2 12" xfId="8079"/>
    <cellStyle name="40% - Accent3 6 2 12 2" xfId="30854"/>
    <cellStyle name="40% - Accent3 6 2 13" xfId="8735"/>
    <cellStyle name="40% - Accent3 6 2 13 2" xfId="31510"/>
    <cellStyle name="40% - Accent3 6 2 14" xfId="9391"/>
    <cellStyle name="40% - Accent3 6 2 14 2" xfId="32166"/>
    <cellStyle name="40% - Accent3 6 2 15" xfId="10047"/>
    <cellStyle name="40% - Accent3 6 2 15 2" xfId="32822"/>
    <cellStyle name="40% - Accent3 6 2 16" xfId="10703"/>
    <cellStyle name="40% - Accent3 6 2 16 2" xfId="33478"/>
    <cellStyle name="40% - Accent3 6 2 17" xfId="11359"/>
    <cellStyle name="40% - Accent3 6 2 17 2" xfId="34134"/>
    <cellStyle name="40% - Accent3 6 2 18" xfId="12015"/>
    <cellStyle name="40% - Accent3 6 2 18 2" xfId="34790"/>
    <cellStyle name="40% - Accent3 6 2 19" xfId="12671"/>
    <cellStyle name="40% - Accent3 6 2 19 2" xfId="35446"/>
    <cellStyle name="40% - Accent3 6 2 2" xfId="863"/>
    <cellStyle name="40% - Accent3 6 2 2 10" xfId="8407"/>
    <cellStyle name="40% - Accent3 6 2 2 10 2" xfId="31182"/>
    <cellStyle name="40% - Accent3 6 2 2 11" xfId="9063"/>
    <cellStyle name="40% - Accent3 6 2 2 11 2" xfId="31838"/>
    <cellStyle name="40% - Accent3 6 2 2 12" xfId="9719"/>
    <cellStyle name="40% - Accent3 6 2 2 12 2" xfId="32494"/>
    <cellStyle name="40% - Accent3 6 2 2 13" xfId="10375"/>
    <cellStyle name="40% - Accent3 6 2 2 13 2" xfId="33150"/>
    <cellStyle name="40% - Accent3 6 2 2 14" xfId="11031"/>
    <cellStyle name="40% - Accent3 6 2 2 14 2" xfId="33806"/>
    <cellStyle name="40% - Accent3 6 2 2 15" xfId="11687"/>
    <cellStyle name="40% - Accent3 6 2 2 15 2" xfId="34462"/>
    <cellStyle name="40% - Accent3 6 2 2 16" xfId="12343"/>
    <cellStyle name="40% - Accent3 6 2 2 16 2" xfId="35118"/>
    <cellStyle name="40% - Accent3 6 2 2 17" xfId="12999"/>
    <cellStyle name="40% - Accent3 6 2 2 17 2" xfId="35774"/>
    <cellStyle name="40% - Accent3 6 2 2 18" xfId="13655"/>
    <cellStyle name="40% - Accent3 6 2 2 18 2" xfId="36430"/>
    <cellStyle name="40% - Accent3 6 2 2 19" xfId="14311"/>
    <cellStyle name="40% - Accent3 6 2 2 19 2" xfId="37086"/>
    <cellStyle name="40% - Accent3 6 2 2 2" xfId="1519"/>
    <cellStyle name="40% - Accent3 6 2 2 2 2" xfId="3815"/>
    <cellStyle name="40% - Accent3 6 2 2 2 2 2" xfId="26590"/>
    <cellStyle name="40% - Accent3 6 2 2 2 3" xfId="24294"/>
    <cellStyle name="40% - Accent3 6 2 2 20" xfId="14967"/>
    <cellStyle name="40% - Accent3 6 2 2 20 2" xfId="37742"/>
    <cellStyle name="40% - Accent3 6 2 2 21" xfId="15623"/>
    <cellStyle name="40% - Accent3 6 2 2 21 2" xfId="38398"/>
    <cellStyle name="40% - Accent3 6 2 2 22" xfId="16279"/>
    <cellStyle name="40% - Accent3 6 2 2 22 2" xfId="39054"/>
    <cellStyle name="40% - Accent3 6 2 2 23" xfId="16935"/>
    <cellStyle name="40% - Accent3 6 2 2 23 2" xfId="39710"/>
    <cellStyle name="40% - Accent3 6 2 2 24" xfId="17591"/>
    <cellStyle name="40% - Accent3 6 2 2 24 2" xfId="40366"/>
    <cellStyle name="40% - Accent3 6 2 2 25" xfId="18247"/>
    <cellStyle name="40% - Accent3 6 2 2 25 2" xfId="41022"/>
    <cellStyle name="40% - Accent3 6 2 2 26" xfId="18903"/>
    <cellStyle name="40% - Accent3 6 2 2 26 2" xfId="41678"/>
    <cellStyle name="40% - Accent3 6 2 2 27" xfId="19559"/>
    <cellStyle name="40% - Accent3 6 2 2 27 2" xfId="42334"/>
    <cellStyle name="40% - Accent3 6 2 2 28" xfId="20215"/>
    <cellStyle name="40% - Accent3 6 2 2 28 2" xfId="42990"/>
    <cellStyle name="40% - Accent3 6 2 2 29" xfId="20871"/>
    <cellStyle name="40% - Accent3 6 2 2 29 2" xfId="43646"/>
    <cellStyle name="40% - Accent3 6 2 2 3" xfId="2175"/>
    <cellStyle name="40% - Accent3 6 2 2 3 2" xfId="4471"/>
    <cellStyle name="40% - Accent3 6 2 2 3 2 2" xfId="27246"/>
    <cellStyle name="40% - Accent3 6 2 2 3 3" xfId="24950"/>
    <cellStyle name="40% - Accent3 6 2 2 30" xfId="21527"/>
    <cellStyle name="40% - Accent3 6 2 2 30 2" xfId="44302"/>
    <cellStyle name="40% - Accent3 6 2 2 31" xfId="22183"/>
    <cellStyle name="40% - Accent3 6 2 2 31 2" xfId="44958"/>
    <cellStyle name="40% - Accent3 6 2 2 32" xfId="22839"/>
    <cellStyle name="40% - Accent3 6 2 2 32 2" xfId="45614"/>
    <cellStyle name="40% - Accent3 6 2 2 33" xfId="23638"/>
    <cellStyle name="40% - Accent3 6 2 2 4" xfId="5127"/>
    <cellStyle name="40% - Accent3 6 2 2 4 2" xfId="27902"/>
    <cellStyle name="40% - Accent3 6 2 2 5" xfId="5783"/>
    <cellStyle name="40% - Accent3 6 2 2 5 2" xfId="28558"/>
    <cellStyle name="40% - Accent3 6 2 2 6" xfId="6439"/>
    <cellStyle name="40% - Accent3 6 2 2 6 2" xfId="29214"/>
    <cellStyle name="40% - Accent3 6 2 2 7" xfId="3159"/>
    <cellStyle name="40% - Accent3 6 2 2 7 2" xfId="25934"/>
    <cellStyle name="40% - Accent3 6 2 2 8" xfId="7095"/>
    <cellStyle name="40% - Accent3 6 2 2 8 2" xfId="29870"/>
    <cellStyle name="40% - Accent3 6 2 2 9" xfId="7751"/>
    <cellStyle name="40% - Accent3 6 2 2 9 2" xfId="30526"/>
    <cellStyle name="40% - Accent3 6 2 20" xfId="13327"/>
    <cellStyle name="40% - Accent3 6 2 20 2" xfId="36102"/>
    <cellStyle name="40% - Accent3 6 2 21" xfId="13983"/>
    <cellStyle name="40% - Accent3 6 2 21 2" xfId="36758"/>
    <cellStyle name="40% - Accent3 6 2 22" xfId="14639"/>
    <cellStyle name="40% - Accent3 6 2 22 2" xfId="37414"/>
    <cellStyle name="40% - Accent3 6 2 23" xfId="15295"/>
    <cellStyle name="40% - Accent3 6 2 23 2" xfId="38070"/>
    <cellStyle name="40% - Accent3 6 2 24" xfId="15951"/>
    <cellStyle name="40% - Accent3 6 2 24 2" xfId="38726"/>
    <cellStyle name="40% - Accent3 6 2 25" xfId="16607"/>
    <cellStyle name="40% - Accent3 6 2 25 2" xfId="39382"/>
    <cellStyle name="40% - Accent3 6 2 26" xfId="17263"/>
    <cellStyle name="40% - Accent3 6 2 26 2" xfId="40038"/>
    <cellStyle name="40% - Accent3 6 2 27" xfId="17919"/>
    <cellStyle name="40% - Accent3 6 2 27 2" xfId="40694"/>
    <cellStyle name="40% - Accent3 6 2 28" xfId="18575"/>
    <cellStyle name="40% - Accent3 6 2 28 2" xfId="41350"/>
    <cellStyle name="40% - Accent3 6 2 29" xfId="19231"/>
    <cellStyle name="40% - Accent3 6 2 29 2" xfId="42006"/>
    <cellStyle name="40% - Accent3 6 2 3" xfId="1191"/>
    <cellStyle name="40% - Accent3 6 2 3 2" xfId="2831"/>
    <cellStyle name="40% - Accent3 6 2 3 2 2" xfId="25606"/>
    <cellStyle name="40% - Accent3 6 2 3 3" xfId="23966"/>
    <cellStyle name="40% - Accent3 6 2 30" xfId="19887"/>
    <cellStyle name="40% - Accent3 6 2 30 2" xfId="42662"/>
    <cellStyle name="40% - Accent3 6 2 31" xfId="20543"/>
    <cellStyle name="40% - Accent3 6 2 31 2" xfId="43318"/>
    <cellStyle name="40% - Accent3 6 2 32" xfId="21199"/>
    <cellStyle name="40% - Accent3 6 2 32 2" xfId="43974"/>
    <cellStyle name="40% - Accent3 6 2 33" xfId="21855"/>
    <cellStyle name="40% - Accent3 6 2 33 2" xfId="44630"/>
    <cellStyle name="40% - Accent3 6 2 34" xfId="22511"/>
    <cellStyle name="40% - Accent3 6 2 34 2" xfId="45286"/>
    <cellStyle name="40% - Accent3 6 2 35" xfId="23310"/>
    <cellStyle name="40% - Accent3 6 2 4" xfId="1847"/>
    <cellStyle name="40% - Accent3 6 2 4 2" xfId="3487"/>
    <cellStyle name="40% - Accent3 6 2 4 2 2" xfId="26262"/>
    <cellStyle name="40% - Accent3 6 2 4 3" xfId="24622"/>
    <cellStyle name="40% - Accent3 6 2 5" xfId="4143"/>
    <cellStyle name="40% - Accent3 6 2 5 2" xfId="26918"/>
    <cellStyle name="40% - Accent3 6 2 6" xfId="4799"/>
    <cellStyle name="40% - Accent3 6 2 6 2" xfId="27574"/>
    <cellStyle name="40% - Accent3 6 2 7" xfId="5455"/>
    <cellStyle name="40% - Accent3 6 2 7 2" xfId="28230"/>
    <cellStyle name="40% - Accent3 6 2 8" xfId="6111"/>
    <cellStyle name="40% - Accent3 6 2 8 2" xfId="28886"/>
    <cellStyle name="40% - Accent3 6 2 9" xfId="2503"/>
    <cellStyle name="40% - Accent3 6 2 9 2" xfId="25278"/>
    <cellStyle name="40% - Accent3 6 20" xfId="12486"/>
    <cellStyle name="40% - Accent3 6 20 2" xfId="35261"/>
    <cellStyle name="40% - Accent3 6 21" xfId="13142"/>
    <cellStyle name="40% - Accent3 6 21 2" xfId="35917"/>
    <cellStyle name="40% - Accent3 6 22" xfId="13798"/>
    <cellStyle name="40% - Accent3 6 22 2" xfId="36573"/>
    <cellStyle name="40% - Accent3 6 23" xfId="14454"/>
    <cellStyle name="40% - Accent3 6 23 2" xfId="37229"/>
    <cellStyle name="40% - Accent3 6 24" xfId="15110"/>
    <cellStyle name="40% - Accent3 6 24 2" xfId="37885"/>
    <cellStyle name="40% - Accent3 6 25" xfId="15766"/>
    <cellStyle name="40% - Accent3 6 25 2" xfId="38541"/>
    <cellStyle name="40% - Accent3 6 26" xfId="16422"/>
    <cellStyle name="40% - Accent3 6 26 2" xfId="39197"/>
    <cellStyle name="40% - Accent3 6 27" xfId="17078"/>
    <cellStyle name="40% - Accent3 6 27 2" xfId="39853"/>
    <cellStyle name="40% - Accent3 6 28" xfId="17734"/>
    <cellStyle name="40% - Accent3 6 28 2" xfId="40509"/>
    <cellStyle name="40% - Accent3 6 29" xfId="18390"/>
    <cellStyle name="40% - Accent3 6 29 2" xfId="41165"/>
    <cellStyle name="40% - Accent3 6 3" xfId="678"/>
    <cellStyle name="40% - Accent3 6 3 10" xfId="8222"/>
    <cellStyle name="40% - Accent3 6 3 10 2" xfId="30997"/>
    <cellStyle name="40% - Accent3 6 3 11" xfId="8878"/>
    <cellStyle name="40% - Accent3 6 3 11 2" xfId="31653"/>
    <cellStyle name="40% - Accent3 6 3 12" xfId="9534"/>
    <cellStyle name="40% - Accent3 6 3 12 2" xfId="32309"/>
    <cellStyle name="40% - Accent3 6 3 13" xfId="10190"/>
    <cellStyle name="40% - Accent3 6 3 13 2" xfId="32965"/>
    <cellStyle name="40% - Accent3 6 3 14" xfId="10846"/>
    <cellStyle name="40% - Accent3 6 3 14 2" xfId="33621"/>
    <cellStyle name="40% - Accent3 6 3 15" xfId="11502"/>
    <cellStyle name="40% - Accent3 6 3 15 2" xfId="34277"/>
    <cellStyle name="40% - Accent3 6 3 16" xfId="12158"/>
    <cellStyle name="40% - Accent3 6 3 16 2" xfId="34933"/>
    <cellStyle name="40% - Accent3 6 3 17" xfId="12814"/>
    <cellStyle name="40% - Accent3 6 3 17 2" xfId="35589"/>
    <cellStyle name="40% - Accent3 6 3 18" xfId="13470"/>
    <cellStyle name="40% - Accent3 6 3 18 2" xfId="36245"/>
    <cellStyle name="40% - Accent3 6 3 19" xfId="14126"/>
    <cellStyle name="40% - Accent3 6 3 19 2" xfId="36901"/>
    <cellStyle name="40% - Accent3 6 3 2" xfId="1334"/>
    <cellStyle name="40% - Accent3 6 3 2 2" xfId="3630"/>
    <cellStyle name="40% - Accent3 6 3 2 2 2" xfId="26405"/>
    <cellStyle name="40% - Accent3 6 3 2 3" xfId="24109"/>
    <cellStyle name="40% - Accent3 6 3 20" xfId="14782"/>
    <cellStyle name="40% - Accent3 6 3 20 2" xfId="37557"/>
    <cellStyle name="40% - Accent3 6 3 21" xfId="15438"/>
    <cellStyle name="40% - Accent3 6 3 21 2" xfId="38213"/>
    <cellStyle name="40% - Accent3 6 3 22" xfId="16094"/>
    <cellStyle name="40% - Accent3 6 3 22 2" xfId="38869"/>
    <cellStyle name="40% - Accent3 6 3 23" xfId="16750"/>
    <cellStyle name="40% - Accent3 6 3 23 2" xfId="39525"/>
    <cellStyle name="40% - Accent3 6 3 24" xfId="17406"/>
    <cellStyle name="40% - Accent3 6 3 24 2" xfId="40181"/>
    <cellStyle name="40% - Accent3 6 3 25" xfId="18062"/>
    <cellStyle name="40% - Accent3 6 3 25 2" xfId="40837"/>
    <cellStyle name="40% - Accent3 6 3 26" xfId="18718"/>
    <cellStyle name="40% - Accent3 6 3 26 2" xfId="41493"/>
    <cellStyle name="40% - Accent3 6 3 27" xfId="19374"/>
    <cellStyle name="40% - Accent3 6 3 27 2" xfId="42149"/>
    <cellStyle name="40% - Accent3 6 3 28" xfId="20030"/>
    <cellStyle name="40% - Accent3 6 3 28 2" xfId="42805"/>
    <cellStyle name="40% - Accent3 6 3 29" xfId="20686"/>
    <cellStyle name="40% - Accent3 6 3 29 2" xfId="43461"/>
    <cellStyle name="40% - Accent3 6 3 3" xfId="1990"/>
    <cellStyle name="40% - Accent3 6 3 3 2" xfId="4286"/>
    <cellStyle name="40% - Accent3 6 3 3 2 2" xfId="27061"/>
    <cellStyle name="40% - Accent3 6 3 3 3" xfId="24765"/>
    <cellStyle name="40% - Accent3 6 3 30" xfId="21342"/>
    <cellStyle name="40% - Accent3 6 3 30 2" xfId="44117"/>
    <cellStyle name="40% - Accent3 6 3 31" xfId="21998"/>
    <cellStyle name="40% - Accent3 6 3 31 2" xfId="44773"/>
    <cellStyle name="40% - Accent3 6 3 32" xfId="22654"/>
    <cellStyle name="40% - Accent3 6 3 32 2" xfId="45429"/>
    <cellStyle name="40% - Accent3 6 3 33" xfId="23453"/>
    <cellStyle name="40% - Accent3 6 3 4" xfId="4942"/>
    <cellStyle name="40% - Accent3 6 3 4 2" xfId="27717"/>
    <cellStyle name="40% - Accent3 6 3 5" xfId="5598"/>
    <cellStyle name="40% - Accent3 6 3 5 2" xfId="28373"/>
    <cellStyle name="40% - Accent3 6 3 6" xfId="6254"/>
    <cellStyle name="40% - Accent3 6 3 6 2" xfId="29029"/>
    <cellStyle name="40% - Accent3 6 3 7" xfId="2974"/>
    <cellStyle name="40% - Accent3 6 3 7 2" xfId="25749"/>
    <cellStyle name="40% - Accent3 6 3 8" xfId="6910"/>
    <cellStyle name="40% - Accent3 6 3 8 2" xfId="29685"/>
    <cellStyle name="40% - Accent3 6 3 9" xfId="7566"/>
    <cellStyle name="40% - Accent3 6 3 9 2" xfId="30341"/>
    <cellStyle name="40% - Accent3 6 30" xfId="19046"/>
    <cellStyle name="40% - Accent3 6 30 2" xfId="41821"/>
    <cellStyle name="40% - Accent3 6 31" xfId="19702"/>
    <cellStyle name="40% - Accent3 6 31 2" xfId="42477"/>
    <cellStyle name="40% - Accent3 6 32" xfId="20358"/>
    <cellStyle name="40% - Accent3 6 32 2" xfId="43133"/>
    <cellStyle name="40% - Accent3 6 33" xfId="21014"/>
    <cellStyle name="40% - Accent3 6 33 2" xfId="43789"/>
    <cellStyle name="40% - Accent3 6 34" xfId="21670"/>
    <cellStyle name="40% - Accent3 6 34 2" xfId="44445"/>
    <cellStyle name="40% - Accent3 6 35" xfId="22326"/>
    <cellStyle name="40% - Accent3 6 35 2" xfId="45101"/>
    <cellStyle name="40% - Accent3 6 36" xfId="265"/>
    <cellStyle name="40% - Accent3 6 37" xfId="22982"/>
    <cellStyle name="40% - Accent3 6 4" xfId="351"/>
    <cellStyle name="40% - Accent3 6 4 2" xfId="2646"/>
    <cellStyle name="40% - Accent3 6 4 2 2" xfId="25421"/>
    <cellStyle name="40% - Accent3 6 4 3" xfId="23125"/>
    <cellStyle name="40% - Accent3 6 5" xfId="1006"/>
    <cellStyle name="40% - Accent3 6 5 2" xfId="3302"/>
    <cellStyle name="40% - Accent3 6 5 2 2" xfId="26077"/>
    <cellStyle name="40% - Accent3 6 5 3" xfId="23781"/>
    <cellStyle name="40% - Accent3 6 6" xfId="1662"/>
    <cellStyle name="40% - Accent3 6 6 2" xfId="3958"/>
    <cellStyle name="40% - Accent3 6 6 2 2" xfId="26733"/>
    <cellStyle name="40% - Accent3 6 6 3" xfId="24437"/>
    <cellStyle name="40% - Accent3 6 7" xfId="4614"/>
    <cellStyle name="40% - Accent3 6 7 2" xfId="27389"/>
    <cellStyle name="40% - Accent3 6 8" xfId="5270"/>
    <cellStyle name="40% - Accent3 6 8 2" xfId="28045"/>
    <cellStyle name="40% - Accent3 6 9" xfId="5926"/>
    <cellStyle name="40% - Accent3 6 9 2" xfId="28701"/>
    <cellStyle name="40% - Accent3 7" xfId="424"/>
    <cellStyle name="40% - Accent3 7 10" xfId="6655"/>
    <cellStyle name="40% - Accent3 7 10 2" xfId="29430"/>
    <cellStyle name="40% - Accent3 7 11" xfId="7311"/>
    <cellStyle name="40% - Accent3 7 11 2" xfId="30086"/>
    <cellStyle name="40% - Accent3 7 12" xfId="7967"/>
    <cellStyle name="40% - Accent3 7 12 2" xfId="30742"/>
    <cellStyle name="40% - Accent3 7 13" xfId="8623"/>
    <cellStyle name="40% - Accent3 7 13 2" xfId="31398"/>
    <cellStyle name="40% - Accent3 7 14" xfId="9279"/>
    <cellStyle name="40% - Accent3 7 14 2" xfId="32054"/>
    <cellStyle name="40% - Accent3 7 15" xfId="9935"/>
    <cellStyle name="40% - Accent3 7 15 2" xfId="32710"/>
    <cellStyle name="40% - Accent3 7 16" xfId="10591"/>
    <cellStyle name="40% - Accent3 7 16 2" xfId="33366"/>
    <cellStyle name="40% - Accent3 7 17" xfId="11247"/>
    <cellStyle name="40% - Accent3 7 17 2" xfId="34022"/>
    <cellStyle name="40% - Accent3 7 18" xfId="11903"/>
    <cellStyle name="40% - Accent3 7 18 2" xfId="34678"/>
    <cellStyle name="40% - Accent3 7 19" xfId="12559"/>
    <cellStyle name="40% - Accent3 7 19 2" xfId="35334"/>
    <cellStyle name="40% - Accent3 7 2" xfId="751"/>
    <cellStyle name="40% - Accent3 7 2 10" xfId="8295"/>
    <cellStyle name="40% - Accent3 7 2 10 2" xfId="31070"/>
    <cellStyle name="40% - Accent3 7 2 11" xfId="8951"/>
    <cellStyle name="40% - Accent3 7 2 11 2" xfId="31726"/>
    <cellStyle name="40% - Accent3 7 2 12" xfId="9607"/>
    <cellStyle name="40% - Accent3 7 2 12 2" xfId="32382"/>
    <cellStyle name="40% - Accent3 7 2 13" xfId="10263"/>
    <cellStyle name="40% - Accent3 7 2 13 2" xfId="33038"/>
    <cellStyle name="40% - Accent3 7 2 14" xfId="10919"/>
    <cellStyle name="40% - Accent3 7 2 14 2" xfId="33694"/>
    <cellStyle name="40% - Accent3 7 2 15" xfId="11575"/>
    <cellStyle name="40% - Accent3 7 2 15 2" xfId="34350"/>
    <cellStyle name="40% - Accent3 7 2 16" xfId="12231"/>
    <cellStyle name="40% - Accent3 7 2 16 2" xfId="35006"/>
    <cellStyle name="40% - Accent3 7 2 17" xfId="12887"/>
    <cellStyle name="40% - Accent3 7 2 17 2" xfId="35662"/>
    <cellStyle name="40% - Accent3 7 2 18" xfId="13543"/>
    <cellStyle name="40% - Accent3 7 2 18 2" xfId="36318"/>
    <cellStyle name="40% - Accent3 7 2 19" xfId="14199"/>
    <cellStyle name="40% - Accent3 7 2 19 2" xfId="36974"/>
    <cellStyle name="40% - Accent3 7 2 2" xfId="1407"/>
    <cellStyle name="40% - Accent3 7 2 2 2" xfId="3703"/>
    <cellStyle name="40% - Accent3 7 2 2 2 2" xfId="26478"/>
    <cellStyle name="40% - Accent3 7 2 2 3" xfId="24182"/>
    <cellStyle name="40% - Accent3 7 2 20" xfId="14855"/>
    <cellStyle name="40% - Accent3 7 2 20 2" xfId="37630"/>
    <cellStyle name="40% - Accent3 7 2 21" xfId="15511"/>
    <cellStyle name="40% - Accent3 7 2 21 2" xfId="38286"/>
    <cellStyle name="40% - Accent3 7 2 22" xfId="16167"/>
    <cellStyle name="40% - Accent3 7 2 22 2" xfId="38942"/>
    <cellStyle name="40% - Accent3 7 2 23" xfId="16823"/>
    <cellStyle name="40% - Accent3 7 2 23 2" xfId="39598"/>
    <cellStyle name="40% - Accent3 7 2 24" xfId="17479"/>
    <cellStyle name="40% - Accent3 7 2 24 2" xfId="40254"/>
    <cellStyle name="40% - Accent3 7 2 25" xfId="18135"/>
    <cellStyle name="40% - Accent3 7 2 25 2" xfId="40910"/>
    <cellStyle name="40% - Accent3 7 2 26" xfId="18791"/>
    <cellStyle name="40% - Accent3 7 2 26 2" xfId="41566"/>
    <cellStyle name="40% - Accent3 7 2 27" xfId="19447"/>
    <cellStyle name="40% - Accent3 7 2 27 2" xfId="42222"/>
    <cellStyle name="40% - Accent3 7 2 28" xfId="20103"/>
    <cellStyle name="40% - Accent3 7 2 28 2" xfId="42878"/>
    <cellStyle name="40% - Accent3 7 2 29" xfId="20759"/>
    <cellStyle name="40% - Accent3 7 2 29 2" xfId="43534"/>
    <cellStyle name="40% - Accent3 7 2 3" xfId="2063"/>
    <cellStyle name="40% - Accent3 7 2 3 2" xfId="4359"/>
    <cellStyle name="40% - Accent3 7 2 3 2 2" xfId="27134"/>
    <cellStyle name="40% - Accent3 7 2 3 3" xfId="24838"/>
    <cellStyle name="40% - Accent3 7 2 30" xfId="21415"/>
    <cellStyle name="40% - Accent3 7 2 30 2" xfId="44190"/>
    <cellStyle name="40% - Accent3 7 2 31" xfId="22071"/>
    <cellStyle name="40% - Accent3 7 2 31 2" xfId="44846"/>
    <cellStyle name="40% - Accent3 7 2 32" xfId="22727"/>
    <cellStyle name="40% - Accent3 7 2 32 2" xfId="45502"/>
    <cellStyle name="40% - Accent3 7 2 33" xfId="23526"/>
    <cellStyle name="40% - Accent3 7 2 4" xfId="5015"/>
    <cellStyle name="40% - Accent3 7 2 4 2" xfId="27790"/>
    <cellStyle name="40% - Accent3 7 2 5" xfId="5671"/>
    <cellStyle name="40% - Accent3 7 2 5 2" xfId="28446"/>
    <cellStyle name="40% - Accent3 7 2 6" xfId="6327"/>
    <cellStyle name="40% - Accent3 7 2 6 2" xfId="29102"/>
    <cellStyle name="40% - Accent3 7 2 7" xfId="3047"/>
    <cellStyle name="40% - Accent3 7 2 7 2" xfId="25822"/>
    <cellStyle name="40% - Accent3 7 2 8" xfId="6983"/>
    <cellStyle name="40% - Accent3 7 2 8 2" xfId="29758"/>
    <cellStyle name="40% - Accent3 7 2 9" xfId="7639"/>
    <cellStyle name="40% - Accent3 7 2 9 2" xfId="30414"/>
    <cellStyle name="40% - Accent3 7 20" xfId="13215"/>
    <cellStyle name="40% - Accent3 7 20 2" xfId="35990"/>
    <cellStyle name="40% - Accent3 7 21" xfId="13871"/>
    <cellStyle name="40% - Accent3 7 21 2" xfId="36646"/>
    <cellStyle name="40% - Accent3 7 22" xfId="14527"/>
    <cellStyle name="40% - Accent3 7 22 2" xfId="37302"/>
    <cellStyle name="40% - Accent3 7 23" xfId="15183"/>
    <cellStyle name="40% - Accent3 7 23 2" xfId="37958"/>
    <cellStyle name="40% - Accent3 7 24" xfId="15839"/>
    <cellStyle name="40% - Accent3 7 24 2" xfId="38614"/>
    <cellStyle name="40% - Accent3 7 25" xfId="16495"/>
    <cellStyle name="40% - Accent3 7 25 2" xfId="39270"/>
    <cellStyle name="40% - Accent3 7 26" xfId="17151"/>
    <cellStyle name="40% - Accent3 7 26 2" xfId="39926"/>
    <cellStyle name="40% - Accent3 7 27" xfId="17807"/>
    <cellStyle name="40% - Accent3 7 27 2" xfId="40582"/>
    <cellStyle name="40% - Accent3 7 28" xfId="18463"/>
    <cellStyle name="40% - Accent3 7 28 2" xfId="41238"/>
    <cellStyle name="40% - Accent3 7 29" xfId="19119"/>
    <cellStyle name="40% - Accent3 7 29 2" xfId="41894"/>
    <cellStyle name="40% - Accent3 7 3" xfId="1079"/>
    <cellStyle name="40% - Accent3 7 3 2" xfId="2719"/>
    <cellStyle name="40% - Accent3 7 3 2 2" xfId="25494"/>
    <cellStyle name="40% - Accent3 7 3 3" xfId="23854"/>
    <cellStyle name="40% - Accent3 7 30" xfId="19775"/>
    <cellStyle name="40% - Accent3 7 30 2" xfId="42550"/>
    <cellStyle name="40% - Accent3 7 31" xfId="20431"/>
    <cellStyle name="40% - Accent3 7 31 2" xfId="43206"/>
    <cellStyle name="40% - Accent3 7 32" xfId="21087"/>
    <cellStyle name="40% - Accent3 7 32 2" xfId="43862"/>
    <cellStyle name="40% - Accent3 7 33" xfId="21743"/>
    <cellStyle name="40% - Accent3 7 33 2" xfId="44518"/>
    <cellStyle name="40% - Accent3 7 34" xfId="22399"/>
    <cellStyle name="40% - Accent3 7 34 2" xfId="45174"/>
    <cellStyle name="40% - Accent3 7 35" xfId="23198"/>
    <cellStyle name="40% - Accent3 7 4" xfId="1735"/>
    <cellStyle name="40% - Accent3 7 4 2" xfId="3375"/>
    <cellStyle name="40% - Accent3 7 4 2 2" xfId="26150"/>
    <cellStyle name="40% - Accent3 7 4 3" xfId="24510"/>
    <cellStyle name="40% - Accent3 7 5" xfId="4031"/>
    <cellStyle name="40% - Accent3 7 5 2" xfId="26806"/>
    <cellStyle name="40% - Accent3 7 6" xfId="4687"/>
    <cellStyle name="40% - Accent3 7 6 2" xfId="27462"/>
    <cellStyle name="40% - Accent3 7 7" xfId="5343"/>
    <cellStyle name="40% - Accent3 7 7 2" xfId="28118"/>
    <cellStyle name="40% - Accent3 7 8" xfId="5999"/>
    <cellStyle name="40% - Accent3 7 8 2" xfId="28774"/>
    <cellStyle name="40% - Accent3 7 9" xfId="2391"/>
    <cellStyle name="40% - Accent3 7 9 2" xfId="25166"/>
    <cellStyle name="40% - Accent3 8" xfId="438"/>
    <cellStyle name="40% - Accent3 8 10" xfId="6669"/>
    <cellStyle name="40% - Accent3 8 10 2" xfId="29444"/>
    <cellStyle name="40% - Accent3 8 11" xfId="7325"/>
    <cellStyle name="40% - Accent3 8 11 2" xfId="30100"/>
    <cellStyle name="40% - Accent3 8 12" xfId="7981"/>
    <cellStyle name="40% - Accent3 8 12 2" xfId="30756"/>
    <cellStyle name="40% - Accent3 8 13" xfId="8637"/>
    <cellStyle name="40% - Accent3 8 13 2" xfId="31412"/>
    <cellStyle name="40% - Accent3 8 14" xfId="9293"/>
    <cellStyle name="40% - Accent3 8 14 2" xfId="32068"/>
    <cellStyle name="40% - Accent3 8 15" xfId="9949"/>
    <cellStyle name="40% - Accent3 8 15 2" xfId="32724"/>
    <cellStyle name="40% - Accent3 8 16" xfId="10605"/>
    <cellStyle name="40% - Accent3 8 16 2" xfId="33380"/>
    <cellStyle name="40% - Accent3 8 17" xfId="11261"/>
    <cellStyle name="40% - Accent3 8 17 2" xfId="34036"/>
    <cellStyle name="40% - Accent3 8 18" xfId="11917"/>
    <cellStyle name="40% - Accent3 8 18 2" xfId="34692"/>
    <cellStyle name="40% - Accent3 8 19" xfId="12573"/>
    <cellStyle name="40% - Accent3 8 19 2" xfId="35348"/>
    <cellStyle name="40% - Accent3 8 2" xfId="765"/>
    <cellStyle name="40% - Accent3 8 2 10" xfId="8309"/>
    <cellStyle name="40% - Accent3 8 2 10 2" xfId="31084"/>
    <cellStyle name="40% - Accent3 8 2 11" xfId="8965"/>
    <cellStyle name="40% - Accent3 8 2 11 2" xfId="31740"/>
    <cellStyle name="40% - Accent3 8 2 12" xfId="9621"/>
    <cellStyle name="40% - Accent3 8 2 12 2" xfId="32396"/>
    <cellStyle name="40% - Accent3 8 2 13" xfId="10277"/>
    <cellStyle name="40% - Accent3 8 2 13 2" xfId="33052"/>
    <cellStyle name="40% - Accent3 8 2 14" xfId="10933"/>
    <cellStyle name="40% - Accent3 8 2 14 2" xfId="33708"/>
    <cellStyle name="40% - Accent3 8 2 15" xfId="11589"/>
    <cellStyle name="40% - Accent3 8 2 15 2" xfId="34364"/>
    <cellStyle name="40% - Accent3 8 2 16" xfId="12245"/>
    <cellStyle name="40% - Accent3 8 2 16 2" xfId="35020"/>
    <cellStyle name="40% - Accent3 8 2 17" xfId="12901"/>
    <cellStyle name="40% - Accent3 8 2 17 2" xfId="35676"/>
    <cellStyle name="40% - Accent3 8 2 18" xfId="13557"/>
    <cellStyle name="40% - Accent3 8 2 18 2" xfId="36332"/>
    <cellStyle name="40% - Accent3 8 2 19" xfId="14213"/>
    <cellStyle name="40% - Accent3 8 2 19 2" xfId="36988"/>
    <cellStyle name="40% - Accent3 8 2 2" xfId="1421"/>
    <cellStyle name="40% - Accent3 8 2 2 2" xfId="3717"/>
    <cellStyle name="40% - Accent3 8 2 2 2 2" xfId="26492"/>
    <cellStyle name="40% - Accent3 8 2 2 3" xfId="24196"/>
    <cellStyle name="40% - Accent3 8 2 20" xfId="14869"/>
    <cellStyle name="40% - Accent3 8 2 20 2" xfId="37644"/>
    <cellStyle name="40% - Accent3 8 2 21" xfId="15525"/>
    <cellStyle name="40% - Accent3 8 2 21 2" xfId="38300"/>
    <cellStyle name="40% - Accent3 8 2 22" xfId="16181"/>
    <cellStyle name="40% - Accent3 8 2 22 2" xfId="38956"/>
    <cellStyle name="40% - Accent3 8 2 23" xfId="16837"/>
    <cellStyle name="40% - Accent3 8 2 23 2" xfId="39612"/>
    <cellStyle name="40% - Accent3 8 2 24" xfId="17493"/>
    <cellStyle name="40% - Accent3 8 2 24 2" xfId="40268"/>
    <cellStyle name="40% - Accent3 8 2 25" xfId="18149"/>
    <cellStyle name="40% - Accent3 8 2 25 2" xfId="40924"/>
    <cellStyle name="40% - Accent3 8 2 26" xfId="18805"/>
    <cellStyle name="40% - Accent3 8 2 26 2" xfId="41580"/>
    <cellStyle name="40% - Accent3 8 2 27" xfId="19461"/>
    <cellStyle name="40% - Accent3 8 2 27 2" xfId="42236"/>
    <cellStyle name="40% - Accent3 8 2 28" xfId="20117"/>
    <cellStyle name="40% - Accent3 8 2 28 2" xfId="42892"/>
    <cellStyle name="40% - Accent3 8 2 29" xfId="20773"/>
    <cellStyle name="40% - Accent3 8 2 29 2" xfId="43548"/>
    <cellStyle name="40% - Accent3 8 2 3" xfId="2077"/>
    <cellStyle name="40% - Accent3 8 2 3 2" xfId="4373"/>
    <cellStyle name="40% - Accent3 8 2 3 2 2" xfId="27148"/>
    <cellStyle name="40% - Accent3 8 2 3 3" xfId="24852"/>
    <cellStyle name="40% - Accent3 8 2 30" xfId="21429"/>
    <cellStyle name="40% - Accent3 8 2 30 2" xfId="44204"/>
    <cellStyle name="40% - Accent3 8 2 31" xfId="22085"/>
    <cellStyle name="40% - Accent3 8 2 31 2" xfId="44860"/>
    <cellStyle name="40% - Accent3 8 2 32" xfId="22741"/>
    <cellStyle name="40% - Accent3 8 2 32 2" xfId="45516"/>
    <cellStyle name="40% - Accent3 8 2 33" xfId="23540"/>
    <cellStyle name="40% - Accent3 8 2 4" xfId="5029"/>
    <cellStyle name="40% - Accent3 8 2 4 2" xfId="27804"/>
    <cellStyle name="40% - Accent3 8 2 5" xfId="5685"/>
    <cellStyle name="40% - Accent3 8 2 5 2" xfId="28460"/>
    <cellStyle name="40% - Accent3 8 2 6" xfId="6341"/>
    <cellStyle name="40% - Accent3 8 2 6 2" xfId="29116"/>
    <cellStyle name="40% - Accent3 8 2 7" xfId="3061"/>
    <cellStyle name="40% - Accent3 8 2 7 2" xfId="25836"/>
    <cellStyle name="40% - Accent3 8 2 8" xfId="6997"/>
    <cellStyle name="40% - Accent3 8 2 8 2" xfId="29772"/>
    <cellStyle name="40% - Accent3 8 2 9" xfId="7653"/>
    <cellStyle name="40% - Accent3 8 2 9 2" xfId="30428"/>
    <cellStyle name="40% - Accent3 8 20" xfId="13229"/>
    <cellStyle name="40% - Accent3 8 20 2" xfId="36004"/>
    <cellStyle name="40% - Accent3 8 21" xfId="13885"/>
    <cellStyle name="40% - Accent3 8 21 2" xfId="36660"/>
    <cellStyle name="40% - Accent3 8 22" xfId="14541"/>
    <cellStyle name="40% - Accent3 8 22 2" xfId="37316"/>
    <cellStyle name="40% - Accent3 8 23" xfId="15197"/>
    <cellStyle name="40% - Accent3 8 23 2" xfId="37972"/>
    <cellStyle name="40% - Accent3 8 24" xfId="15853"/>
    <cellStyle name="40% - Accent3 8 24 2" xfId="38628"/>
    <cellStyle name="40% - Accent3 8 25" xfId="16509"/>
    <cellStyle name="40% - Accent3 8 25 2" xfId="39284"/>
    <cellStyle name="40% - Accent3 8 26" xfId="17165"/>
    <cellStyle name="40% - Accent3 8 26 2" xfId="39940"/>
    <cellStyle name="40% - Accent3 8 27" xfId="17821"/>
    <cellStyle name="40% - Accent3 8 27 2" xfId="40596"/>
    <cellStyle name="40% - Accent3 8 28" xfId="18477"/>
    <cellStyle name="40% - Accent3 8 28 2" xfId="41252"/>
    <cellStyle name="40% - Accent3 8 29" xfId="19133"/>
    <cellStyle name="40% - Accent3 8 29 2" xfId="41908"/>
    <cellStyle name="40% - Accent3 8 3" xfId="1093"/>
    <cellStyle name="40% - Accent3 8 3 2" xfId="2733"/>
    <cellStyle name="40% - Accent3 8 3 2 2" xfId="25508"/>
    <cellStyle name="40% - Accent3 8 3 3" xfId="23868"/>
    <cellStyle name="40% - Accent3 8 30" xfId="19789"/>
    <cellStyle name="40% - Accent3 8 30 2" xfId="42564"/>
    <cellStyle name="40% - Accent3 8 31" xfId="20445"/>
    <cellStyle name="40% - Accent3 8 31 2" xfId="43220"/>
    <cellStyle name="40% - Accent3 8 32" xfId="21101"/>
    <cellStyle name="40% - Accent3 8 32 2" xfId="43876"/>
    <cellStyle name="40% - Accent3 8 33" xfId="21757"/>
    <cellStyle name="40% - Accent3 8 33 2" xfId="44532"/>
    <cellStyle name="40% - Accent3 8 34" xfId="22413"/>
    <cellStyle name="40% - Accent3 8 34 2" xfId="45188"/>
    <cellStyle name="40% - Accent3 8 35" xfId="23212"/>
    <cellStyle name="40% - Accent3 8 4" xfId="1749"/>
    <cellStyle name="40% - Accent3 8 4 2" xfId="3389"/>
    <cellStyle name="40% - Accent3 8 4 2 2" xfId="26164"/>
    <cellStyle name="40% - Accent3 8 4 3" xfId="24524"/>
    <cellStyle name="40% - Accent3 8 5" xfId="4045"/>
    <cellStyle name="40% - Accent3 8 5 2" xfId="26820"/>
    <cellStyle name="40% - Accent3 8 6" xfId="4701"/>
    <cellStyle name="40% - Accent3 8 6 2" xfId="27476"/>
    <cellStyle name="40% - Accent3 8 7" xfId="5357"/>
    <cellStyle name="40% - Accent3 8 7 2" xfId="28132"/>
    <cellStyle name="40% - Accent3 8 8" xfId="6013"/>
    <cellStyle name="40% - Accent3 8 8 2" xfId="28788"/>
    <cellStyle name="40% - Accent3 8 9" xfId="2405"/>
    <cellStyle name="40% - Accent3 8 9 2" xfId="25180"/>
    <cellStyle name="40% - Accent3 9" xfId="452"/>
    <cellStyle name="40% - Accent3 9 10" xfId="6683"/>
    <cellStyle name="40% - Accent3 9 10 2" xfId="29458"/>
    <cellStyle name="40% - Accent3 9 11" xfId="7339"/>
    <cellStyle name="40% - Accent3 9 11 2" xfId="30114"/>
    <cellStyle name="40% - Accent3 9 12" xfId="7995"/>
    <cellStyle name="40% - Accent3 9 12 2" xfId="30770"/>
    <cellStyle name="40% - Accent3 9 13" xfId="8651"/>
    <cellStyle name="40% - Accent3 9 13 2" xfId="31426"/>
    <cellStyle name="40% - Accent3 9 14" xfId="9307"/>
    <cellStyle name="40% - Accent3 9 14 2" xfId="32082"/>
    <cellStyle name="40% - Accent3 9 15" xfId="9963"/>
    <cellStyle name="40% - Accent3 9 15 2" xfId="32738"/>
    <cellStyle name="40% - Accent3 9 16" xfId="10619"/>
    <cellStyle name="40% - Accent3 9 16 2" xfId="33394"/>
    <cellStyle name="40% - Accent3 9 17" xfId="11275"/>
    <cellStyle name="40% - Accent3 9 17 2" xfId="34050"/>
    <cellStyle name="40% - Accent3 9 18" xfId="11931"/>
    <cellStyle name="40% - Accent3 9 18 2" xfId="34706"/>
    <cellStyle name="40% - Accent3 9 19" xfId="12587"/>
    <cellStyle name="40% - Accent3 9 19 2" xfId="35362"/>
    <cellStyle name="40% - Accent3 9 2" xfId="779"/>
    <cellStyle name="40% - Accent3 9 2 10" xfId="8323"/>
    <cellStyle name="40% - Accent3 9 2 10 2" xfId="31098"/>
    <cellStyle name="40% - Accent3 9 2 11" xfId="8979"/>
    <cellStyle name="40% - Accent3 9 2 11 2" xfId="31754"/>
    <cellStyle name="40% - Accent3 9 2 12" xfId="9635"/>
    <cellStyle name="40% - Accent3 9 2 12 2" xfId="32410"/>
    <cellStyle name="40% - Accent3 9 2 13" xfId="10291"/>
    <cellStyle name="40% - Accent3 9 2 13 2" xfId="33066"/>
    <cellStyle name="40% - Accent3 9 2 14" xfId="10947"/>
    <cellStyle name="40% - Accent3 9 2 14 2" xfId="33722"/>
    <cellStyle name="40% - Accent3 9 2 15" xfId="11603"/>
    <cellStyle name="40% - Accent3 9 2 15 2" xfId="34378"/>
    <cellStyle name="40% - Accent3 9 2 16" xfId="12259"/>
    <cellStyle name="40% - Accent3 9 2 16 2" xfId="35034"/>
    <cellStyle name="40% - Accent3 9 2 17" xfId="12915"/>
    <cellStyle name="40% - Accent3 9 2 17 2" xfId="35690"/>
    <cellStyle name="40% - Accent3 9 2 18" xfId="13571"/>
    <cellStyle name="40% - Accent3 9 2 18 2" xfId="36346"/>
    <cellStyle name="40% - Accent3 9 2 19" xfId="14227"/>
    <cellStyle name="40% - Accent3 9 2 19 2" xfId="37002"/>
    <cellStyle name="40% - Accent3 9 2 2" xfId="1435"/>
    <cellStyle name="40% - Accent3 9 2 2 2" xfId="3731"/>
    <cellStyle name="40% - Accent3 9 2 2 2 2" xfId="26506"/>
    <cellStyle name="40% - Accent3 9 2 2 3" xfId="24210"/>
    <cellStyle name="40% - Accent3 9 2 20" xfId="14883"/>
    <cellStyle name="40% - Accent3 9 2 20 2" xfId="37658"/>
    <cellStyle name="40% - Accent3 9 2 21" xfId="15539"/>
    <cellStyle name="40% - Accent3 9 2 21 2" xfId="38314"/>
    <cellStyle name="40% - Accent3 9 2 22" xfId="16195"/>
    <cellStyle name="40% - Accent3 9 2 22 2" xfId="38970"/>
    <cellStyle name="40% - Accent3 9 2 23" xfId="16851"/>
    <cellStyle name="40% - Accent3 9 2 23 2" xfId="39626"/>
    <cellStyle name="40% - Accent3 9 2 24" xfId="17507"/>
    <cellStyle name="40% - Accent3 9 2 24 2" xfId="40282"/>
    <cellStyle name="40% - Accent3 9 2 25" xfId="18163"/>
    <cellStyle name="40% - Accent3 9 2 25 2" xfId="40938"/>
    <cellStyle name="40% - Accent3 9 2 26" xfId="18819"/>
    <cellStyle name="40% - Accent3 9 2 26 2" xfId="41594"/>
    <cellStyle name="40% - Accent3 9 2 27" xfId="19475"/>
    <cellStyle name="40% - Accent3 9 2 27 2" xfId="42250"/>
    <cellStyle name="40% - Accent3 9 2 28" xfId="20131"/>
    <cellStyle name="40% - Accent3 9 2 28 2" xfId="42906"/>
    <cellStyle name="40% - Accent3 9 2 29" xfId="20787"/>
    <cellStyle name="40% - Accent3 9 2 29 2" xfId="43562"/>
    <cellStyle name="40% - Accent3 9 2 3" xfId="2091"/>
    <cellStyle name="40% - Accent3 9 2 3 2" xfId="4387"/>
    <cellStyle name="40% - Accent3 9 2 3 2 2" xfId="27162"/>
    <cellStyle name="40% - Accent3 9 2 3 3" xfId="24866"/>
    <cellStyle name="40% - Accent3 9 2 30" xfId="21443"/>
    <cellStyle name="40% - Accent3 9 2 30 2" xfId="44218"/>
    <cellStyle name="40% - Accent3 9 2 31" xfId="22099"/>
    <cellStyle name="40% - Accent3 9 2 31 2" xfId="44874"/>
    <cellStyle name="40% - Accent3 9 2 32" xfId="22755"/>
    <cellStyle name="40% - Accent3 9 2 32 2" xfId="45530"/>
    <cellStyle name="40% - Accent3 9 2 33" xfId="23554"/>
    <cellStyle name="40% - Accent3 9 2 4" xfId="5043"/>
    <cellStyle name="40% - Accent3 9 2 4 2" xfId="27818"/>
    <cellStyle name="40% - Accent3 9 2 5" xfId="5699"/>
    <cellStyle name="40% - Accent3 9 2 5 2" xfId="28474"/>
    <cellStyle name="40% - Accent3 9 2 6" xfId="6355"/>
    <cellStyle name="40% - Accent3 9 2 6 2" xfId="29130"/>
    <cellStyle name="40% - Accent3 9 2 7" xfId="3075"/>
    <cellStyle name="40% - Accent3 9 2 7 2" xfId="25850"/>
    <cellStyle name="40% - Accent3 9 2 8" xfId="7011"/>
    <cellStyle name="40% - Accent3 9 2 8 2" xfId="29786"/>
    <cellStyle name="40% - Accent3 9 2 9" xfId="7667"/>
    <cellStyle name="40% - Accent3 9 2 9 2" xfId="30442"/>
    <cellStyle name="40% - Accent3 9 20" xfId="13243"/>
    <cellStyle name="40% - Accent3 9 20 2" xfId="36018"/>
    <cellStyle name="40% - Accent3 9 21" xfId="13899"/>
    <cellStyle name="40% - Accent3 9 21 2" xfId="36674"/>
    <cellStyle name="40% - Accent3 9 22" xfId="14555"/>
    <cellStyle name="40% - Accent3 9 22 2" xfId="37330"/>
    <cellStyle name="40% - Accent3 9 23" xfId="15211"/>
    <cellStyle name="40% - Accent3 9 23 2" xfId="37986"/>
    <cellStyle name="40% - Accent3 9 24" xfId="15867"/>
    <cellStyle name="40% - Accent3 9 24 2" xfId="38642"/>
    <cellStyle name="40% - Accent3 9 25" xfId="16523"/>
    <cellStyle name="40% - Accent3 9 25 2" xfId="39298"/>
    <cellStyle name="40% - Accent3 9 26" xfId="17179"/>
    <cellStyle name="40% - Accent3 9 26 2" xfId="39954"/>
    <cellStyle name="40% - Accent3 9 27" xfId="17835"/>
    <cellStyle name="40% - Accent3 9 27 2" xfId="40610"/>
    <cellStyle name="40% - Accent3 9 28" xfId="18491"/>
    <cellStyle name="40% - Accent3 9 28 2" xfId="41266"/>
    <cellStyle name="40% - Accent3 9 29" xfId="19147"/>
    <cellStyle name="40% - Accent3 9 29 2" xfId="41922"/>
    <cellStyle name="40% - Accent3 9 3" xfId="1107"/>
    <cellStyle name="40% - Accent3 9 3 2" xfId="2747"/>
    <cellStyle name="40% - Accent3 9 3 2 2" xfId="25522"/>
    <cellStyle name="40% - Accent3 9 3 3" xfId="23882"/>
    <cellStyle name="40% - Accent3 9 30" xfId="19803"/>
    <cellStyle name="40% - Accent3 9 30 2" xfId="42578"/>
    <cellStyle name="40% - Accent3 9 31" xfId="20459"/>
    <cellStyle name="40% - Accent3 9 31 2" xfId="43234"/>
    <cellStyle name="40% - Accent3 9 32" xfId="21115"/>
    <cellStyle name="40% - Accent3 9 32 2" xfId="43890"/>
    <cellStyle name="40% - Accent3 9 33" xfId="21771"/>
    <cellStyle name="40% - Accent3 9 33 2" xfId="44546"/>
    <cellStyle name="40% - Accent3 9 34" xfId="22427"/>
    <cellStyle name="40% - Accent3 9 34 2" xfId="45202"/>
    <cellStyle name="40% - Accent3 9 35" xfId="23226"/>
    <cellStyle name="40% - Accent3 9 4" xfId="1763"/>
    <cellStyle name="40% - Accent3 9 4 2" xfId="3403"/>
    <cellStyle name="40% - Accent3 9 4 2 2" xfId="26178"/>
    <cellStyle name="40% - Accent3 9 4 3" xfId="24538"/>
    <cellStyle name="40% - Accent3 9 5" xfId="4059"/>
    <cellStyle name="40% - Accent3 9 5 2" xfId="26834"/>
    <cellStyle name="40% - Accent3 9 6" xfId="4715"/>
    <cellStyle name="40% - Accent3 9 6 2" xfId="27490"/>
    <cellStyle name="40% - Accent3 9 7" xfId="5371"/>
    <cellStyle name="40% - Accent3 9 7 2" xfId="28146"/>
    <cellStyle name="40% - Accent3 9 8" xfId="6027"/>
    <cellStyle name="40% - Accent3 9 8 2" xfId="28802"/>
    <cellStyle name="40% - Accent3 9 9" xfId="2419"/>
    <cellStyle name="40% - Accent3 9 9 2" xfId="25194"/>
    <cellStyle name="40% - Accent4" xfId="35" builtinId="43" customBuiltin="1"/>
    <cellStyle name="40% - Accent4 10" xfId="466"/>
    <cellStyle name="40% - Accent4 10 10" xfId="6697"/>
    <cellStyle name="40% - Accent4 10 10 2" xfId="29472"/>
    <cellStyle name="40% - Accent4 10 11" xfId="7353"/>
    <cellStyle name="40% - Accent4 10 11 2" xfId="30128"/>
    <cellStyle name="40% - Accent4 10 12" xfId="8009"/>
    <cellStyle name="40% - Accent4 10 12 2" xfId="30784"/>
    <cellStyle name="40% - Accent4 10 13" xfId="8665"/>
    <cellStyle name="40% - Accent4 10 13 2" xfId="31440"/>
    <cellStyle name="40% - Accent4 10 14" xfId="9321"/>
    <cellStyle name="40% - Accent4 10 14 2" xfId="32096"/>
    <cellStyle name="40% - Accent4 10 15" xfId="9977"/>
    <cellStyle name="40% - Accent4 10 15 2" xfId="32752"/>
    <cellStyle name="40% - Accent4 10 16" xfId="10633"/>
    <cellStyle name="40% - Accent4 10 16 2" xfId="33408"/>
    <cellStyle name="40% - Accent4 10 17" xfId="11289"/>
    <cellStyle name="40% - Accent4 10 17 2" xfId="34064"/>
    <cellStyle name="40% - Accent4 10 18" xfId="11945"/>
    <cellStyle name="40% - Accent4 10 18 2" xfId="34720"/>
    <cellStyle name="40% - Accent4 10 19" xfId="12601"/>
    <cellStyle name="40% - Accent4 10 19 2" xfId="35376"/>
    <cellStyle name="40% - Accent4 10 2" xfId="793"/>
    <cellStyle name="40% - Accent4 10 2 10" xfId="8337"/>
    <cellStyle name="40% - Accent4 10 2 10 2" xfId="31112"/>
    <cellStyle name="40% - Accent4 10 2 11" xfId="8993"/>
    <cellStyle name="40% - Accent4 10 2 11 2" xfId="31768"/>
    <cellStyle name="40% - Accent4 10 2 12" xfId="9649"/>
    <cellStyle name="40% - Accent4 10 2 12 2" xfId="32424"/>
    <cellStyle name="40% - Accent4 10 2 13" xfId="10305"/>
    <cellStyle name="40% - Accent4 10 2 13 2" xfId="33080"/>
    <cellStyle name="40% - Accent4 10 2 14" xfId="10961"/>
    <cellStyle name="40% - Accent4 10 2 14 2" xfId="33736"/>
    <cellStyle name="40% - Accent4 10 2 15" xfId="11617"/>
    <cellStyle name="40% - Accent4 10 2 15 2" xfId="34392"/>
    <cellStyle name="40% - Accent4 10 2 16" xfId="12273"/>
    <cellStyle name="40% - Accent4 10 2 16 2" xfId="35048"/>
    <cellStyle name="40% - Accent4 10 2 17" xfId="12929"/>
    <cellStyle name="40% - Accent4 10 2 17 2" xfId="35704"/>
    <cellStyle name="40% - Accent4 10 2 18" xfId="13585"/>
    <cellStyle name="40% - Accent4 10 2 18 2" xfId="36360"/>
    <cellStyle name="40% - Accent4 10 2 19" xfId="14241"/>
    <cellStyle name="40% - Accent4 10 2 19 2" xfId="37016"/>
    <cellStyle name="40% - Accent4 10 2 2" xfId="1449"/>
    <cellStyle name="40% - Accent4 10 2 2 2" xfId="3745"/>
    <cellStyle name="40% - Accent4 10 2 2 2 2" xfId="26520"/>
    <cellStyle name="40% - Accent4 10 2 2 3" xfId="24224"/>
    <cellStyle name="40% - Accent4 10 2 20" xfId="14897"/>
    <cellStyle name="40% - Accent4 10 2 20 2" xfId="37672"/>
    <cellStyle name="40% - Accent4 10 2 21" xfId="15553"/>
    <cellStyle name="40% - Accent4 10 2 21 2" xfId="38328"/>
    <cellStyle name="40% - Accent4 10 2 22" xfId="16209"/>
    <cellStyle name="40% - Accent4 10 2 22 2" xfId="38984"/>
    <cellStyle name="40% - Accent4 10 2 23" xfId="16865"/>
    <cellStyle name="40% - Accent4 10 2 23 2" xfId="39640"/>
    <cellStyle name="40% - Accent4 10 2 24" xfId="17521"/>
    <cellStyle name="40% - Accent4 10 2 24 2" xfId="40296"/>
    <cellStyle name="40% - Accent4 10 2 25" xfId="18177"/>
    <cellStyle name="40% - Accent4 10 2 25 2" xfId="40952"/>
    <cellStyle name="40% - Accent4 10 2 26" xfId="18833"/>
    <cellStyle name="40% - Accent4 10 2 26 2" xfId="41608"/>
    <cellStyle name="40% - Accent4 10 2 27" xfId="19489"/>
    <cellStyle name="40% - Accent4 10 2 27 2" xfId="42264"/>
    <cellStyle name="40% - Accent4 10 2 28" xfId="20145"/>
    <cellStyle name="40% - Accent4 10 2 28 2" xfId="42920"/>
    <cellStyle name="40% - Accent4 10 2 29" xfId="20801"/>
    <cellStyle name="40% - Accent4 10 2 29 2" xfId="43576"/>
    <cellStyle name="40% - Accent4 10 2 3" xfId="2105"/>
    <cellStyle name="40% - Accent4 10 2 3 2" xfId="4401"/>
    <cellStyle name="40% - Accent4 10 2 3 2 2" xfId="27176"/>
    <cellStyle name="40% - Accent4 10 2 3 3" xfId="24880"/>
    <cellStyle name="40% - Accent4 10 2 30" xfId="21457"/>
    <cellStyle name="40% - Accent4 10 2 30 2" xfId="44232"/>
    <cellStyle name="40% - Accent4 10 2 31" xfId="22113"/>
    <cellStyle name="40% - Accent4 10 2 31 2" xfId="44888"/>
    <cellStyle name="40% - Accent4 10 2 32" xfId="22769"/>
    <cellStyle name="40% - Accent4 10 2 32 2" xfId="45544"/>
    <cellStyle name="40% - Accent4 10 2 33" xfId="23568"/>
    <cellStyle name="40% - Accent4 10 2 4" xfId="5057"/>
    <cellStyle name="40% - Accent4 10 2 4 2" xfId="27832"/>
    <cellStyle name="40% - Accent4 10 2 5" xfId="5713"/>
    <cellStyle name="40% - Accent4 10 2 5 2" xfId="28488"/>
    <cellStyle name="40% - Accent4 10 2 6" xfId="6369"/>
    <cellStyle name="40% - Accent4 10 2 6 2" xfId="29144"/>
    <cellStyle name="40% - Accent4 10 2 7" xfId="3089"/>
    <cellStyle name="40% - Accent4 10 2 7 2" xfId="25864"/>
    <cellStyle name="40% - Accent4 10 2 8" xfId="7025"/>
    <cellStyle name="40% - Accent4 10 2 8 2" xfId="29800"/>
    <cellStyle name="40% - Accent4 10 2 9" xfId="7681"/>
    <cellStyle name="40% - Accent4 10 2 9 2" xfId="30456"/>
    <cellStyle name="40% - Accent4 10 20" xfId="13257"/>
    <cellStyle name="40% - Accent4 10 20 2" xfId="36032"/>
    <cellStyle name="40% - Accent4 10 21" xfId="13913"/>
    <cellStyle name="40% - Accent4 10 21 2" xfId="36688"/>
    <cellStyle name="40% - Accent4 10 22" xfId="14569"/>
    <cellStyle name="40% - Accent4 10 22 2" xfId="37344"/>
    <cellStyle name="40% - Accent4 10 23" xfId="15225"/>
    <cellStyle name="40% - Accent4 10 23 2" xfId="38000"/>
    <cellStyle name="40% - Accent4 10 24" xfId="15881"/>
    <cellStyle name="40% - Accent4 10 24 2" xfId="38656"/>
    <cellStyle name="40% - Accent4 10 25" xfId="16537"/>
    <cellStyle name="40% - Accent4 10 25 2" xfId="39312"/>
    <cellStyle name="40% - Accent4 10 26" xfId="17193"/>
    <cellStyle name="40% - Accent4 10 26 2" xfId="39968"/>
    <cellStyle name="40% - Accent4 10 27" xfId="17849"/>
    <cellStyle name="40% - Accent4 10 27 2" xfId="40624"/>
    <cellStyle name="40% - Accent4 10 28" xfId="18505"/>
    <cellStyle name="40% - Accent4 10 28 2" xfId="41280"/>
    <cellStyle name="40% - Accent4 10 29" xfId="19161"/>
    <cellStyle name="40% - Accent4 10 29 2" xfId="41936"/>
    <cellStyle name="40% - Accent4 10 3" xfId="1121"/>
    <cellStyle name="40% - Accent4 10 3 2" xfId="2761"/>
    <cellStyle name="40% - Accent4 10 3 2 2" xfId="25536"/>
    <cellStyle name="40% - Accent4 10 3 3" xfId="23896"/>
    <cellStyle name="40% - Accent4 10 30" xfId="19817"/>
    <cellStyle name="40% - Accent4 10 30 2" xfId="42592"/>
    <cellStyle name="40% - Accent4 10 31" xfId="20473"/>
    <cellStyle name="40% - Accent4 10 31 2" xfId="43248"/>
    <cellStyle name="40% - Accent4 10 32" xfId="21129"/>
    <cellStyle name="40% - Accent4 10 32 2" xfId="43904"/>
    <cellStyle name="40% - Accent4 10 33" xfId="21785"/>
    <cellStyle name="40% - Accent4 10 33 2" xfId="44560"/>
    <cellStyle name="40% - Accent4 10 34" xfId="22441"/>
    <cellStyle name="40% - Accent4 10 34 2" xfId="45216"/>
    <cellStyle name="40% - Accent4 10 35" xfId="23240"/>
    <cellStyle name="40% - Accent4 10 4" xfId="1777"/>
    <cellStyle name="40% - Accent4 10 4 2" xfId="3417"/>
    <cellStyle name="40% - Accent4 10 4 2 2" xfId="26192"/>
    <cellStyle name="40% - Accent4 10 4 3" xfId="24552"/>
    <cellStyle name="40% - Accent4 10 5" xfId="4073"/>
    <cellStyle name="40% - Accent4 10 5 2" xfId="26848"/>
    <cellStyle name="40% - Accent4 10 6" xfId="4729"/>
    <cellStyle name="40% - Accent4 10 6 2" xfId="27504"/>
    <cellStyle name="40% - Accent4 10 7" xfId="5385"/>
    <cellStyle name="40% - Accent4 10 7 2" xfId="28160"/>
    <cellStyle name="40% - Accent4 10 8" xfId="6041"/>
    <cellStyle name="40% - Accent4 10 8 2" xfId="28816"/>
    <cellStyle name="40% - Accent4 10 9" xfId="2433"/>
    <cellStyle name="40% - Accent4 10 9 2" xfId="25208"/>
    <cellStyle name="40% - Accent4 11" xfId="608"/>
    <cellStyle name="40% - Accent4 11 10" xfId="8152"/>
    <cellStyle name="40% - Accent4 11 10 2" xfId="30927"/>
    <cellStyle name="40% - Accent4 11 11" xfId="8808"/>
    <cellStyle name="40% - Accent4 11 11 2" xfId="31583"/>
    <cellStyle name="40% - Accent4 11 12" xfId="9464"/>
    <cellStyle name="40% - Accent4 11 12 2" xfId="32239"/>
    <cellStyle name="40% - Accent4 11 13" xfId="10120"/>
    <cellStyle name="40% - Accent4 11 13 2" xfId="32895"/>
    <cellStyle name="40% - Accent4 11 14" xfId="10776"/>
    <cellStyle name="40% - Accent4 11 14 2" xfId="33551"/>
    <cellStyle name="40% - Accent4 11 15" xfId="11432"/>
    <cellStyle name="40% - Accent4 11 15 2" xfId="34207"/>
    <cellStyle name="40% - Accent4 11 16" xfId="12088"/>
    <cellStyle name="40% - Accent4 11 16 2" xfId="34863"/>
    <cellStyle name="40% - Accent4 11 17" xfId="12744"/>
    <cellStyle name="40% - Accent4 11 17 2" xfId="35519"/>
    <cellStyle name="40% - Accent4 11 18" xfId="13400"/>
    <cellStyle name="40% - Accent4 11 18 2" xfId="36175"/>
    <cellStyle name="40% - Accent4 11 19" xfId="14056"/>
    <cellStyle name="40% - Accent4 11 19 2" xfId="36831"/>
    <cellStyle name="40% - Accent4 11 2" xfId="1264"/>
    <cellStyle name="40% - Accent4 11 2 2" xfId="3560"/>
    <cellStyle name="40% - Accent4 11 2 2 2" xfId="26335"/>
    <cellStyle name="40% - Accent4 11 2 3" xfId="24039"/>
    <cellStyle name="40% - Accent4 11 20" xfId="14712"/>
    <cellStyle name="40% - Accent4 11 20 2" xfId="37487"/>
    <cellStyle name="40% - Accent4 11 21" xfId="15368"/>
    <cellStyle name="40% - Accent4 11 21 2" xfId="38143"/>
    <cellStyle name="40% - Accent4 11 22" xfId="16024"/>
    <cellStyle name="40% - Accent4 11 22 2" xfId="38799"/>
    <cellStyle name="40% - Accent4 11 23" xfId="16680"/>
    <cellStyle name="40% - Accent4 11 23 2" xfId="39455"/>
    <cellStyle name="40% - Accent4 11 24" xfId="17336"/>
    <cellStyle name="40% - Accent4 11 24 2" xfId="40111"/>
    <cellStyle name="40% - Accent4 11 25" xfId="17992"/>
    <cellStyle name="40% - Accent4 11 25 2" xfId="40767"/>
    <cellStyle name="40% - Accent4 11 26" xfId="18648"/>
    <cellStyle name="40% - Accent4 11 26 2" xfId="41423"/>
    <cellStyle name="40% - Accent4 11 27" xfId="19304"/>
    <cellStyle name="40% - Accent4 11 27 2" xfId="42079"/>
    <cellStyle name="40% - Accent4 11 28" xfId="19960"/>
    <cellStyle name="40% - Accent4 11 28 2" xfId="42735"/>
    <cellStyle name="40% - Accent4 11 29" xfId="20616"/>
    <cellStyle name="40% - Accent4 11 29 2" xfId="43391"/>
    <cellStyle name="40% - Accent4 11 3" xfId="1920"/>
    <cellStyle name="40% - Accent4 11 3 2" xfId="4216"/>
    <cellStyle name="40% - Accent4 11 3 2 2" xfId="26991"/>
    <cellStyle name="40% - Accent4 11 3 3" xfId="24695"/>
    <cellStyle name="40% - Accent4 11 30" xfId="21272"/>
    <cellStyle name="40% - Accent4 11 30 2" xfId="44047"/>
    <cellStyle name="40% - Accent4 11 31" xfId="21928"/>
    <cellStyle name="40% - Accent4 11 31 2" xfId="44703"/>
    <cellStyle name="40% - Accent4 11 32" xfId="22584"/>
    <cellStyle name="40% - Accent4 11 32 2" xfId="45359"/>
    <cellStyle name="40% - Accent4 11 33" xfId="23383"/>
    <cellStyle name="40% - Accent4 11 4" xfId="4872"/>
    <cellStyle name="40% - Accent4 11 4 2" xfId="27647"/>
    <cellStyle name="40% - Accent4 11 5" xfId="5528"/>
    <cellStyle name="40% - Accent4 11 5 2" xfId="28303"/>
    <cellStyle name="40% - Accent4 11 6" xfId="6184"/>
    <cellStyle name="40% - Accent4 11 6 2" xfId="28959"/>
    <cellStyle name="40% - Accent4 11 7" xfId="2904"/>
    <cellStyle name="40% - Accent4 11 7 2" xfId="25679"/>
    <cellStyle name="40% - Accent4 11 8" xfId="6840"/>
    <cellStyle name="40% - Accent4 11 8 2" xfId="29615"/>
    <cellStyle name="40% - Accent4 11 9" xfId="7496"/>
    <cellStyle name="40% - Accent4 11 9 2" xfId="30271"/>
    <cellStyle name="40% - Accent4 12" xfId="281"/>
    <cellStyle name="40% - Accent4 12 2" xfId="2576"/>
    <cellStyle name="40% - Accent4 12 2 2" xfId="25351"/>
    <cellStyle name="40% - Accent4 12 3" xfId="23055"/>
    <cellStyle name="40% - Accent4 13" xfId="936"/>
    <cellStyle name="40% - Accent4 13 2" xfId="3232"/>
    <cellStyle name="40% - Accent4 13 2 2" xfId="26007"/>
    <cellStyle name="40% - Accent4 13 3" xfId="23711"/>
    <cellStyle name="40% - Accent4 14" xfId="1592"/>
    <cellStyle name="40% - Accent4 14 2" xfId="3888"/>
    <cellStyle name="40% - Accent4 14 2 2" xfId="26663"/>
    <cellStyle name="40% - Accent4 14 3" xfId="24367"/>
    <cellStyle name="40% - Accent4 15" xfId="4544"/>
    <cellStyle name="40% - Accent4 15 2" xfId="27319"/>
    <cellStyle name="40% - Accent4 16" xfId="5200"/>
    <cellStyle name="40% - Accent4 16 2" xfId="27975"/>
    <cellStyle name="40% - Accent4 17" xfId="5856"/>
    <cellStyle name="40% - Accent4 17 2" xfId="28631"/>
    <cellStyle name="40% - Accent4 18" xfId="2248"/>
    <cellStyle name="40% - Accent4 18 2" xfId="25023"/>
    <cellStyle name="40% - Accent4 19" xfId="6512"/>
    <cellStyle name="40% - Accent4 19 2" xfId="29287"/>
    <cellStyle name="40% - Accent4 2" xfId="76"/>
    <cellStyle name="40% - Accent4 2 10" xfId="5872"/>
    <cellStyle name="40% - Accent4 2 10 2" xfId="28647"/>
    <cellStyle name="40% - Accent4 2 11" xfId="2264"/>
    <cellStyle name="40% - Accent4 2 11 2" xfId="25039"/>
    <cellStyle name="40% - Accent4 2 12" xfId="6528"/>
    <cellStyle name="40% - Accent4 2 12 2" xfId="29303"/>
    <cellStyle name="40% - Accent4 2 13" xfId="7184"/>
    <cellStyle name="40% - Accent4 2 13 2" xfId="29959"/>
    <cellStyle name="40% - Accent4 2 14" xfId="7840"/>
    <cellStyle name="40% - Accent4 2 14 2" xfId="30615"/>
    <cellStyle name="40% - Accent4 2 15" xfId="8496"/>
    <cellStyle name="40% - Accent4 2 15 2" xfId="31271"/>
    <cellStyle name="40% - Accent4 2 16" xfId="9152"/>
    <cellStyle name="40% - Accent4 2 16 2" xfId="31927"/>
    <cellStyle name="40% - Accent4 2 17" xfId="9808"/>
    <cellStyle name="40% - Accent4 2 17 2" xfId="32583"/>
    <cellStyle name="40% - Accent4 2 18" xfId="10464"/>
    <cellStyle name="40% - Accent4 2 18 2" xfId="33239"/>
    <cellStyle name="40% - Accent4 2 19" xfId="11120"/>
    <cellStyle name="40% - Accent4 2 19 2" xfId="33895"/>
    <cellStyle name="40% - Accent4 2 2" xfId="152"/>
    <cellStyle name="40% - Accent4 2 2 10" xfId="2350"/>
    <cellStyle name="40% - Accent4 2 2 10 2" xfId="25125"/>
    <cellStyle name="40% - Accent4 2 2 11" xfId="6614"/>
    <cellStyle name="40% - Accent4 2 2 11 2" xfId="29389"/>
    <cellStyle name="40% - Accent4 2 2 12" xfId="7270"/>
    <cellStyle name="40% - Accent4 2 2 12 2" xfId="30045"/>
    <cellStyle name="40% - Accent4 2 2 13" xfId="7926"/>
    <cellStyle name="40% - Accent4 2 2 13 2" xfId="30701"/>
    <cellStyle name="40% - Accent4 2 2 14" xfId="8582"/>
    <cellStyle name="40% - Accent4 2 2 14 2" xfId="31357"/>
    <cellStyle name="40% - Accent4 2 2 15" xfId="9238"/>
    <cellStyle name="40% - Accent4 2 2 15 2" xfId="32013"/>
    <cellStyle name="40% - Accent4 2 2 16" xfId="9894"/>
    <cellStyle name="40% - Accent4 2 2 16 2" xfId="32669"/>
    <cellStyle name="40% - Accent4 2 2 17" xfId="10550"/>
    <cellStyle name="40% - Accent4 2 2 17 2" xfId="33325"/>
    <cellStyle name="40% - Accent4 2 2 18" xfId="11206"/>
    <cellStyle name="40% - Accent4 2 2 18 2" xfId="33981"/>
    <cellStyle name="40% - Accent4 2 2 19" xfId="11862"/>
    <cellStyle name="40% - Accent4 2 2 19 2" xfId="34637"/>
    <cellStyle name="40% - Accent4 2 2 2" xfId="566"/>
    <cellStyle name="40% - Accent4 2 2 2 10" xfId="6799"/>
    <cellStyle name="40% - Accent4 2 2 2 10 2" xfId="29574"/>
    <cellStyle name="40% - Accent4 2 2 2 11" xfId="7455"/>
    <cellStyle name="40% - Accent4 2 2 2 11 2" xfId="30230"/>
    <cellStyle name="40% - Accent4 2 2 2 12" xfId="8111"/>
    <cellStyle name="40% - Accent4 2 2 2 12 2" xfId="30886"/>
    <cellStyle name="40% - Accent4 2 2 2 13" xfId="8767"/>
    <cellStyle name="40% - Accent4 2 2 2 13 2" xfId="31542"/>
    <cellStyle name="40% - Accent4 2 2 2 14" xfId="9423"/>
    <cellStyle name="40% - Accent4 2 2 2 14 2" xfId="32198"/>
    <cellStyle name="40% - Accent4 2 2 2 15" xfId="10079"/>
    <cellStyle name="40% - Accent4 2 2 2 15 2" xfId="32854"/>
    <cellStyle name="40% - Accent4 2 2 2 16" xfId="10735"/>
    <cellStyle name="40% - Accent4 2 2 2 16 2" xfId="33510"/>
    <cellStyle name="40% - Accent4 2 2 2 17" xfId="11391"/>
    <cellStyle name="40% - Accent4 2 2 2 17 2" xfId="34166"/>
    <cellStyle name="40% - Accent4 2 2 2 18" xfId="12047"/>
    <cellStyle name="40% - Accent4 2 2 2 18 2" xfId="34822"/>
    <cellStyle name="40% - Accent4 2 2 2 19" xfId="12703"/>
    <cellStyle name="40% - Accent4 2 2 2 19 2" xfId="35478"/>
    <cellStyle name="40% - Accent4 2 2 2 2" xfId="895"/>
    <cellStyle name="40% - Accent4 2 2 2 2 10" xfId="8439"/>
    <cellStyle name="40% - Accent4 2 2 2 2 10 2" xfId="31214"/>
    <cellStyle name="40% - Accent4 2 2 2 2 11" xfId="9095"/>
    <cellStyle name="40% - Accent4 2 2 2 2 11 2" xfId="31870"/>
    <cellStyle name="40% - Accent4 2 2 2 2 12" xfId="9751"/>
    <cellStyle name="40% - Accent4 2 2 2 2 12 2" xfId="32526"/>
    <cellStyle name="40% - Accent4 2 2 2 2 13" xfId="10407"/>
    <cellStyle name="40% - Accent4 2 2 2 2 13 2" xfId="33182"/>
    <cellStyle name="40% - Accent4 2 2 2 2 14" xfId="11063"/>
    <cellStyle name="40% - Accent4 2 2 2 2 14 2" xfId="33838"/>
    <cellStyle name="40% - Accent4 2 2 2 2 15" xfId="11719"/>
    <cellStyle name="40% - Accent4 2 2 2 2 15 2" xfId="34494"/>
    <cellStyle name="40% - Accent4 2 2 2 2 16" xfId="12375"/>
    <cellStyle name="40% - Accent4 2 2 2 2 16 2" xfId="35150"/>
    <cellStyle name="40% - Accent4 2 2 2 2 17" xfId="13031"/>
    <cellStyle name="40% - Accent4 2 2 2 2 17 2" xfId="35806"/>
    <cellStyle name="40% - Accent4 2 2 2 2 18" xfId="13687"/>
    <cellStyle name="40% - Accent4 2 2 2 2 18 2" xfId="36462"/>
    <cellStyle name="40% - Accent4 2 2 2 2 19" xfId="14343"/>
    <cellStyle name="40% - Accent4 2 2 2 2 19 2" xfId="37118"/>
    <cellStyle name="40% - Accent4 2 2 2 2 2" xfId="1551"/>
    <cellStyle name="40% - Accent4 2 2 2 2 2 2" xfId="3847"/>
    <cellStyle name="40% - Accent4 2 2 2 2 2 2 2" xfId="26622"/>
    <cellStyle name="40% - Accent4 2 2 2 2 2 3" xfId="24326"/>
    <cellStyle name="40% - Accent4 2 2 2 2 20" xfId="14999"/>
    <cellStyle name="40% - Accent4 2 2 2 2 20 2" xfId="37774"/>
    <cellStyle name="40% - Accent4 2 2 2 2 21" xfId="15655"/>
    <cellStyle name="40% - Accent4 2 2 2 2 21 2" xfId="38430"/>
    <cellStyle name="40% - Accent4 2 2 2 2 22" xfId="16311"/>
    <cellStyle name="40% - Accent4 2 2 2 2 22 2" xfId="39086"/>
    <cellStyle name="40% - Accent4 2 2 2 2 23" xfId="16967"/>
    <cellStyle name="40% - Accent4 2 2 2 2 23 2" xfId="39742"/>
    <cellStyle name="40% - Accent4 2 2 2 2 24" xfId="17623"/>
    <cellStyle name="40% - Accent4 2 2 2 2 24 2" xfId="40398"/>
    <cellStyle name="40% - Accent4 2 2 2 2 25" xfId="18279"/>
    <cellStyle name="40% - Accent4 2 2 2 2 25 2" xfId="41054"/>
    <cellStyle name="40% - Accent4 2 2 2 2 26" xfId="18935"/>
    <cellStyle name="40% - Accent4 2 2 2 2 26 2" xfId="41710"/>
    <cellStyle name="40% - Accent4 2 2 2 2 27" xfId="19591"/>
    <cellStyle name="40% - Accent4 2 2 2 2 27 2" xfId="42366"/>
    <cellStyle name="40% - Accent4 2 2 2 2 28" xfId="20247"/>
    <cellStyle name="40% - Accent4 2 2 2 2 28 2" xfId="43022"/>
    <cellStyle name="40% - Accent4 2 2 2 2 29" xfId="20903"/>
    <cellStyle name="40% - Accent4 2 2 2 2 29 2" xfId="43678"/>
    <cellStyle name="40% - Accent4 2 2 2 2 3" xfId="2207"/>
    <cellStyle name="40% - Accent4 2 2 2 2 3 2" xfId="4503"/>
    <cellStyle name="40% - Accent4 2 2 2 2 3 2 2" xfId="27278"/>
    <cellStyle name="40% - Accent4 2 2 2 2 3 3" xfId="24982"/>
    <cellStyle name="40% - Accent4 2 2 2 2 30" xfId="21559"/>
    <cellStyle name="40% - Accent4 2 2 2 2 30 2" xfId="44334"/>
    <cellStyle name="40% - Accent4 2 2 2 2 31" xfId="22215"/>
    <cellStyle name="40% - Accent4 2 2 2 2 31 2" xfId="44990"/>
    <cellStyle name="40% - Accent4 2 2 2 2 32" xfId="22871"/>
    <cellStyle name="40% - Accent4 2 2 2 2 32 2" xfId="45646"/>
    <cellStyle name="40% - Accent4 2 2 2 2 33" xfId="23670"/>
    <cellStyle name="40% - Accent4 2 2 2 2 4" xfId="5159"/>
    <cellStyle name="40% - Accent4 2 2 2 2 4 2" xfId="27934"/>
    <cellStyle name="40% - Accent4 2 2 2 2 5" xfId="5815"/>
    <cellStyle name="40% - Accent4 2 2 2 2 5 2" xfId="28590"/>
    <cellStyle name="40% - Accent4 2 2 2 2 6" xfId="6471"/>
    <cellStyle name="40% - Accent4 2 2 2 2 6 2" xfId="29246"/>
    <cellStyle name="40% - Accent4 2 2 2 2 7" xfId="3191"/>
    <cellStyle name="40% - Accent4 2 2 2 2 7 2" xfId="25966"/>
    <cellStyle name="40% - Accent4 2 2 2 2 8" xfId="7127"/>
    <cellStyle name="40% - Accent4 2 2 2 2 8 2" xfId="29902"/>
    <cellStyle name="40% - Accent4 2 2 2 2 9" xfId="7783"/>
    <cellStyle name="40% - Accent4 2 2 2 2 9 2" xfId="30558"/>
    <cellStyle name="40% - Accent4 2 2 2 20" xfId="13359"/>
    <cellStyle name="40% - Accent4 2 2 2 20 2" xfId="36134"/>
    <cellStyle name="40% - Accent4 2 2 2 21" xfId="14015"/>
    <cellStyle name="40% - Accent4 2 2 2 21 2" xfId="36790"/>
    <cellStyle name="40% - Accent4 2 2 2 22" xfId="14671"/>
    <cellStyle name="40% - Accent4 2 2 2 22 2" xfId="37446"/>
    <cellStyle name="40% - Accent4 2 2 2 23" xfId="15327"/>
    <cellStyle name="40% - Accent4 2 2 2 23 2" xfId="38102"/>
    <cellStyle name="40% - Accent4 2 2 2 24" xfId="15983"/>
    <cellStyle name="40% - Accent4 2 2 2 24 2" xfId="38758"/>
    <cellStyle name="40% - Accent4 2 2 2 25" xfId="16639"/>
    <cellStyle name="40% - Accent4 2 2 2 25 2" xfId="39414"/>
    <cellStyle name="40% - Accent4 2 2 2 26" xfId="17295"/>
    <cellStyle name="40% - Accent4 2 2 2 26 2" xfId="40070"/>
    <cellStyle name="40% - Accent4 2 2 2 27" xfId="17951"/>
    <cellStyle name="40% - Accent4 2 2 2 27 2" xfId="40726"/>
    <cellStyle name="40% - Accent4 2 2 2 28" xfId="18607"/>
    <cellStyle name="40% - Accent4 2 2 2 28 2" xfId="41382"/>
    <cellStyle name="40% - Accent4 2 2 2 29" xfId="19263"/>
    <cellStyle name="40% - Accent4 2 2 2 29 2" xfId="42038"/>
    <cellStyle name="40% - Accent4 2 2 2 3" xfId="1223"/>
    <cellStyle name="40% - Accent4 2 2 2 3 2" xfId="2863"/>
    <cellStyle name="40% - Accent4 2 2 2 3 2 2" xfId="25638"/>
    <cellStyle name="40% - Accent4 2 2 2 3 3" xfId="23998"/>
    <cellStyle name="40% - Accent4 2 2 2 30" xfId="19919"/>
    <cellStyle name="40% - Accent4 2 2 2 30 2" xfId="42694"/>
    <cellStyle name="40% - Accent4 2 2 2 31" xfId="20575"/>
    <cellStyle name="40% - Accent4 2 2 2 31 2" xfId="43350"/>
    <cellStyle name="40% - Accent4 2 2 2 32" xfId="21231"/>
    <cellStyle name="40% - Accent4 2 2 2 32 2" xfId="44006"/>
    <cellStyle name="40% - Accent4 2 2 2 33" xfId="21887"/>
    <cellStyle name="40% - Accent4 2 2 2 33 2" xfId="44662"/>
    <cellStyle name="40% - Accent4 2 2 2 34" xfId="22543"/>
    <cellStyle name="40% - Accent4 2 2 2 34 2" xfId="45318"/>
    <cellStyle name="40% - Accent4 2 2 2 35" xfId="23342"/>
    <cellStyle name="40% - Accent4 2 2 2 4" xfId="1879"/>
    <cellStyle name="40% - Accent4 2 2 2 4 2" xfId="3519"/>
    <cellStyle name="40% - Accent4 2 2 2 4 2 2" xfId="26294"/>
    <cellStyle name="40% - Accent4 2 2 2 4 3" xfId="24654"/>
    <cellStyle name="40% - Accent4 2 2 2 5" xfId="4175"/>
    <cellStyle name="40% - Accent4 2 2 2 5 2" xfId="26950"/>
    <cellStyle name="40% - Accent4 2 2 2 6" xfId="4831"/>
    <cellStyle name="40% - Accent4 2 2 2 6 2" xfId="27606"/>
    <cellStyle name="40% - Accent4 2 2 2 7" xfId="5487"/>
    <cellStyle name="40% - Accent4 2 2 2 7 2" xfId="28262"/>
    <cellStyle name="40% - Accent4 2 2 2 8" xfId="6143"/>
    <cellStyle name="40% - Accent4 2 2 2 8 2" xfId="28918"/>
    <cellStyle name="40% - Accent4 2 2 2 9" xfId="2535"/>
    <cellStyle name="40% - Accent4 2 2 2 9 2" xfId="25310"/>
    <cellStyle name="40% - Accent4 2 2 20" xfId="12518"/>
    <cellStyle name="40% - Accent4 2 2 20 2" xfId="35293"/>
    <cellStyle name="40% - Accent4 2 2 21" xfId="13174"/>
    <cellStyle name="40% - Accent4 2 2 21 2" xfId="35949"/>
    <cellStyle name="40% - Accent4 2 2 22" xfId="13830"/>
    <cellStyle name="40% - Accent4 2 2 22 2" xfId="36605"/>
    <cellStyle name="40% - Accent4 2 2 23" xfId="14486"/>
    <cellStyle name="40% - Accent4 2 2 23 2" xfId="37261"/>
    <cellStyle name="40% - Accent4 2 2 24" xfId="15142"/>
    <cellStyle name="40% - Accent4 2 2 24 2" xfId="37917"/>
    <cellStyle name="40% - Accent4 2 2 25" xfId="15798"/>
    <cellStyle name="40% - Accent4 2 2 25 2" xfId="38573"/>
    <cellStyle name="40% - Accent4 2 2 26" xfId="16454"/>
    <cellStyle name="40% - Accent4 2 2 26 2" xfId="39229"/>
    <cellStyle name="40% - Accent4 2 2 27" xfId="17110"/>
    <cellStyle name="40% - Accent4 2 2 27 2" xfId="39885"/>
    <cellStyle name="40% - Accent4 2 2 28" xfId="17766"/>
    <cellStyle name="40% - Accent4 2 2 28 2" xfId="40541"/>
    <cellStyle name="40% - Accent4 2 2 29" xfId="18422"/>
    <cellStyle name="40% - Accent4 2 2 29 2" xfId="41197"/>
    <cellStyle name="40% - Accent4 2 2 3" xfId="710"/>
    <cellStyle name="40% - Accent4 2 2 3 10" xfId="8254"/>
    <cellStyle name="40% - Accent4 2 2 3 10 2" xfId="31029"/>
    <cellStyle name="40% - Accent4 2 2 3 11" xfId="8910"/>
    <cellStyle name="40% - Accent4 2 2 3 11 2" xfId="31685"/>
    <cellStyle name="40% - Accent4 2 2 3 12" xfId="9566"/>
    <cellStyle name="40% - Accent4 2 2 3 12 2" xfId="32341"/>
    <cellStyle name="40% - Accent4 2 2 3 13" xfId="10222"/>
    <cellStyle name="40% - Accent4 2 2 3 13 2" xfId="32997"/>
    <cellStyle name="40% - Accent4 2 2 3 14" xfId="10878"/>
    <cellStyle name="40% - Accent4 2 2 3 14 2" xfId="33653"/>
    <cellStyle name="40% - Accent4 2 2 3 15" xfId="11534"/>
    <cellStyle name="40% - Accent4 2 2 3 15 2" xfId="34309"/>
    <cellStyle name="40% - Accent4 2 2 3 16" xfId="12190"/>
    <cellStyle name="40% - Accent4 2 2 3 16 2" xfId="34965"/>
    <cellStyle name="40% - Accent4 2 2 3 17" xfId="12846"/>
    <cellStyle name="40% - Accent4 2 2 3 17 2" xfId="35621"/>
    <cellStyle name="40% - Accent4 2 2 3 18" xfId="13502"/>
    <cellStyle name="40% - Accent4 2 2 3 18 2" xfId="36277"/>
    <cellStyle name="40% - Accent4 2 2 3 19" xfId="14158"/>
    <cellStyle name="40% - Accent4 2 2 3 19 2" xfId="36933"/>
    <cellStyle name="40% - Accent4 2 2 3 2" xfId="1366"/>
    <cellStyle name="40% - Accent4 2 2 3 2 2" xfId="3662"/>
    <cellStyle name="40% - Accent4 2 2 3 2 2 2" xfId="26437"/>
    <cellStyle name="40% - Accent4 2 2 3 2 3" xfId="24141"/>
    <cellStyle name="40% - Accent4 2 2 3 20" xfId="14814"/>
    <cellStyle name="40% - Accent4 2 2 3 20 2" xfId="37589"/>
    <cellStyle name="40% - Accent4 2 2 3 21" xfId="15470"/>
    <cellStyle name="40% - Accent4 2 2 3 21 2" xfId="38245"/>
    <cellStyle name="40% - Accent4 2 2 3 22" xfId="16126"/>
    <cellStyle name="40% - Accent4 2 2 3 22 2" xfId="38901"/>
    <cellStyle name="40% - Accent4 2 2 3 23" xfId="16782"/>
    <cellStyle name="40% - Accent4 2 2 3 23 2" xfId="39557"/>
    <cellStyle name="40% - Accent4 2 2 3 24" xfId="17438"/>
    <cellStyle name="40% - Accent4 2 2 3 24 2" xfId="40213"/>
    <cellStyle name="40% - Accent4 2 2 3 25" xfId="18094"/>
    <cellStyle name="40% - Accent4 2 2 3 25 2" xfId="40869"/>
    <cellStyle name="40% - Accent4 2 2 3 26" xfId="18750"/>
    <cellStyle name="40% - Accent4 2 2 3 26 2" xfId="41525"/>
    <cellStyle name="40% - Accent4 2 2 3 27" xfId="19406"/>
    <cellStyle name="40% - Accent4 2 2 3 27 2" xfId="42181"/>
    <cellStyle name="40% - Accent4 2 2 3 28" xfId="20062"/>
    <cellStyle name="40% - Accent4 2 2 3 28 2" xfId="42837"/>
    <cellStyle name="40% - Accent4 2 2 3 29" xfId="20718"/>
    <cellStyle name="40% - Accent4 2 2 3 29 2" xfId="43493"/>
    <cellStyle name="40% - Accent4 2 2 3 3" xfId="2022"/>
    <cellStyle name="40% - Accent4 2 2 3 3 2" xfId="4318"/>
    <cellStyle name="40% - Accent4 2 2 3 3 2 2" xfId="27093"/>
    <cellStyle name="40% - Accent4 2 2 3 3 3" xfId="24797"/>
    <cellStyle name="40% - Accent4 2 2 3 30" xfId="21374"/>
    <cellStyle name="40% - Accent4 2 2 3 30 2" xfId="44149"/>
    <cellStyle name="40% - Accent4 2 2 3 31" xfId="22030"/>
    <cellStyle name="40% - Accent4 2 2 3 31 2" xfId="44805"/>
    <cellStyle name="40% - Accent4 2 2 3 32" xfId="22686"/>
    <cellStyle name="40% - Accent4 2 2 3 32 2" xfId="45461"/>
    <cellStyle name="40% - Accent4 2 2 3 33" xfId="23485"/>
    <cellStyle name="40% - Accent4 2 2 3 4" xfId="4974"/>
    <cellStyle name="40% - Accent4 2 2 3 4 2" xfId="27749"/>
    <cellStyle name="40% - Accent4 2 2 3 5" xfId="5630"/>
    <cellStyle name="40% - Accent4 2 2 3 5 2" xfId="28405"/>
    <cellStyle name="40% - Accent4 2 2 3 6" xfId="6286"/>
    <cellStyle name="40% - Accent4 2 2 3 6 2" xfId="29061"/>
    <cellStyle name="40% - Accent4 2 2 3 7" xfId="3006"/>
    <cellStyle name="40% - Accent4 2 2 3 7 2" xfId="25781"/>
    <cellStyle name="40% - Accent4 2 2 3 8" xfId="6942"/>
    <cellStyle name="40% - Accent4 2 2 3 8 2" xfId="29717"/>
    <cellStyle name="40% - Accent4 2 2 3 9" xfId="7598"/>
    <cellStyle name="40% - Accent4 2 2 3 9 2" xfId="30373"/>
    <cellStyle name="40% - Accent4 2 2 30" xfId="19078"/>
    <cellStyle name="40% - Accent4 2 2 30 2" xfId="41853"/>
    <cellStyle name="40% - Accent4 2 2 31" xfId="19734"/>
    <cellStyle name="40% - Accent4 2 2 31 2" xfId="42509"/>
    <cellStyle name="40% - Accent4 2 2 32" xfId="20390"/>
    <cellStyle name="40% - Accent4 2 2 32 2" xfId="43165"/>
    <cellStyle name="40% - Accent4 2 2 33" xfId="21046"/>
    <cellStyle name="40% - Accent4 2 2 33 2" xfId="43821"/>
    <cellStyle name="40% - Accent4 2 2 34" xfId="21702"/>
    <cellStyle name="40% - Accent4 2 2 34 2" xfId="44477"/>
    <cellStyle name="40% - Accent4 2 2 35" xfId="22358"/>
    <cellStyle name="40% - Accent4 2 2 35 2" xfId="45133"/>
    <cellStyle name="40% - Accent4 2 2 36" xfId="23014"/>
    <cellStyle name="40% - Accent4 2 2 4" xfId="383"/>
    <cellStyle name="40% - Accent4 2 2 4 2" xfId="2678"/>
    <cellStyle name="40% - Accent4 2 2 4 2 2" xfId="25453"/>
    <cellStyle name="40% - Accent4 2 2 4 3" xfId="23157"/>
    <cellStyle name="40% - Accent4 2 2 5" xfId="1038"/>
    <cellStyle name="40% - Accent4 2 2 5 2" xfId="3334"/>
    <cellStyle name="40% - Accent4 2 2 5 2 2" xfId="26109"/>
    <cellStyle name="40% - Accent4 2 2 5 3" xfId="23813"/>
    <cellStyle name="40% - Accent4 2 2 6" xfId="1694"/>
    <cellStyle name="40% - Accent4 2 2 6 2" xfId="3990"/>
    <cellStyle name="40% - Accent4 2 2 6 2 2" xfId="26765"/>
    <cellStyle name="40% - Accent4 2 2 6 3" xfId="24469"/>
    <cellStyle name="40% - Accent4 2 2 7" xfId="4646"/>
    <cellStyle name="40% - Accent4 2 2 7 2" xfId="27421"/>
    <cellStyle name="40% - Accent4 2 2 8" xfId="5302"/>
    <cellStyle name="40% - Accent4 2 2 8 2" xfId="28077"/>
    <cellStyle name="40% - Accent4 2 2 9" xfId="5958"/>
    <cellStyle name="40% - Accent4 2 2 9 2" xfId="28733"/>
    <cellStyle name="40% - Accent4 2 20" xfId="11776"/>
    <cellStyle name="40% - Accent4 2 20 2" xfId="34551"/>
    <cellStyle name="40% - Accent4 2 21" xfId="12432"/>
    <cellStyle name="40% - Accent4 2 21 2" xfId="35207"/>
    <cellStyle name="40% - Accent4 2 22" xfId="13088"/>
    <cellStyle name="40% - Accent4 2 22 2" xfId="35863"/>
    <cellStyle name="40% - Accent4 2 23" xfId="13744"/>
    <cellStyle name="40% - Accent4 2 23 2" xfId="36519"/>
    <cellStyle name="40% - Accent4 2 24" xfId="14400"/>
    <cellStyle name="40% - Accent4 2 24 2" xfId="37175"/>
    <cellStyle name="40% - Accent4 2 25" xfId="15056"/>
    <cellStyle name="40% - Accent4 2 25 2" xfId="37831"/>
    <cellStyle name="40% - Accent4 2 26" xfId="15712"/>
    <cellStyle name="40% - Accent4 2 26 2" xfId="38487"/>
    <cellStyle name="40% - Accent4 2 27" xfId="16368"/>
    <cellStyle name="40% - Accent4 2 27 2" xfId="39143"/>
    <cellStyle name="40% - Accent4 2 28" xfId="17024"/>
    <cellStyle name="40% - Accent4 2 28 2" xfId="39799"/>
    <cellStyle name="40% - Accent4 2 29" xfId="17680"/>
    <cellStyle name="40% - Accent4 2 29 2" xfId="40455"/>
    <cellStyle name="40% - Accent4 2 3" xfId="482"/>
    <cellStyle name="40% - Accent4 2 3 10" xfId="6713"/>
    <cellStyle name="40% - Accent4 2 3 10 2" xfId="29488"/>
    <cellStyle name="40% - Accent4 2 3 11" xfId="7369"/>
    <cellStyle name="40% - Accent4 2 3 11 2" xfId="30144"/>
    <cellStyle name="40% - Accent4 2 3 12" xfId="8025"/>
    <cellStyle name="40% - Accent4 2 3 12 2" xfId="30800"/>
    <cellStyle name="40% - Accent4 2 3 13" xfId="8681"/>
    <cellStyle name="40% - Accent4 2 3 13 2" xfId="31456"/>
    <cellStyle name="40% - Accent4 2 3 14" xfId="9337"/>
    <cellStyle name="40% - Accent4 2 3 14 2" xfId="32112"/>
    <cellStyle name="40% - Accent4 2 3 15" xfId="9993"/>
    <cellStyle name="40% - Accent4 2 3 15 2" xfId="32768"/>
    <cellStyle name="40% - Accent4 2 3 16" xfId="10649"/>
    <cellStyle name="40% - Accent4 2 3 16 2" xfId="33424"/>
    <cellStyle name="40% - Accent4 2 3 17" xfId="11305"/>
    <cellStyle name="40% - Accent4 2 3 17 2" xfId="34080"/>
    <cellStyle name="40% - Accent4 2 3 18" xfId="11961"/>
    <cellStyle name="40% - Accent4 2 3 18 2" xfId="34736"/>
    <cellStyle name="40% - Accent4 2 3 19" xfId="12617"/>
    <cellStyle name="40% - Accent4 2 3 19 2" xfId="35392"/>
    <cellStyle name="40% - Accent4 2 3 2" xfId="809"/>
    <cellStyle name="40% - Accent4 2 3 2 10" xfId="8353"/>
    <cellStyle name="40% - Accent4 2 3 2 10 2" xfId="31128"/>
    <cellStyle name="40% - Accent4 2 3 2 11" xfId="9009"/>
    <cellStyle name="40% - Accent4 2 3 2 11 2" xfId="31784"/>
    <cellStyle name="40% - Accent4 2 3 2 12" xfId="9665"/>
    <cellStyle name="40% - Accent4 2 3 2 12 2" xfId="32440"/>
    <cellStyle name="40% - Accent4 2 3 2 13" xfId="10321"/>
    <cellStyle name="40% - Accent4 2 3 2 13 2" xfId="33096"/>
    <cellStyle name="40% - Accent4 2 3 2 14" xfId="10977"/>
    <cellStyle name="40% - Accent4 2 3 2 14 2" xfId="33752"/>
    <cellStyle name="40% - Accent4 2 3 2 15" xfId="11633"/>
    <cellStyle name="40% - Accent4 2 3 2 15 2" xfId="34408"/>
    <cellStyle name="40% - Accent4 2 3 2 16" xfId="12289"/>
    <cellStyle name="40% - Accent4 2 3 2 16 2" xfId="35064"/>
    <cellStyle name="40% - Accent4 2 3 2 17" xfId="12945"/>
    <cellStyle name="40% - Accent4 2 3 2 17 2" xfId="35720"/>
    <cellStyle name="40% - Accent4 2 3 2 18" xfId="13601"/>
    <cellStyle name="40% - Accent4 2 3 2 18 2" xfId="36376"/>
    <cellStyle name="40% - Accent4 2 3 2 19" xfId="14257"/>
    <cellStyle name="40% - Accent4 2 3 2 19 2" xfId="37032"/>
    <cellStyle name="40% - Accent4 2 3 2 2" xfId="1465"/>
    <cellStyle name="40% - Accent4 2 3 2 2 2" xfId="3761"/>
    <cellStyle name="40% - Accent4 2 3 2 2 2 2" xfId="26536"/>
    <cellStyle name="40% - Accent4 2 3 2 2 3" xfId="24240"/>
    <cellStyle name="40% - Accent4 2 3 2 20" xfId="14913"/>
    <cellStyle name="40% - Accent4 2 3 2 20 2" xfId="37688"/>
    <cellStyle name="40% - Accent4 2 3 2 21" xfId="15569"/>
    <cellStyle name="40% - Accent4 2 3 2 21 2" xfId="38344"/>
    <cellStyle name="40% - Accent4 2 3 2 22" xfId="16225"/>
    <cellStyle name="40% - Accent4 2 3 2 22 2" xfId="39000"/>
    <cellStyle name="40% - Accent4 2 3 2 23" xfId="16881"/>
    <cellStyle name="40% - Accent4 2 3 2 23 2" xfId="39656"/>
    <cellStyle name="40% - Accent4 2 3 2 24" xfId="17537"/>
    <cellStyle name="40% - Accent4 2 3 2 24 2" xfId="40312"/>
    <cellStyle name="40% - Accent4 2 3 2 25" xfId="18193"/>
    <cellStyle name="40% - Accent4 2 3 2 25 2" xfId="40968"/>
    <cellStyle name="40% - Accent4 2 3 2 26" xfId="18849"/>
    <cellStyle name="40% - Accent4 2 3 2 26 2" xfId="41624"/>
    <cellStyle name="40% - Accent4 2 3 2 27" xfId="19505"/>
    <cellStyle name="40% - Accent4 2 3 2 27 2" xfId="42280"/>
    <cellStyle name="40% - Accent4 2 3 2 28" xfId="20161"/>
    <cellStyle name="40% - Accent4 2 3 2 28 2" xfId="42936"/>
    <cellStyle name="40% - Accent4 2 3 2 29" xfId="20817"/>
    <cellStyle name="40% - Accent4 2 3 2 29 2" xfId="43592"/>
    <cellStyle name="40% - Accent4 2 3 2 3" xfId="2121"/>
    <cellStyle name="40% - Accent4 2 3 2 3 2" xfId="4417"/>
    <cellStyle name="40% - Accent4 2 3 2 3 2 2" xfId="27192"/>
    <cellStyle name="40% - Accent4 2 3 2 3 3" xfId="24896"/>
    <cellStyle name="40% - Accent4 2 3 2 30" xfId="21473"/>
    <cellStyle name="40% - Accent4 2 3 2 30 2" xfId="44248"/>
    <cellStyle name="40% - Accent4 2 3 2 31" xfId="22129"/>
    <cellStyle name="40% - Accent4 2 3 2 31 2" xfId="44904"/>
    <cellStyle name="40% - Accent4 2 3 2 32" xfId="22785"/>
    <cellStyle name="40% - Accent4 2 3 2 32 2" xfId="45560"/>
    <cellStyle name="40% - Accent4 2 3 2 33" xfId="23584"/>
    <cellStyle name="40% - Accent4 2 3 2 4" xfId="5073"/>
    <cellStyle name="40% - Accent4 2 3 2 4 2" xfId="27848"/>
    <cellStyle name="40% - Accent4 2 3 2 5" xfId="5729"/>
    <cellStyle name="40% - Accent4 2 3 2 5 2" xfId="28504"/>
    <cellStyle name="40% - Accent4 2 3 2 6" xfId="6385"/>
    <cellStyle name="40% - Accent4 2 3 2 6 2" xfId="29160"/>
    <cellStyle name="40% - Accent4 2 3 2 7" xfId="3105"/>
    <cellStyle name="40% - Accent4 2 3 2 7 2" xfId="25880"/>
    <cellStyle name="40% - Accent4 2 3 2 8" xfId="7041"/>
    <cellStyle name="40% - Accent4 2 3 2 8 2" xfId="29816"/>
    <cellStyle name="40% - Accent4 2 3 2 9" xfId="7697"/>
    <cellStyle name="40% - Accent4 2 3 2 9 2" xfId="30472"/>
    <cellStyle name="40% - Accent4 2 3 20" xfId="13273"/>
    <cellStyle name="40% - Accent4 2 3 20 2" xfId="36048"/>
    <cellStyle name="40% - Accent4 2 3 21" xfId="13929"/>
    <cellStyle name="40% - Accent4 2 3 21 2" xfId="36704"/>
    <cellStyle name="40% - Accent4 2 3 22" xfId="14585"/>
    <cellStyle name="40% - Accent4 2 3 22 2" xfId="37360"/>
    <cellStyle name="40% - Accent4 2 3 23" xfId="15241"/>
    <cellStyle name="40% - Accent4 2 3 23 2" xfId="38016"/>
    <cellStyle name="40% - Accent4 2 3 24" xfId="15897"/>
    <cellStyle name="40% - Accent4 2 3 24 2" xfId="38672"/>
    <cellStyle name="40% - Accent4 2 3 25" xfId="16553"/>
    <cellStyle name="40% - Accent4 2 3 25 2" xfId="39328"/>
    <cellStyle name="40% - Accent4 2 3 26" xfId="17209"/>
    <cellStyle name="40% - Accent4 2 3 26 2" xfId="39984"/>
    <cellStyle name="40% - Accent4 2 3 27" xfId="17865"/>
    <cellStyle name="40% - Accent4 2 3 27 2" xfId="40640"/>
    <cellStyle name="40% - Accent4 2 3 28" xfId="18521"/>
    <cellStyle name="40% - Accent4 2 3 28 2" xfId="41296"/>
    <cellStyle name="40% - Accent4 2 3 29" xfId="19177"/>
    <cellStyle name="40% - Accent4 2 3 29 2" xfId="41952"/>
    <cellStyle name="40% - Accent4 2 3 3" xfId="1137"/>
    <cellStyle name="40% - Accent4 2 3 3 2" xfId="2777"/>
    <cellStyle name="40% - Accent4 2 3 3 2 2" xfId="25552"/>
    <cellStyle name="40% - Accent4 2 3 3 3" xfId="23912"/>
    <cellStyle name="40% - Accent4 2 3 30" xfId="19833"/>
    <cellStyle name="40% - Accent4 2 3 30 2" xfId="42608"/>
    <cellStyle name="40% - Accent4 2 3 31" xfId="20489"/>
    <cellStyle name="40% - Accent4 2 3 31 2" xfId="43264"/>
    <cellStyle name="40% - Accent4 2 3 32" xfId="21145"/>
    <cellStyle name="40% - Accent4 2 3 32 2" xfId="43920"/>
    <cellStyle name="40% - Accent4 2 3 33" xfId="21801"/>
    <cellStyle name="40% - Accent4 2 3 33 2" xfId="44576"/>
    <cellStyle name="40% - Accent4 2 3 34" xfId="22457"/>
    <cellStyle name="40% - Accent4 2 3 34 2" xfId="45232"/>
    <cellStyle name="40% - Accent4 2 3 35" xfId="23256"/>
    <cellStyle name="40% - Accent4 2 3 4" xfId="1793"/>
    <cellStyle name="40% - Accent4 2 3 4 2" xfId="3433"/>
    <cellStyle name="40% - Accent4 2 3 4 2 2" xfId="26208"/>
    <cellStyle name="40% - Accent4 2 3 4 3" xfId="24568"/>
    <cellStyle name="40% - Accent4 2 3 5" xfId="4089"/>
    <cellStyle name="40% - Accent4 2 3 5 2" xfId="26864"/>
    <cellStyle name="40% - Accent4 2 3 6" xfId="4745"/>
    <cellStyle name="40% - Accent4 2 3 6 2" xfId="27520"/>
    <cellStyle name="40% - Accent4 2 3 7" xfId="5401"/>
    <cellStyle name="40% - Accent4 2 3 7 2" xfId="28176"/>
    <cellStyle name="40% - Accent4 2 3 8" xfId="6057"/>
    <cellStyle name="40% - Accent4 2 3 8 2" xfId="28832"/>
    <cellStyle name="40% - Accent4 2 3 9" xfId="2449"/>
    <cellStyle name="40% - Accent4 2 3 9 2" xfId="25224"/>
    <cellStyle name="40% - Accent4 2 30" xfId="18336"/>
    <cellStyle name="40% - Accent4 2 30 2" xfId="41111"/>
    <cellStyle name="40% - Accent4 2 31" xfId="18992"/>
    <cellStyle name="40% - Accent4 2 31 2" xfId="41767"/>
    <cellStyle name="40% - Accent4 2 32" xfId="19648"/>
    <cellStyle name="40% - Accent4 2 32 2" xfId="42423"/>
    <cellStyle name="40% - Accent4 2 33" xfId="20304"/>
    <cellStyle name="40% - Accent4 2 33 2" xfId="43079"/>
    <cellStyle name="40% - Accent4 2 34" xfId="20960"/>
    <cellStyle name="40% - Accent4 2 34 2" xfId="43735"/>
    <cellStyle name="40% - Accent4 2 35" xfId="21616"/>
    <cellStyle name="40% - Accent4 2 35 2" xfId="44391"/>
    <cellStyle name="40% - Accent4 2 36" xfId="22272"/>
    <cellStyle name="40% - Accent4 2 36 2" xfId="45047"/>
    <cellStyle name="40% - Accent4 2 37" xfId="211"/>
    <cellStyle name="40% - Accent4 2 38" xfId="22928"/>
    <cellStyle name="40% - Accent4 2 4" xfId="624"/>
    <cellStyle name="40% - Accent4 2 4 10" xfId="8168"/>
    <cellStyle name="40% - Accent4 2 4 10 2" xfId="30943"/>
    <cellStyle name="40% - Accent4 2 4 11" xfId="8824"/>
    <cellStyle name="40% - Accent4 2 4 11 2" xfId="31599"/>
    <cellStyle name="40% - Accent4 2 4 12" xfId="9480"/>
    <cellStyle name="40% - Accent4 2 4 12 2" xfId="32255"/>
    <cellStyle name="40% - Accent4 2 4 13" xfId="10136"/>
    <cellStyle name="40% - Accent4 2 4 13 2" xfId="32911"/>
    <cellStyle name="40% - Accent4 2 4 14" xfId="10792"/>
    <cellStyle name="40% - Accent4 2 4 14 2" xfId="33567"/>
    <cellStyle name="40% - Accent4 2 4 15" xfId="11448"/>
    <cellStyle name="40% - Accent4 2 4 15 2" xfId="34223"/>
    <cellStyle name="40% - Accent4 2 4 16" xfId="12104"/>
    <cellStyle name="40% - Accent4 2 4 16 2" xfId="34879"/>
    <cellStyle name="40% - Accent4 2 4 17" xfId="12760"/>
    <cellStyle name="40% - Accent4 2 4 17 2" xfId="35535"/>
    <cellStyle name="40% - Accent4 2 4 18" xfId="13416"/>
    <cellStyle name="40% - Accent4 2 4 18 2" xfId="36191"/>
    <cellStyle name="40% - Accent4 2 4 19" xfId="14072"/>
    <cellStyle name="40% - Accent4 2 4 19 2" xfId="36847"/>
    <cellStyle name="40% - Accent4 2 4 2" xfId="1280"/>
    <cellStyle name="40% - Accent4 2 4 2 2" xfId="3576"/>
    <cellStyle name="40% - Accent4 2 4 2 2 2" xfId="26351"/>
    <cellStyle name="40% - Accent4 2 4 2 3" xfId="24055"/>
    <cellStyle name="40% - Accent4 2 4 20" xfId="14728"/>
    <cellStyle name="40% - Accent4 2 4 20 2" xfId="37503"/>
    <cellStyle name="40% - Accent4 2 4 21" xfId="15384"/>
    <cellStyle name="40% - Accent4 2 4 21 2" xfId="38159"/>
    <cellStyle name="40% - Accent4 2 4 22" xfId="16040"/>
    <cellStyle name="40% - Accent4 2 4 22 2" xfId="38815"/>
    <cellStyle name="40% - Accent4 2 4 23" xfId="16696"/>
    <cellStyle name="40% - Accent4 2 4 23 2" xfId="39471"/>
    <cellStyle name="40% - Accent4 2 4 24" xfId="17352"/>
    <cellStyle name="40% - Accent4 2 4 24 2" xfId="40127"/>
    <cellStyle name="40% - Accent4 2 4 25" xfId="18008"/>
    <cellStyle name="40% - Accent4 2 4 25 2" xfId="40783"/>
    <cellStyle name="40% - Accent4 2 4 26" xfId="18664"/>
    <cellStyle name="40% - Accent4 2 4 26 2" xfId="41439"/>
    <cellStyle name="40% - Accent4 2 4 27" xfId="19320"/>
    <cellStyle name="40% - Accent4 2 4 27 2" xfId="42095"/>
    <cellStyle name="40% - Accent4 2 4 28" xfId="19976"/>
    <cellStyle name="40% - Accent4 2 4 28 2" xfId="42751"/>
    <cellStyle name="40% - Accent4 2 4 29" xfId="20632"/>
    <cellStyle name="40% - Accent4 2 4 29 2" xfId="43407"/>
    <cellStyle name="40% - Accent4 2 4 3" xfId="1936"/>
    <cellStyle name="40% - Accent4 2 4 3 2" xfId="4232"/>
    <cellStyle name="40% - Accent4 2 4 3 2 2" xfId="27007"/>
    <cellStyle name="40% - Accent4 2 4 3 3" xfId="24711"/>
    <cellStyle name="40% - Accent4 2 4 30" xfId="21288"/>
    <cellStyle name="40% - Accent4 2 4 30 2" xfId="44063"/>
    <cellStyle name="40% - Accent4 2 4 31" xfId="21944"/>
    <cellStyle name="40% - Accent4 2 4 31 2" xfId="44719"/>
    <cellStyle name="40% - Accent4 2 4 32" xfId="22600"/>
    <cellStyle name="40% - Accent4 2 4 32 2" xfId="45375"/>
    <cellStyle name="40% - Accent4 2 4 33" xfId="23399"/>
    <cellStyle name="40% - Accent4 2 4 4" xfId="4888"/>
    <cellStyle name="40% - Accent4 2 4 4 2" xfId="27663"/>
    <cellStyle name="40% - Accent4 2 4 5" xfId="5544"/>
    <cellStyle name="40% - Accent4 2 4 5 2" xfId="28319"/>
    <cellStyle name="40% - Accent4 2 4 6" xfId="6200"/>
    <cellStyle name="40% - Accent4 2 4 6 2" xfId="28975"/>
    <cellStyle name="40% - Accent4 2 4 7" xfId="2920"/>
    <cellStyle name="40% - Accent4 2 4 7 2" xfId="25695"/>
    <cellStyle name="40% - Accent4 2 4 8" xfId="6856"/>
    <cellStyle name="40% - Accent4 2 4 8 2" xfId="29631"/>
    <cellStyle name="40% - Accent4 2 4 9" xfId="7512"/>
    <cellStyle name="40% - Accent4 2 4 9 2" xfId="30287"/>
    <cellStyle name="40% - Accent4 2 5" xfId="297"/>
    <cellStyle name="40% - Accent4 2 5 2" xfId="2592"/>
    <cellStyle name="40% - Accent4 2 5 2 2" xfId="25367"/>
    <cellStyle name="40% - Accent4 2 5 3" xfId="23071"/>
    <cellStyle name="40% - Accent4 2 6" xfId="952"/>
    <cellStyle name="40% - Accent4 2 6 2" xfId="3248"/>
    <cellStyle name="40% - Accent4 2 6 2 2" xfId="26023"/>
    <cellStyle name="40% - Accent4 2 6 3" xfId="23727"/>
    <cellStyle name="40% - Accent4 2 7" xfId="1608"/>
    <cellStyle name="40% - Accent4 2 7 2" xfId="3904"/>
    <cellStyle name="40% - Accent4 2 7 2 2" xfId="26679"/>
    <cellStyle name="40% - Accent4 2 7 3" xfId="24383"/>
    <cellStyle name="40% - Accent4 2 8" xfId="4560"/>
    <cellStyle name="40% - Accent4 2 8 2" xfId="27335"/>
    <cellStyle name="40% - Accent4 2 9" xfId="5216"/>
    <cellStyle name="40% - Accent4 2 9 2" xfId="27991"/>
    <cellStyle name="40% - Accent4 20" xfId="7168"/>
    <cellStyle name="40% - Accent4 20 2" xfId="29943"/>
    <cellStyle name="40% - Accent4 21" xfId="7824"/>
    <cellStyle name="40% - Accent4 21 2" xfId="30599"/>
    <cellStyle name="40% - Accent4 22" xfId="8480"/>
    <cellStyle name="40% - Accent4 22 2" xfId="31255"/>
    <cellStyle name="40% - Accent4 23" xfId="9136"/>
    <cellStyle name="40% - Accent4 23 2" xfId="31911"/>
    <cellStyle name="40% - Accent4 24" xfId="9792"/>
    <cellStyle name="40% - Accent4 24 2" xfId="32567"/>
    <cellStyle name="40% - Accent4 25" xfId="10448"/>
    <cellStyle name="40% - Accent4 25 2" xfId="33223"/>
    <cellStyle name="40% - Accent4 26" xfId="11104"/>
    <cellStyle name="40% - Accent4 26 2" xfId="33879"/>
    <cellStyle name="40% - Accent4 27" xfId="11760"/>
    <cellStyle name="40% - Accent4 27 2" xfId="34535"/>
    <cellStyle name="40% - Accent4 28" xfId="12416"/>
    <cellStyle name="40% - Accent4 28 2" xfId="35191"/>
    <cellStyle name="40% - Accent4 29" xfId="13072"/>
    <cellStyle name="40% - Accent4 29 2" xfId="35847"/>
    <cellStyle name="40% - Accent4 3" xfId="60"/>
    <cellStyle name="40% - Accent4 3 10" xfId="5887"/>
    <cellStyle name="40% - Accent4 3 10 2" xfId="28662"/>
    <cellStyle name="40% - Accent4 3 11" xfId="2279"/>
    <cellStyle name="40% - Accent4 3 11 2" xfId="25054"/>
    <cellStyle name="40% - Accent4 3 12" xfId="6543"/>
    <cellStyle name="40% - Accent4 3 12 2" xfId="29318"/>
    <cellStyle name="40% - Accent4 3 13" xfId="7199"/>
    <cellStyle name="40% - Accent4 3 13 2" xfId="29974"/>
    <cellStyle name="40% - Accent4 3 14" xfId="7855"/>
    <cellStyle name="40% - Accent4 3 14 2" xfId="30630"/>
    <cellStyle name="40% - Accent4 3 15" xfId="8511"/>
    <cellStyle name="40% - Accent4 3 15 2" xfId="31286"/>
    <cellStyle name="40% - Accent4 3 16" xfId="9167"/>
    <cellStyle name="40% - Accent4 3 16 2" xfId="31942"/>
    <cellStyle name="40% - Accent4 3 17" xfId="9823"/>
    <cellStyle name="40% - Accent4 3 17 2" xfId="32598"/>
    <cellStyle name="40% - Accent4 3 18" xfId="10479"/>
    <cellStyle name="40% - Accent4 3 18 2" xfId="33254"/>
    <cellStyle name="40% - Accent4 3 19" xfId="11135"/>
    <cellStyle name="40% - Accent4 3 19 2" xfId="33910"/>
    <cellStyle name="40% - Accent4 3 2" xfId="138"/>
    <cellStyle name="40% - Accent4 3 2 10" xfId="2334"/>
    <cellStyle name="40% - Accent4 3 2 10 2" xfId="25109"/>
    <cellStyle name="40% - Accent4 3 2 11" xfId="6598"/>
    <cellStyle name="40% - Accent4 3 2 11 2" xfId="29373"/>
    <cellStyle name="40% - Accent4 3 2 12" xfId="7254"/>
    <cellStyle name="40% - Accent4 3 2 12 2" xfId="30029"/>
    <cellStyle name="40% - Accent4 3 2 13" xfId="7910"/>
    <cellStyle name="40% - Accent4 3 2 13 2" xfId="30685"/>
    <cellStyle name="40% - Accent4 3 2 14" xfId="8566"/>
    <cellStyle name="40% - Accent4 3 2 14 2" xfId="31341"/>
    <cellStyle name="40% - Accent4 3 2 15" xfId="9222"/>
    <cellStyle name="40% - Accent4 3 2 15 2" xfId="31997"/>
    <cellStyle name="40% - Accent4 3 2 16" xfId="9878"/>
    <cellStyle name="40% - Accent4 3 2 16 2" xfId="32653"/>
    <cellStyle name="40% - Accent4 3 2 17" xfId="10534"/>
    <cellStyle name="40% - Accent4 3 2 17 2" xfId="33309"/>
    <cellStyle name="40% - Accent4 3 2 18" xfId="11190"/>
    <cellStyle name="40% - Accent4 3 2 18 2" xfId="33965"/>
    <cellStyle name="40% - Accent4 3 2 19" xfId="11846"/>
    <cellStyle name="40% - Accent4 3 2 19 2" xfId="34621"/>
    <cellStyle name="40% - Accent4 3 2 2" xfId="550"/>
    <cellStyle name="40% - Accent4 3 2 2 10" xfId="6783"/>
    <cellStyle name="40% - Accent4 3 2 2 10 2" xfId="29558"/>
    <cellStyle name="40% - Accent4 3 2 2 11" xfId="7439"/>
    <cellStyle name="40% - Accent4 3 2 2 11 2" xfId="30214"/>
    <cellStyle name="40% - Accent4 3 2 2 12" xfId="8095"/>
    <cellStyle name="40% - Accent4 3 2 2 12 2" xfId="30870"/>
    <cellStyle name="40% - Accent4 3 2 2 13" xfId="8751"/>
    <cellStyle name="40% - Accent4 3 2 2 13 2" xfId="31526"/>
    <cellStyle name="40% - Accent4 3 2 2 14" xfId="9407"/>
    <cellStyle name="40% - Accent4 3 2 2 14 2" xfId="32182"/>
    <cellStyle name="40% - Accent4 3 2 2 15" xfId="10063"/>
    <cellStyle name="40% - Accent4 3 2 2 15 2" xfId="32838"/>
    <cellStyle name="40% - Accent4 3 2 2 16" xfId="10719"/>
    <cellStyle name="40% - Accent4 3 2 2 16 2" xfId="33494"/>
    <cellStyle name="40% - Accent4 3 2 2 17" xfId="11375"/>
    <cellStyle name="40% - Accent4 3 2 2 17 2" xfId="34150"/>
    <cellStyle name="40% - Accent4 3 2 2 18" xfId="12031"/>
    <cellStyle name="40% - Accent4 3 2 2 18 2" xfId="34806"/>
    <cellStyle name="40% - Accent4 3 2 2 19" xfId="12687"/>
    <cellStyle name="40% - Accent4 3 2 2 19 2" xfId="35462"/>
    <cellStyle name="40% - Accent4 3 2 2 2" xfId="879"/>
    <cellStyle name="40% - Accent4 3 2 2 2 10" xfId="8423"/>
    <cellStyle name="40% - Accent4 3 2 2 2 10 2" xfId="31198"/>
    <cellStyle name="40% - Accent4 3 2 2 2 11" xfId="9079"/>
    <cellStyle name="40% - Accent4 3 2 2 2 11 2" xfId="31854"/>
    <cellStyle name="40% - Accent4 3 2 2 2 12" xfId="9735"/>
    <cellStyle name="40% - Accent4 3 2 2 2 12 2" xfId="32510"/>
    <cellStyle name="40% - Accent4 3 2 2 2 13" xfId="10391"/>
    <cellStyle name="40% - Accent4 3 2 2 2 13 2" xfId="33166"/>
    <cellStyle name="40% - Accent4 3 2 2 2 14" xfId="11047"/>
    <cellStyle name="40% - Accent4 3 2 2 2 14 2" xfId="33822"/>
    <cellStyle name="40% - Accent4 3 2 2 2 15" xfId="11703"/>
    <cellStyle name="40% - Accent4 3 2 2 2 15 2" xfId="34478"/>
    <cellStyle name="40% - Accent4 3 2 2 2 16" xfId="12359"/>
    <cellStyle name="40% - Accent4 3 2 2 2 16 2" xfId="35134"/>
    <cellStyle name="40% - Accent4 3 2 2 2 17" xfId="13015"/>
    <cellStyle name="40% - Accent4 3 2 2 2 17 2" xfId="35790"/>
    <cellStyle name="40% - Accent4 3 2 2 2 18" xfId="13671"/>
    <cellStyle name="40% - Accent4 3 2 2 2 18 2" xfId="36446"/>
    <cellStyle name="40% - Accent4 3 2 2 2 19" xfId="14327"/>
    <cellStyle name="40% - Accent4 3 2 2 2 19 2" xfId="37102"/>
    <cellStyle name="40% - Accent4 3 2 2 2 2" xfId="1535"/>
    <cellStyle name="40% - Accent4 3 2 2 2 2 2" xfId="3831"/>
    <cellStyle name="40% - Accent4 3 2 2 2 2 2 2" xfId="26606"/>
    <cellStyle name="40% - Accent4 3 2 2 2 2 3" xfId="24310"/>
    <cellStyle name="40% - Accent4 3 2 2 2 20" xfId="14983"/>
    <cellStyle name="40% - Accent4 3 2 2 2 20 2" xfId="37758"/>
    <cellStyle name="40% - Accent4 3 2 2 2 21" xfId="15639"/>
    <cellStyle name="40% - Accent4 3 2 2 2 21 2" xfId="38414"/>
    <cellStyle name="40% - Accent4 3 2 2 2 22" xfId="16295"/>
    <cellStyle name="40% - Accent4 3 2 2 2 22 2" xfId="39070"/>
    <cellStyle name="40% - Accent4 3 2 2 2 23" xfId="16951"/>
    <cellStyle name="40% - Accent4 3 2 2 2 23 2" xfId="39726"/>
    <cellStyle name="40% - Accent4 3 2 2 2 24" xfId="17607"/>
    <cellStyle name="40% - Accent4 3 2 2 2 24 2" xfId="40382"/>
    <cellStyle name="40% - Accent4 3 2 2 2 25" xfId="18263"/>
    <cellStyle name="40% - Accent4 3 2 2 2 25 2" xfId="41038"/>
    <cellStyle name="40% - Accent4 3 2 2 2 26" xfId="18919"/>
    <cellStyle name="40% - Accent4 3 2 2 2 26 2" xfId="41694"/>
    <cellStyle name="40% - Accent4 3 2 2 2 27" xfId="19575"/>
    <cellStyle name="40% - Accent4 3 2 2 2 27 2" xfId="42350"/>
    <cellStyle name="40% - Accent4 3 2 2 2 28" xfId="20231"/>
    <cellStyle name="40% - Accent4 3 2 2 2 28 2" xfId="43006"/>
    <cellStyle name="40% - Accent4 3 2 2 2 29" xfId="20887"/>
    <cellStyle name="40% - Accent4 3 2 2 2 29 2" xfId="43662"/>
    <cellStyle name="40% - Accent4 3 2 2 2 3" xfId="2191"/>
    <cellStyle name="40% - Accent4 3 2 2 2 3 2" xfId="4487"/>
    <cellStyle name="40% - Accent4 3 2 2 2 3 2 2" xfId="27262"/>
    <cellStyle name="40% - Accent4 3 2 2 2 3 3" xfId="24966"/>
    <cellStyle name="40% - Accent4 3 2 2 2 30" xfId="21543"/>
    <cellStyle name="40% - Accent4 3 2 2 2 30 2" xfId="44318"/>
    <cellStyle name="40% - Accent4 3 2 2 2 31" xfId="22199"/>
    <cellStyle name="40% - Accent4 3 2 2 2 31 2" xfId="44974"/>
    <cellStyle name="40% - Accent4 3 2 2 2 32" xfId="22855"/>
    <cellStyle name="40% - Accent4 3 2 2 2 32 2" xfId="45630"/>
    <cellStyle name="40% - Accent4 3 2 2 2 33" xfId="23654"/>
    <cellStyle name="40% - Accent4 3 2 2 2 4" xfId="5143"/>
    <cellStyle name="40% - Accent4 3 2 2 2 4 2" xfId="27918"/>
    <cellStyle name="40% - Accent4 3 2 2 2 5" xfId="5799"/>
    <cellStyle name="40% - Accent4 3 2 2 2 5 2" xfId="28574"/>
    <cellStyle name="40% - Accent4 3 2 2 2 6" xfId="6455"/>
    <cellStyle name="40% - Accent4 3 2 2 2 6 2" xfId="29230"/>
    <cellStyle name="40% - Accent4 3 2 2 2 7" xfId="3175"/>
    <cellStyle name="40% - Accent4 3 2 2 2 7 2" xfId="25950"/>
    <cellStyle name="40% - Accent4 3 2 2 2 8" xfId="7111"/>
    <cellStyle name="40% - Accent4 3 2 2 2 8 2" xfId="29886"/>
    <cellStyle name="40% - Accent4 3 2 2 2 9" xfId="7767"/>
    <cellStyle name="40% - Accent4 3 2 2 2 9 2" xfId="30542"/>
    <cellStyle name="40% - Accent4 3 2 2 20" xfId="13343"/>
    <cellStyle name="40% - Accent4 3 2 2 20 2" xfId="36118"/>
    <cellStyle name="40% - Accent4 3 2 2 21" xfId="13999"/>
    <cellStyle name="40% - Accent4 3 2 2 21 2" xfId="36774"/>
    <cellStyle name="40% - Accent4 3 2 2 22" xfId="14655"/>
    <cellStyle name="40% - Accent4 3 2 2 22 2" xfId="37430"/>
    <cellStyle name="40% - Accent4 3 2 2 23" xfId="15311"/>
    <cellStyle name="40% - Accent4 3 2 2 23 2" xfId="38086"/>
    <cellStyle name="40% - Accent4 3 2 2 24" xfId="15967"/>
    <cellStyle name="40% - Accent4 3 2 2 24 2" xfId="38742"/>
    <cellStyle name="40% - Accent4 3 2 2 25" xfId="16623"/>
    <cellStyle name="40% - Accent4 3 2 2 25 2" xfId="39398"/>
    <cellStyle name="40% - Accent4 3 2 2 26" xfId="17279"/>
    <cellStyle name="40% - Accent4 3 2 2 26 2" xfId="40054"/>
    <cellStyle name="40% - Accent4 3 2 2 27" xfId="17935"/>
    <cellStyle name="40% - Accent4 3 2 2 27 2" xfId="40710"/>
    <cellStyle name="40% - Accent4 3 2 2 28" xfId="18591"/>
    <cellStyle name="40% - Accent4 3 2 2 28 2" xfId="41366"/>
    <cellStyle name="40% - Accent4 3 2 2 29" xfId="19247"/>
    <cellStyle name="40% - Accent4 3 2 2 29 2" xfId="42022"/>
    <cellStyle name="40% - Accent4 3 2 2 3" xfId="1207"/>
    <cellStyle name="40% - Accent4 3 2 2 3 2" xfId="2847"/>
    <cellStyle name="40% - Accent4 3 2 2 3 2 2" xfId="25622"/>
    <cellStyle name="40% - Accent4 3 2 2 3 3" xfId="23982"/>
    <cellStyle name="40% - Accent4 3 2 2 30" xfId="19903"/>
    <cellStyle name="40% - Accent4 3 2 2 30 2" xfId="42678"/>
    <cellStyle name="40% - Accent4 3 2 2 31" xfId="20559"/>
    <cellStyle name="40% - Accent4 3 2 2 31 2" xfId="43334"/>
    <cellStyle name="40% - Accent4 3 2 2 32" xfId="21215"/>
    <cellStyle name="40% - Accent4 3 2 2 32 2" xfId="43990"/>
    <cellStyle name="40% - Accent4 3 2 2 33" xfId="21871"/>
    <cellStyle name="40% - Accent4 3 2 2 33 2" xfId="44646"/>
    <cellStyle name="40% - Accent4 3 2 2 34" xfId="22527"/>
    <cellStyle name="40% - Accent4 3 2 2 34 2" xfId="45302"/>
    <cellStyle name="40% - Accent4 3 2 2 35" xfId="23326"/>
    <cellStyle name="40% - Accent4 3 2 2 4" xfId="1863"/>
    <cellStyle name="40% - Accent4 3 2 2 4 2" xfId="3503"/>
    <cellStyle name="40% - Accent4 3 2 2 4 2 2" xfId="26278"/>
    <cellStyle name="40% - Accent4 3 2 2 4 3" xfId="24638"/>
    <cellStyle name="40% - Accent4 3 2 2 5" xfId="4159"/>
    <cellStyle name="40% - Accent4 3 2 2 5 2" xfId="26934"/>
    <cellStyle name="40% - Accent4 3 2 2 6" xfId="4815"/>
    <cellStyle name="40% - Accent4 3 2 2 6 2" xfId="27590"/>
    <cellStyle name="40% - Accent4 3 2 2 7" xfId="5471"/>
    <cellStyle name="40% - Accent4 3 2 2 7 2" xfId="28246"/>
    <cellStyle name="40% - Accent4 3 2 2 8" xfId="6127"/>
    <cellStyle name="40% - Accent4 3 2 2 8 2" xfId="28902"/>
    <cellStyle name="40% - Accent4 3 2 2 9" xfId="2519"/>
    <cellStyle name="40% - Accent4 3 2 2 9 2" xfId="25294"/>
    <cellStyle name="40% - Accent4 3 2 20" xfId="12502"/>
    <cellStyle name="40% - Accent4 3 2 20 2" xfId="35277"/>
    <cellStyle name="40% - Accent4 3 2 21" xfId="13158"/>
    <cellStyle name="40% - Accent4 3 2 21 2" xfId="35933"/>
    <cellStyle name="40% - Accent4 3 2 22" xfId="13814"/>
    <cellStyle name="40% - Accent4 3 2 22 2" xfId="36589"/>
    <cellStyle name="40% - Accent4 3 2 23" xfId="14470"/>
    <cellStyle name="40% - Accent4 3 2 23 2" xfId="37245"/>
    <cellStyle name="40% - Accent4 3 2 24" xfId="15126"/>
    <cellStyle name="40% - Accent4 3 2 24 2" xfId="37901"/>
    <cellStyle name="40% - Accent4 3 2 25" xfId="15782"/>
    <cellStyle name="40% - Accent4 3 2 25 2" xfId="38557"/>
    <cellStyle name="40% - Accent4 3 2 26" xfId="16438"/>
    <cellStyle name="40% - Accent4 3 2 26 2" xfId="39213"/>
    <cellStyle name="40% - Accent4 3 2 27" xfId="17094"/>
    <cellStyle name="40% - Accent4 3 2 27 2" xfId="39869"/>
    <cellStyle name="40% - Accent4 3 2 28" xfId="17750"/>
    <cellStyle name="40% - Accent4 3 2 28 2" xfId="40525"/>
    <cellStyle name="40% - Accent4 3 2 29" xfId="18406"/>
    <cellStyle name="40% - Accent4 3 2 29 2" xfId="41181"/>
    <cellStyle name="40% - Accent4 3 2 3" xfId="694"/>
    <cellStyle name="40% - Accent4 3 2 3 10" xfId="8238"/>
    <cellStyle name="40% - Accent4 3 2 3 10 2" xfId="31013"/>
    <cellStyle name="40% - Accent4 3 2 3 11" xfId="8894"/>
    <cellStyle name="40% - Accent4 3 2 3 11 2" xfId="31669"/>
    <cellStyle name="40% - Accent4 3 2 3 12" xfId="9550"/>
    <cellStyle name="40% - Accent4 3 2 3 12 2" xfId="32325"/>
    <cellStyle name="40% - Accent4 3 2 3 13" xfId="10206"/>
    <cellStyle name="40% - Accent4 3 2 3 13 2" xfId="32981"/>
    <cellStyle name="40% - Accent4 3 2 3 14" xfId="10862"/>
    <cellStyle name="40% - Accent4 3 2 3 14 2" xfId="33637"/>
    <cellStyle name="40% - Accent4 3 2 3 15" xfId="11518"/>
    <cellStyle name="40% - Accent4 3 2 3 15 2" xfId="34293"/>
    <cellStyle name="40% - Accent4 3 2 3 16" xfId="12174"/>
    <cellStyle name="40% - Accent4 3 2 3 16 2" xfId="34949"/>
    <cellStyle name="40% - Accent4 3 2 3 17" xfId="12830"/>
    <cellStyle name="40% - Accent4 3 2 3 17 2" xfId="35605"/>
    <cellStyle name="40% - Accent4 3 2 3 18" xfId="13486"/>
    <cellStyle name="40% - Accent4 3 2 3 18 2" xfId="36261"/>
    <cellStyle name="40% - Accent4 3 2 3 19" xfId="14142"/>
    <cellStyle name="40% - Accent4 3 2 3 19 2" xfId="36917"/>
    <cellStyle name="40% - Accent4 3 2 3 2" xfId="1350"/>
    <cellStyle name="40% - Accent4 3 2 3 2 2" xfId="3646"/>
    <cellStyle name="40% - Accent4 3 2 3 2 2 2" xfId="26421"/>
    <cellStyle name="40% - Accent4 3 2 3 2 3" xfId="24125"/>
    <cellStyle name="40% - Accent4 3 2 3 20" xfId="14798"/>
    <cellStyle name="40% - Accent4 3 2 3 20 2" xfId="37573"/>
    <cellStyle name="40% - Accent4 3 2 3 21" xfId="15454"/>
    <cellStyle name="40% - Accent4 3 2 3 21 2" xfId="38229"/>
    <cellStyle name="40% - Accent4 3 2 3 22" xfId="16110"/>
    <cellStyle name="40% - Accent4 3 2 3 22 2" xfId="38885"/>
    <cellStyle name="40% - Accent4 3 2 3 23" xfId="16766"/>
    <cellStyle name="40% - Accent4 3 2 3 23 2" xfId="39541"/>
    <cellStyle name="40% - Accent4 3 2 3 24" xfId="17422"/>
    <cellStyle name="40% - Accent4 3 2 3 24 2" xfId="40197"/>
    <cellStyle name="40% - Accent4 3 2 3 25" xfId="18078"/>
    <cellStyle name="40% - Accent4 3 2 3 25 2" xfId="40853"/>
    <cellStyle name="40% - Accent4 3 2 3 26" xfId="18734"/>
    <cellStyle name="40% - Accent4 3 2 3 26 2" xfId="41509"/>
    <cellStyle name="40% - Accent4 3 2 3 27" xfId="19390"/>
    <cellStyle name="40% - Accent4 3 2 3 27 2" xfId="42165"/>
    <cellStyle name="40% - Accent4 3 2 3 28" xfId="20046"/>
    <cellStyle name="40% - Accent4 3 2 3 28 2" xfId="42821"/>
    <cellStyle name="40% - Accent4 3 2 3 29" xfId="20702"/>
    <cellStyle name="40% - Accent4 3 2 3 29 2" xfId="43477"/>
    <cellStyle name="40% - Accent4 3 2 3 3" xfId="2006"/>
    <cellStyle name="40% - Accent4 3 2 3 3 2" xfId="4302"/>
    <cellStyle name="40% - Accent4 3 2 3 3 2 2" xfId="27077"/>
    <cellStyle name="40% - Accent4 3 2 3 3 3" xfId="24781"/>
    <cellStyle name="40% - Accent4 3 2 3 30" xfId="21358"/>
    <cellStyle name="40% - Accent4 3 2 3 30 2" xfId="44133"/>
    <cellStyle name="40% - Accent4 3 2 3 31" xfId="22014"/>
    <cellStyle name="40% - Accent4 3 2 3 31 2" xfId="44789"/>
    <cellStyle name="40% - Accent4 3 2 3 32" xfId="22670"/>
    <cellStyle name="40% - Accent4 3 2 3 32 2" xfId="45445"/>
    <cellStyle name="40% - Accent4 3 2 3 33" xfId="23469"/>
    <cellStyle name="40% - Accent4 3 2 3 4" xfId="4958"/>
    <cellStyle name="40% - Accent4 3 2 3 4 2" xfId="27733"/>
    <cellStyle name="40% - Accent4 3 2 3 5" xfId="5614"/>
    <cellStyle name="40% - Accent4 3 2 3 5 2" xfId="28389"/>
    <cellStyle name="40% - Accent4 3 2 3 6" xfId="6270"/>
    <cellStyle name="40% - Accent4 3 2 3 6 2" xfId="29045"/>
    <cellStyle name="40% - Accent4 3 2 3 7" xfId="2990"/>
    <cellStyle name="40% - Accent4 3 2 3 7 2" xfId="25765"/>
    <cellStyle name="40% - Accent4 3 2 3 8" xfId="6926"/>
    <cellStyle name="40% - Accent4 3 2 3 8 2" xfId="29701"/>
    <cellStyle name="40% - Accent4 3 2 3 9" xfId="7582"/>
    <cellStyle name="40% - Accent4 3 2 3 9 2" xfId="30357"/>
    <cellStyle name="40% - Accent4 3 2 30" xfId="19062"/>
    <cellStyle name="40% - Accent4 3 2 30 2" xfId="41837"/>
    <cellStyle name="40% - Accent4 3 2 31" xfId="19718"/>
    <cellStyle name="40% - Accent4 3 2 31 2" xfId="42493"/>
    <cellStyle name="40% - Accent4 3 2 32" xfId="20374"/>
    <cellStyle name="40% - Accent4 3 2 32 2" xfId="43149"/>
    <cellStyle name="40% - Accent4 3 2 33" xfId="21030"/>
    <cellStyle name="40% - Accent4 3 2 33 2" xfId="43805"/>
    <cellStyle name="40% - Accent4 3 2 34" xfId="21686"/>
    <cellStyle name="40% - Accent4 3 2 34 2" xfId="44461"/>
    <cellStyle name="40% - Accent4 3 2 35" xfId="22342"/>
    <cellStyle name="40% - Accent4 3 2 35 2" xfId="45117"/>
    <cellStyle name="40% - Accent4 3 2 36" xfId="22998"/>
    <cellStyle name="40% - Accent4 3 2 4" xfId="367"/>
    <cellStyle name="40% - Accent4 3 2 4 2" xfId="2662"/>
    <cellStyle name="40% - Accent4 3 2 4 2 2" xfId="25437"/>
    <cellStyle name="40% - Accent4 3 2 4 3" xfId="23141"/>
    <cellStyle name="40% - Accent4 3 2 5" xfId="1022"/>
    <cellStyle name="40% - Accent4 3 2 5 2" xfId="3318"/>
    <cellStyle name="40% - Accent4 3 2 5 2 2" xfId="26093"/>
    <cellStyle name="40% - Accent4 3 2 5 3" xfId="23797"/>
    <cellStyle name="40% - Accent4 3 2 6" xfId="1678"/>
    <cellStyle name="40% - Accent4 3 2 6 2" xfId="3974"/>
    <cellStyle name="40% - Accent4 3 2 6 2 2" xfId="26749"/>
    <cellStyle name="40% - Accent4 3 2 6 3" xfId="24453"/>
    <cellStyle name="40% - Accent4 3 2 7" xfId="4630"/>
    <cellStyle name="40% - Accent4 3 2 7 2" xfId="27405"/>
    <cellStyle name="40% - Accent4 3 2 8" xfId="5286"/>
    <cellStyle name="40% - Accent4 3 2 8 2" xfId="28061"/>
    <cellStyle name="40% - Accent4 3 2 9" xfId="5942"/>
    <cellStyle name="40% - Accent4 3 2 9 2" xfId="28717"/>
    <cellStyle name="40% - Accent4 3 20" xfId="11791"/>
    <cellStyle name="40% - Accent4 3 20 2" xfId="34566"/>
    <cellStyle name="40% - Accent4 3 21" xfId="12447"/>
    <cellStyle name="40% - Accent4 3 21 2" xfId="35222"/>
    <cellStyle name="40% - Accent4 3 22" xfId="13103"/>
    <cellStyle name="40% - Accent4 3 22 2" xfId="35878"/>
    <cellStyle name="40% - Accent4 3 23" xfId="13759"/>
    <cellStyle name="40% - Accent4 3 23 2" xfId="36534"/>
    <cellStyle name="40% - Accent4 3 24" xfId="14415"/>
    <cellStyle name="40% - Accent4 3 24 2" xfId="37190"/>
    <cellStyle name="40% - Accent4 3 25" xfId="15071"/>
    <cellStyle name="40% - Accent4 3 25 2" xfId="37846"/>
    <cellStyle name="40% - Accent4 3 26" xfId="15727"/>
    <cellStyle name="40% - Accent4 3 26 2" xfId="38502"/>
    <cellStyle name="40% - Accent4 3 27" xfId="16383"/>
    <cellStyle name="40% - Accent4 3 27 2" xfId="39158"/>
    <cellStyle name="40% - Accent4 3 28" xfId="17039"/>
    <cellStyle name="40% - Accent4 3 28 2" xfId="39814"/>
    <cellStyle name="40% - Accent4 3 29" xfId="17695"/>
    <cellStyle name="40% - Accent4 3 29 2" xfId="40470"/>
    <cellStyle name="40% - Accent4 3 3" xfId="496"/>
    <cellStyle name="40% - Accent4 3 3 10" xfId="6728"/>
    <cellStyle name="40% - Accent4 3 3 10 2" xfId="29503"/>
    <cellStyle name="40% - Accent4 3 3 11" xfId="7384"/>
    <cellStyle name="40% - Accent4 3 3 11 2" xfId="30159"/>
    <cellStyle name="40% - Accent4 3 3 12" xfId="8040"/>
    <cellStyle name="40% - Accent4 3 3 12 2" xfId="30815"/>
    <cellStyle name="40% - Accent4 3 3 13" xfId="8696"/>
    <cellStyle name="40% - Accent4 3 3 13 2" xfId="31471"/>
    <cellStyle name="40% - Accent4 3 3 14" xfId="9352"/>
    <cellStyle name="40% - Accent4 3 3 14 2" xfId="32127"/>
    <cellStyle name="40% - Accent4 3 3 15" xfId="10008"/>
    <cellStyle name="40% - Accent4 3 3 15 2" xfId="32783"/>
    <cellStyle name="40% - Accent4 3 3 16" xfId="10664"/>
    <cellStyle name="40% - Accent4 3 3 16 2" xfId="33439"/>
    <cellStyle name="40% - Accent4 3 3 17" xfId="11320"/>
    <cellStyle name="40% - Accent4 3 3 17 2" xfId="34095"/>
    <cellStyle name="40% - Accent4 3 3 18" xfId="11976"/>
    <cellStyle name="40% - Accent4 3 3 18 2" xfId="34751"/>
    <cellStyle name="40% - Accent4 3 3 19" xfId="12632"/>
    <cellStyle name="40% - Accent4 3 3 19 2" xfId="35407"/>
    <cellStyle name="40% - Accent4 3 3 2" xfId="824"/>
    <cellStyle name="40% - Accent4 3 3 2 10" xfId="8368"/>
    <cellStyle name="40% - Accent4 3 3 2 10 2" xfId="31143"/>
    <cellStyle name="40% - Accent4 3 3 2 11" xfId="9024"/>
    <cellStyle name="40% - Accent4 3 3 2 11 2" xfId="31799"/>
    <cellStyle name="40% - Accent4 3 3 2 12" xfId="9680"/>
    <cellStyle name="40% - Accent4 3 3 2 12 2" xfId="32455"/>
    <cellStyle name="40% - Accent4 3 3 2 13" xfId="10336"/>
    <cellStyle name="40% - Accent4 3 3 2 13 2" xfId="33111"/>
    <cellStyle name="40% - Accent4 3 3 2 14" xfId="10992"/>
    <cellStyle name="40% - Accent4 3 3 2 14 2" xfId="33767"/>
    <cellStyle name="40% - Accent4 3 3 2 15" xfId="11648"/>
    <cellStyle name="40% - Accent4 3 3 2 15 2" xfId="34423"/>
    <cellStyle name="40% - Accent4 3 3 2 16" xfId="12304"/>
    <cellStyle name="40% - Accent4 3 3 2 16 2" xfId="35079"/>
    <cellStyle name="40% - Accent4 3 3 2 17" xfId="12960"/>
    <cellStyle name="40% - Accent4 3 3 2 17 2" xfId="35735"/>
    <cellStyle name="40% - Accent4 3 3 2 18" xfId="13616"/>
    <cellStyle name="40% - Accent4 3 3 2 18 2" xfId="36391"/>
    <cellStyle name="40% - Accent4 3 3 2 19" xfId="14272"/>
    <cellStyle name="40% - Accent4 3 3 2 19 2" xfId="37047"/>
    <cellStyle name="40% - Accent4 3 3 2 2" xfId="1480"/>
    <cellStyle name="40% - Accent4 3 3 2 2 2" xfId="3776"/>
    <cellStyle name="40% - Accent4 3 3 2 2 2 2" xfId="26551"/>
    <cellStyle name="40% - Accent4 3 3 2 2 3" xfId="24255"/>
    <cellStyle name="40% - Accent4 3 3 2 20" xfId="14928"/>
    <cellStyle name="40% - Accent4 3 3 2 20 2" xfId="37703"/>
    <cellStyle name="40% - Accent4 3 3 2 21" xfId="15584"/>
    <cellStyle name="40% - Accent4 3 3 2 21 2" xfId="38359"/>
    <cellStyle name="40% - Accent4 3 3 2 22" xfId="16240"/>
    <cellStyle name="40% - Accent4 3 3 2 22 2" xfId="39015"/>
    <cellStyle name="40% - Accent4 3 3 2 23" xfId="16896"/>
    <cellStyle name="40% - Accent4 3 3 2 23 2" xfId="39671"/>
    <cellStyle name="40% - Accent4 3 3 2 24" xfId="17552"/>
    <cellStyle name="40% - Accent4 3 3 2 24 2" xfId="40327"/>
    <cellStyle name="40% - Accent4 3 3 2 25" xfId="18208"/>
    <cellStyle name="40% - Accent4 3 3 2 25 2" xfId="40983"/>
    <cellStyle name="40% - Accent4 3 3 2 26" xfId="18864"/>
    <cellStyle name="40% - Accent4 3 3 2 26 2" xfId="41639"/>
    <cellStyle name="40% - Accent4 3 3 2 27" xfId="19520"/>
    <cellStyle name="40% - Accent4 3 3 2 27 2" xfId="42295"/>
    <cellStyle name="40% - Accent4 3 3 2 28" xfId="20176"/>
    <cellStyle name="40% - Accent4 3 3 2 28 2" xfId="42951"/>
    <cellStyle name="40% - Accent4 3 3 2 29" xfId="20832"/>
    <cellStyle name="40% - Accent4 3 3 2 29 2" xfId="43607"/>
    <cellStyle name="40% - Accent4 3 3 2 3" xfId="2136"/>
    <cellStyle name="40% - Accent4 3 3 2 3 2" xfId="4432"/>
    <cellStyle name="40% - Accent4 3 3 2 3 2 2" xfId="27207"/>
    <cellStyle name="40% - Accent4 3 3 2 3 3" xfId="24911"/>
    <cellStyle name="40% - Accent4 3 3 2 30" xfId="21488"/>
    <cellStyle name="40% - Accent4 3 3 2 30 2" xfId="44263"/>
    <cellStyle name="40% - Accent4 3 3 2 31" xfId="22144"/>
    <cellStyle name="40% - Accent4 3 3 2 31 2" xfId="44919"/>
    <cellStyle name="40% - Accent4 3 3 2 32" xfId="22800"/>
    <cellStyle name="40% - Accent4 3 3 2 32 2" xfId="45575"/>
    <cellStyle name="40% - Accent4 3 3 2 33" xfId="23599"/>
    <cellStyle name="40% - Accent4 3 3 2 4" xfId="5088"/>
    <cellStyle name="40% - Accent4 3 3 2 4 2" xfId="27863"/>
    <cellStyle name="40% - Accent4 3 3 2 5" xfId="5744"/>
    <cellStyle name="40% - Accent4 3 3 2 5 2" xfId="28519"/>
    <cellStyle name="40% - Accent4 3 3 2 6" xfId="6400"/>
    <cellStyle name="40% - Accent4 3 3 2 6 2" xfId="29175"/>
    <cellStyle name="40% - Accent4 3 3 2 7" xfId="3120"/>
    <cellStyle name="40% - Accent4 3 3 2 7 2" xfId="25895"/>
    <cellStyle name="40% - Accent4 3 3 2 8" xfId="7056"/>
    <cellStyle name="40% - Accent4 3 3 2 8 2" xfId="29831"/>
    <cellStyle name="40% - Accent4 3 3 2 9" xfId="7712"/>
    <cellStyle name="40% - Accent4 3 3 2 9 2" xfId="30487"/>
    <cellStyle name="40% - Accent4 3 3 20" xfId="13288"/>
    <cellStyle name="40% - Accent4 3 3 20 2" xfId="36063"/>
    <cellStyle name="40% - Accent4 3 3 21" xfId="13944"/>
    <cellStyle name="40% - Accent4 3 3 21 2" xfId="36719"/>
    <cellStyle name="40% - Accent4 3 3 22" xfId="14600"/>
    <cellStyle name="40% - Accent4 3 3 22 2" xfId="37375"/>
    <cellStyle name="40% - Accent4 3 3 23" xfId="15256"/>
    <cellStyle name="40% - Accent4 3 3 23 2" xfId="38031"/>
    <cellStyle name="40% - Accent4 3 3 24" xfId="15912"/>
    <cellStyle name="40% - Accent4 3 3 24 2" xfId="38687"/>
    <cellStyle name="40% - Accent4 3 3 25" xfId="16568"/>
    <cellStyle name="40% - Accent4 3 3 25 2" xfId="39343"/>
    <cellStyle name="40% - Accent4 3 3 26" xfId="17224"/>
    <cellStyle name="40% - Accent4 3 3 26 2" xfId="39999"/>
    <cellStyle name="40% - Accent4 3 3 27" xfId="17880"/>
    <cellStyle name="40% - Accent4 3 3 27 2" xfId="40655"/>
    <cellStyle name="40% - Accent4 3 3 28" xfId="18536"/>
    <cellStyle name="40% - Accent4 3 3 28 2" xfId="41311"/>
    <cellStyle name="40% - Accent4 3 3 29" xfId="19192"/>
    <cellStyle name="40% - Accent4 3 3 29 2" xfId="41967"/>
    <cellStyle name="40% - Accent4 3 3 3" xfId="1152"/>
    <cellStyle name="40% - Accent4 3 3 3 2" xfId="2792"/>
    <cellStyle name="40% - Accent4 3 3 3 2 2" xfId="25567"/>
    <cellStyle name="40% - Accent4 3 3 3 3" xfId="23927"/>
    <cellStyle name="40% - Accent4 3 3 30" xfId="19848"/>
    <cellStyle name="40% - Accent4 3 3 30 2" xfId="42623"/>
    <cellStyle name="40% - Accent4 3 3 31" xfId="20504"/>
    <cellStyle name="40% - Accent4 3 3 31 2" xfId="43279"/>
    <cellStyle name="40% - Accent4 3 3 32" xfId="21160"/>
    <cellStyle name="40% - Accent4 3 3 32 2" xfId="43935"/>
    <cellStyle name="40% - Accent4 3 3 33" xfId="21816"/>
    <cellStyle name="40% - Accent4 3 3 33 2" xfId="44591"/>
    <cellStyle name="40% - Accent4 3 3 34" xfId="22472"/>
    <cellStyle name="40% - Accent4 3 3 34 2" xfId="45247"/>
    <cellStyle name="40% - Accent4 3 3 35" xfId="23271"/>
    <cellStyle name="40% - Accent4 3 3 4" xfId="1808"/>
    <cellStyle name="40% - Accent4 3 3 4 2" xfId="3448"/>
    <cellStyle name="40% - Accent4 3 3 4 2 2" xfId="26223"/>
    <cellStyle name="40% - Accent4 3 3 4 3" xfId="24583"/>
    <cellStyle name="40% - Accent4 3 3 5" xfId="4104"/>
    <cellStyle name="40% - Accent4 3 3 5 2" xfId="26879"/>
    <cellStyle name="40% - Accent4 3 3 6" xfId="4760"/>
    <cellStyle name="40% - Accent4 3 3 6 2" xfId="27535"/>
    <cellStyle name="40% - Accent4 3 3 7" xfId="5416"/>
    <cellStyle name="40% - Accent4 3 3 7 2" xfId="28191"/>
    <cellStyle name="40% - Accent4 3 3 8" xfId="6072"/>
    <cellStyle name="40% - Accent4 3 3 8 2" xfId="28847"/>
    <cellStyle name="40% - Accent4 3 3 9" xfId="2464"/>
    <cellStyle name="40% - Accent4 3 3 9 2" xfId="25239"/>
    <cellStyle name="40% - Accent4 3 30" xfId="18351"/>
    <cellStyle name="40% - Accent4 3 30 2" xfId="41126"/>
    <cellStyle name="40% - Accent4 3 31" xfId="19007"/>
    <cellStyle name="40% - Accent4 3 31 2" xfId="41782"/>
    <cellStyle name="40% - Accent4 3 32" xfId="19663"/>
    <cellStyle name="40% - Accent4 3 32 2" xfId="42438"/>
    <cellStyle name="40% - Accent4 3 33" xfId="20319"/>
    <cellStyle name="40% - Accent4 3 33 2" xfId="43094"/>
    <cellStyle name="40% - Accent4 3 34" xfId="20975"/>
    <cellStyle name="40% - Accent4 3 34 2" xfId="43750"/>
    <cellStyle name="40% - Accent4 3 35" xfId="21631"/>
    <cellStyle name="40% - Accent4 3 35 2" xfId="44406"/>
    <cellStyle name="40% - Accent4 3 36" xfId="22287"/>
    <cellStyle name="40% - Accent4 3 36 2" xfId="45062"/>
    <cellStyle name="40% - Accent4 3 37" xfId="226"/>
    <cellStyle name="40% - Accent4 3 38" xfId="22943"/>
    <cellStyle name="40% - Accent4 3 4" xfId="639"/>
    <cellStyle name="40% - Accent4 3 4 10" xfId="8183"/>
    <cellStyle name="40% - Accent4 3 4 10 2" xfId="30958"/>
    <cellStyle name="40% - Accent4 3 4 11" xfId="8839"/>
    <cellStyle name="40% - Accent4 3 4 11 2" xfId="31614"/>
    <cellStyle name="40% - Accent4 3 4 12" xfId="9495"/>
    <cellStyle name="40% - Accent4 3 4 12 2" xfId="32270"/>
    <cellStyle name="40% - Accent4 3 4 13" xfId="10151"/>
    <cellStyle name="40% - Accent4 3 4 13 2" xfId="32926"/>
    <cellStyle name="40% - Accent4 3 4 14" xfId="10807"/>
    <cellStyle name="40% - Accent4 3 4 14 2" xfId="33582"/>
    <cellStyle name="40% - Accent4 3 4 15" xfId="11463"/>
    <cellStyle name="40% - Accent4 3 4 15 2" xfId="34238"/>
    <cellStyle name="40% - Accent4 3 4 16" xfId="12119"/>
    <cellStyle name="40% - Accent4 3 4 16 2" xfId="34894"/>
    <cellStyle name="40% - Accent4 3 4 17" xfId="12775"/>
    <cellStyle name="40% - Accent4 3 4 17 2" xfId="35550"/>
    <cellStyle name="40% - Accent4 3 4 18" xfId="13431"/>
    <cellStyle name="40% - Accent4 3 4 18 2" xfId="36206"/>
    <cellStyle name="40% - Accent4 3 4 19" xfId="14087"/>
    <cellStyle name="40% - Accent4 3 4 19 2" xfId="36862"/>
    <cellStyle name="40% - Accent4 3 4 2" xfId="1295"/>
    <cellStyle name="40% - Accent4 3 4 2 2" xfId="3591"/>
    <cellStyle name="40% - Accent4 3 4 2 2 2" xfId="26366"/>
    <cellStyle name="40% - Accent4 3 4 2 3" xfId="24070"/>
    <cellStyle name="40% - Accent4 3 4 20" xfId="14743"/>
    <cellStyle name="40% - Accent4 3 4 20 2" xfId="37518"/>
    <cellStyle name="40% - Accent4 3 4 21" xfId="15399"/>
    <cellStyle name="40% - Accent4 3 4 21 2" xfId="38174"/>
    <cellStyle name="40% - Accent4 3 4 22" xfId="16055"/>
    <cellStyle name="40% - Accent4 3 4 22 2" xfId="38830"/>
    <cellStyle name="40% - Accent4 3 4 23" xfId="16711"/>
    <cellStyle name="40% - Accent4 3 4 23 2" xfId="39486"/>
    <cellStyle name="40% - Accent4 3 4 24" xfId="17367"/>
    <cellStyle name="40% - Accent4 3 4 24 2" xfId="40142"/>
    <cellStyle name="40% - Accent4 3 4 25" xfId="18023"/>
    <cellStyle name="40% - Accent4 3 4 25 2" xfId="40798"/>
    <cellStyle name="40% - Accent4 3 4 26" xfId="18679"/>
    <cellStyle name="40% - Accent4 3 4 26 2" xfId="41454"/>
    <cellStyle name="40% - Accent4 3 4 27" xfId="19335"/>
    <cellStyle name="40% - Accent4 3 4 27 2" xfId="42110"/>
    <cellStyle name="40% - Accent4 3 4 28" xfId="19991"/>
    <cellStyle name="40% - Accent4 3 4 28 2" xfId="42766"/>
    <cellStyle name="40% - Accent4 3 4 29" xfId="20647"/>
    <cellStyle name="40% - Accent4 3 4 29 2" xfId="43422"/>
    <cellStyle name="40% - Accent4 3 4 3" xfId="1951"/>
    <cellStyle name="40% - Accent4 3 4 3 2" xfId="4247"/>
    <cellStyle name="40% - Accent4 3 4 3 2 2" xfId="27022"/>
    <cellStyle name="40% - Accent4 3 4 3 3" xfId="24726"/>
    <cellStyle name="40% - Accent4 3 4 30" xfId="21303"/>
    <cellStyle name="40% - Accent4 3 4 30 2" xfId="44078"/>
    <cellStyle name="40% - Accent4 3 4 31" xfId="21959"/>
    <cellStyle name="40% - Accent4 3 4 31 2" xfId="44734"/>
    <cellStyle name="40% - Accent4 3 4 32" xfId="22615"/>
    <cellStyle name="40% - Accent4 3 4 32 2" xfId="45390"/>
    <cellStyle name="40% - Accent4 3 4 33" xfId="23414"/>
    <cellStyle name="40% - Accent4 3 4 4" xfId="4903"/>
    <cellStyle name="40% - Accent4 3 4 4 2" xfId="27678"/>
    <cellStyle name="40% - Accent4 3 4 5" xfId="5559"/>
    <cellStyle name="40% - Accent4 3 4 5 2" xfId="28334"/>
    <cellStyle name="40% - Accent4 3 4 6" xfId="6215"/>
    <cellStyle name="40% - Accent4 3 4 6 2" xfId="28990"/>
    <cellStyle name="40% - Accent4 3 4 7" xfId="2935"/>
    <cellStyle name="40% - Accent4 3 4 7 2" xfId="25710"/>
    <cellStyle name="40% - Accent4 3 4 8" xfId="6871"/>
    <cellStyle name="40% - Accent4 3 4 8 2" xfId="29646"/>
    <cellStyle name="40% - Accent4 3 4 9" xfId="7527"/>
    <cellStyle name="40% - Accent4 3 4 9 2" xfId="30302"/>
    <cellStyle name="40% - Accent4 3 5" xfId="312"/>
    <cellStyle name="40% - Accent4 3 5 2" xfId="2607"/>
    <cellStyle name="40% - Accent4 3 5 2 2" xfId="25382"/>
    <cellStyle name="40% - Accent4 3 5 3" xfId="23086"/>
    <cellStyle name="40% - Accent4 3 6" xfId="967"/>
    <cellStyle name="40% - Accent4 3 6 2" xfId="3263"/>
    <cellStyle name="40% - Accent4 3 6 2 2" xfId="26038"/>
    <cellStyle name="40% - Accent4 3 6 3" xfId="23742"/>
    <cellStyle name="40% - Accent4 3 7" xfId="1623"/>
    <cellStyle name="40% - Accent4 3 7 2" xfId="3919"/>
    <cellStyle name="40% - Accent4 3 7 2 2" xfId="26694"/>
    <cellStyle name="40% - Accent4 3 7 3" xfId="24398"/>
    <cellStyle name="40% - Accent4 3 8" xfId="4575"/>
    <cellStyle name="40% - Accent4 3 8 2" xfId="27350"/>
    <cellStyle name="40% - Accent4 3 9" xfId="5231"/>
    <cellStyle name="40% - Accent4 3 9 2" xfId="28006"/>
    <cellStyle name="40% - Accent4 30" xfId="13728"/>
    <cellStyle name="40% - Accent4 30 2" xfId="36503"/>
    <cellStyle name="40% - Accent4 31" xfId="14384"/>
    <cellStyle name="40% - Accent4 31 2" xfId="37159"/>
    <cellStyle name="40% - Accent4 32" xfId="15040"/>
    <cellStyle name="40% - Accent4 32 2" xfId="37815"/>
    <cellStyle name="40% - Accent4 33" xfId="15696"/>
    <cellStyle name="40% - Accent4 33 2" xfId="38471"/>
    <cellStyle name="40% - Accent4 34" xfId="16352"/>
    <cellStyle name="40% - Accent4 34 2" xfId="39127"/>
    <cellStyle name="40% - Accent4 35" xfId="17008"/>
    <cellStyle name="40% - Accent4 35 2" xfId="39783"/>
    <cellStyle name="40% - Accent4 36" xfId="17664"/>
    <cellStyle name="40% - Accent4 36 2" xfId="40439"/>
    <cellStyle name="40% - Accent4 37" xfId="18320"/>
    <cellStyle name="40% - Accent4 37 2" xfId="41095"/>
    <cellStyle name="40% - Accent4 38" xfId="18976"/>
    <cellStyle name="40% - Accent4 38 2" xfId="41751"/>
    <cellStyle name="40% - Accent4 39" xfId="19632"/>
    <cellStyle name="40% - Accent4 39 2" xfId="42407"/>
    <cellStyle name="40% - Accent4 4" xfId="95"/>
    <cellStyle name="40% - Accent4 4 10" xfId="5901"/>
    <cellStyle name="40% - Accent4 4 10 2" xfId="28676"/>
    <cellStyle name="40% - Accent4 4 11" xfId="2293"/>
    <cellStyle name="40% - Accent4 4 11 2" xfId="25068"/>
    <cellStyle name="40% - Accent4 4 12" xfId="6557"/>
    <cellStyle name="40% - Accent4 4 12 2" xfId="29332"/>
    <cellStyle name="40% - Accent4 4 13" xfId="7213"/>
    <cellStyle name="40% - Accent4 4 13 2" xfId="29988"/>
    <cellStyle name="40% - Accent4 4 14" xfId="7869"/>
    <cellStyle name="40% - Accent4 4 14 2" xfId="30644"/>
    <cellStyle name="40% - Accent4 4 15" xfId="8525"/>
    <cellStyle name="40% - Accent4 4 15 2" xfId="31300"/>
    <cellStyle name="40% - Accent4 4 16" xfId="9181"/>
    <cellStyle name="40% - Accent4 4 16 2" xfId="31956"/>
    <cellStyle name="40% - Accent4 4 17" xfId="9837"/>
    <cellStyle name="40% - Accent4 4 17 2" xfId="32612"/>
    <cellStyle name="40% - Accent4 4 18" xfId="10493"/>
    <cellStyle name="40% - Accent4 4 18 2" xfId="33268"/>
    <cellStyle name="40% - Accent4 4 19" xfId="11149"/>
    <cellStyle name="40% - Accent4 4 19 2" xfId="33924"/>
    <cellStyle name="40% - Accent4 4 2" xfId="166"/>
    <cellStyle name="40% - Accent4 4 2 10" xfId="2364"/>
    <cellStyle name="40% - Accent4 4 2 10 2" xfId="25139"/>
    <cellStyle name="40% - Accent4 4 2 11" xfId="6628"/>
    <cellStyle name="40% - Accent4 4 2 11 2" xfId="29403"/>
    <cellStyle name="40% - Accent4 4 2 12" xfId="7284"/>
    <cellStyle name="40% - Accent4 4 2 12 2" xfId="30059"/>
    <cellStyle name="40% - Accent4 4 2 13" xfId="7940"/>
    <cellStyle name="40% - Accent4 4 2 13 2" xfId="30715"/>
    <cellStyle name="40% - Accent4 4 2 14" xfId="8596"/>
    <cellStyle name="40% - Accent4 4 2 14 2" xfId="31371"/>
    <cellStyle name="40% - Accent4 4 2 15" xfId="9252"/>
    <cellStyle name="40% - Accent4 4 2 15 2" xfId="32027"/>
    <cellStyle name="40% - Accent4 4 2 16" xfId="9908"/>
    <cellStyle name="40% - Accent4 4 2 16 2" xfId="32683"/>
    <cellStyle name="40% - Accent4 4 2 17" xfId="10564"/>
    <cellStyle name="40% - Accent4 4 2 17 2" xfId="33339"/>
    <cellStyle name="40% - Accent4 4 2 18" xfId="11220"/>
    <cellStyle name="40% - Accent4 4 2 18 2" xfId="33995"/>
    <cellStyle name="40% - Accent4 4 2 19" xfId="11876"/>
    <cellStyle name="40% - Accent4 4 2 19 2" xfId="34651"/>
    <cellStyle name="40% - Accent4 4 2 2" xfId="580"/>
    <cellStyle name="40% - Accent4 4 2 2 10" xfId="6813"/>
    <cellStyle name="40% - Accent4 4 2 2 10 2" xfId="29588"/>
    <cellStyle name="40% - Accent4 4 2 2 11" xfId="7469"/>
    <cellStyle name="40% - Accent4 4 2 2 11 2" xfId="30244"/>
    <cellStyle name="40% - Accent4 4 2 2 12" xfId="8125"/>
    <cellStyle name="40% - Accent4 4 2 2 12 2" xfId="30900"/>
    <cellStyle name="40% - Accent4 4 2 2 13" xfId="8781"/>
    <cellStyle name="40% - Accent4 4 2 2 13 2" xfId="31556"/>
    <cellStyle name="40% - Accent4 4 2 2 14" xfId="9437"/>
    <cellStyle name="40% - Accent4 4 2 2 14 2" xfId="32212"/>
    <cellStyle name="40% - Accent4 4 2 2 15" xfId="10093"/>
    <cellStyle name="40% - Accent4 4 2 2 15 2" xfId="32868"/>
    <cellStyle name="40% - Accent4 4 2 2 16" xfId="10749"/>
    <cellStyle name="40% - Accent4 4 2 2 16 2" xfId="33524"/>
    <cellStyle name="40% - Accent4 4 2 2 17" xfId="11405"/>
    <cellStyle name="40% - Accent4 4 2 2 17 2" xfId="34180"/>
    <cellStyle name="40% - Accent4 4 2 2 18" xfId="12061"/>
    <cellStyle name="40% - Accent4 4 2 2 18 2" xfId="34836"/>
    <cellStyle name="40% - Accent4 4 2 2 19" xfId="12717"/>
    <cellStyle name="40% - Accent4 4 2 2 19 2" xfId="35492"/>
    <cellStyle name="40% - Accent4 4 2 2 2" xfId="909"/>
    <cellStyle name="40% - Accent4 4 2 2 2 10" xfId="8453"/>
    <cellStyle name="40% - Accent4 4 2 2 2 10 2" xfId="31228"/>
    <cellStyle name="40% - Accent4 4 2 2 2 11" xfId="9109"/>
    <cellStyle name="40% - Accent4 4 2 2 2 11 2" xfId="31884"/>
    <cellStyle name="40% - Accent4 4 2 2 2 12" xfId="9765"/>
    <cellStyle name="40% - Accent4 4 2 2 2 12 2" xfId="32540"/>
    <cellStyle name="40% - Accent4 4 2 2 2 13" xfId="10421"/>
    <cellStyle name="40% - Accent4 4 2 2 2 13 2" xfId="33196"/>
    <cellStyle name="40% - Accent4 4 2 2 2 14" xfId="11077"/>
    <cellStyle name="40% - Accent4 4 2 2 2 14 2" xfId="33852"/>
    <cellStyle name="40% - Accent4 4 2 2 2 15" xfId="11733"/>
    <cellStyle name="40% - Accent4 4 2 2 2 15 2" xfId="34508"/>
    <cellStyle name="40% - Accent4 4 2 2 2 16" xfId="12389"/>
    <cellStyle name="40% - Accent4 4 2 2 2 16 2" xfId="35164"/>
    <cellStyle name="40% - Accent4 4 2 2 2 17" xfId="13045"/>
    <cellStyle name="40% - Accent4 4 2 2 2 17 2" xfId="35820"/>
    <cellStyle name="40% - Accent4 4 2 2 2 18" xfId="13701"/>
    <cellStyle name="40% - Accent4 4 2 2 2 18 2" xfId="36476"/>
    <cellStyle name="40% - Accent4 4 2 2 2 19" xfId="14357"/>
    <cellStyle name="40% - Accent4 4 2 2 2 19 2" xfId="37132"/>
    <cellStyle name="40% - Accent4 4 2 2 2 2" xfId="1565"/>
    <cellStyle name="40% - Accent4 4 2 2 2 2 2" xfId="3861"/>
    <cellStyle name="40% - Accent4 4 2 2 2 2 2 2" xfId="26636"/>
    <cellStyle name="40% - Accent4 4 2 2 2 2 3" xfId="24340"/>
    <cellStyle name="40% - Accent4 4 2 2 2 20" xfId="15013"/>
    <cellStyle name="40% - Accent4 4 2 2 2 20 2" xfId="37788"/>
    <cellStyle name="40% - Accent4 4 2 2 2 21" xfId="15669"/>
    <cellStyle name="40% - Accent4 4 2 2 2 21 2" xfId="38444"/>
    <cellStyle name="40% - Accent4 4 2 2 2 22" xfId="16325"/>
    <cellStyle name="40% - Accent4 4 2 2 2 22 2" xfId="39100"/>
    <cellStyle name="40% - Accent4 4 2 2 2 23" xfId="16981"/>
    <cellStyle name="40% - Accent4 4 2 2 2 23 2" xfId="39756"/>
    <cellStyle name="40% - Accent4 4 2 2 2 24" xfId="17637"/>
    <cellStyle name="40% - Accent4 4 2 2 2 24 2" xfId="40412"/>
    <cellStyle name="40% - Accent4 4 2 2 2 25" xfId="18293"/>
    <cellStyle name="40% - Accent4 4 2 2 2 25 2" xfId="41068"/>
    <cellStyle name="40% - Accent4 4 2 2 2 26" xfId="18949"/>
    <cellStyle name="40% - Accent4 4 2 2 2 26 2" xfId="41724"/>
    <cellStyle name="40% - Accent4 4 2 2 2 27" xfId="19605"/>
    <cellStyle name="40% - Accent4 4 2 2 2 27 2" xfId="42380"/>
    <cellStyle name="40% - Accent4 4 2 2 2 28" xfId="20261"/>
    <cellStyle name="40% - Accent4 4 2 2 2 28 2" xfId="43036"/>
    <cellStyle name="40% - Accent4 4 2 2 2 29" xfId="20917"/>
    <cellStyle name="40% - Accent4 4 2 2 2 29 2" xfId="43692"/>
    <cellStyle name="40% - Accent4 4 2 2 2 3" xfId="2221"/>
    <cellStyle name="40% - Accent4 4 2 2 2 3 2" xfId="4517"/>
    <cellStyle name="40% - Accent4 4 2 2 2 3 2 2" xfId="27292"/>
    <cellStyle name="40% - Accent4 4 2 2 2 3 3" xfId="24996"/>
    <cellStyle name="40% - Accent4 4 2 2 2 30" xfId="21573"/>
    <cellStyle name="40% - Accent4 4 2 2 2 30 2" xfId="44348"/>
    <cellStyle name="40% - Accent4 4 2 2 2 31" xfId="22229"/>
    <cellStyle name="40% - Accent4 4 2 2 2 31 2" xfId="45004"/>
    <cellStyle name="40% - Accent4 4 2 2 2 32" xfId="22885"/>
    <cellStyle name="40% - Accent4 4 2 2 2 32 2" xfId="45660"/>
    <cellStyle name="40% - Accent4 4 2 2 2 33" xfId="23684"/>
    <cellStyle name="40% - Accent4 4 2 2 2 4" xfId="5173"/>
    <cellStyle name="40% - Accent4 4 2 2 2 4 2" xfId="27948"/>
    <cellStyle name="40% - Accent4 4 2 2 2 5" xfId="5829"/>
    <cellStyle name="40% - Accent4 4 2 2 2 5 2" xfId="28604"/>
    <cellStyle name="40% - Accent4 4 2 2 2 6" xfId="6485"/>
    <cellStyle name="40% - Accent4 4 2 2 2 6 2" xfId="29260"/>
    <cellStyle name="40% - Accent4 4 2 2 2 7" xfId="3205"/>
    <cellStyle name="40% - Accent4 4 2 2 2 7 2" xfId="25980"/>
    <cellStyle name="40% - Accent4 4 2 2 2 8" xfId="7141"/>
    <cellStyle name="40% - Accent4 4 2 2 2 8 2" xfId="29916"/>
    <cellStyle name="40% - Accent4 4 2 2 2 9" xfId="7797"/>
    <cellStyle name="40% - Accent4 4 2 2 2 9 2" xfId="30572"/>
    <cellStyle name="40% - Accent4 4 2 2 20" xfId="13373"/>
    <cellStyle name="40% - Accent4 4 2 2 20 2" xfId="36148"/>
    <cellStyle name="40% - Accent4 4 2 2 21" xfId="14029"/>
    <cellStyle name="40% - Accent4 4 2 2 21 2" xfId="36804"/>
    <cellStyle name="40% - Accent4 4 2 2 22" xfId="14685"/>
    <cellStyle name="40% - Accent4 4 2 2 22 2" xfId="37460"/>
    <cellStyle name="40% - Accent4 4 2 2 23" xfId="15341"/>
    <cellStyle name="40% - Accent4 4 2 2 23 2" xfId="38116"/>
    <cellStyle name="40% - Accent4 4 2 2 24" xfId="15997"/>
    <cellStyle name="40% - Accent4 4 2 2 24 2" xfId="38772"/>
    <cellStyle name="40% - Accent4 4 2 2 25" xfId="16653"/>
    <cellStyle name="40% - Accent4 4 2 2 25 2" xfId="39428"/>
    <cellStyle name="40% - Accent4 4 2 2 26" xfId="17309"/>
    <cellStyle name="40% - Accent4 4 2 2 26 2" xfId="40084"/>
    <cellStyle name="40% - Accent4 4 2 2 27" xfId="17965"/>
    <cellStyle name="40% - Accent4 4 2 2 27 2" xfId="40740"/>
    <cellStyle name="40% - Accent4 4 2 2 28" xfId="18621"/>
    <cellStyle name="40% - Accent4 4 2 2 28 2" xfId="41396"/>
    <cellStyle name="40% - Accent4 4 2 2 29" xfId="19277"/>
    <cellStyle name="40% - Accent4 4 2 2 29 2" xfId="42052"/>
    <cellStyle name="40% - Accent4 4 2 2 3" xfId="1237"/>
    <cellStyle name="40% - Accent4 4 2 2 3 2" xfId="2877"/>
    <cellStyle name="40% - Accent4 4 2 2 3 2 2" xfId="25652"/>
    <cellStyle name="40% - Accent4 4 2 2 3 3" xfId="24012"/>
    <cellStyle name="40% - Accent4 4 2 2 30" xfId="19933"/>
    <cellStyle name="40% - Accent4 4 2 2 30 2" xfId="42708"/>
    <cellStyle name="40% - Accent4 4 2 2 31" xfId="20589"/>
    <cellStyle name="40% - Accent4 4 2 2 31 2" xfId="43364"/>
    <cellStyle name="40% - Accent4 4 2 2 32" xfId="21245"/>
    <cellStyle name="40% - Accent4 4 2 2 32 2" xfId="44020"/>
    <cellStyle name="40% - Accent4 4 2 2 33" xfId="21901"/>
    <cellStyle name="40% - Accent4 4 2 2 33 2" xfId="44676"/>
    <cellStyle name="40% - Accent4 4 2 2 34" xfId="22557"/>
    <cellStyle name="40% - Accent4 4 2 2 34 2" xfId="45332"/>
    <cellStyle name="40% - Accent4 4 2 2 35" xfId="23356"/>
    <cellStyle name="40% - Accent4 4 2 2 4" xfId="1893"/>
    <cellStyle name="40% - Accent4 4 2 2 4 2" xfId="3533"/>
    <cellStyle name="40% - Accent4 4 2 2 4 2 2" xfId="26308"/>
    <cellStyle name="40% - Accent4 4 2 2 4 3" xfId="24668"/>
    <cellStyle name="40% - Accent4 4 2 2 5" xfId="4189"/>
    <cellStyle name="40% - Accent4 4 2 2 5 2" xfId="26964"/>
    <cellStyle name="40% - Accent4 4 2 2 6" xfId="4845"/>
    <cellStyle name="40% - Accent4 4 2 2 6 2" xfId="27620"/>
    <cellStyle name="40% - Accent4 4 2 2 7" xfId="5501"/>
    <cellStyle name="40% - Accent4 4 2 2 7 2" xfId="28276"/>
    <cellStyle name="40% - Accent4 4 2 2 8" xfId="6157"/>
    <cellStyle name="40% - Accent4 4 2 2 8 2" xfId="28932"/>
    <cellStyle name="40% - Accent4 4 2 2 9" xfId="2549"/>
    <cellStyle name="40% - Accent4 4 2 2 9 2" xfId="25324"/>
    <cellStyle name="40% - Accent4 4 2 20" xfId="12532"/>
    <cellStyle name="40% - Accent4 4 2 20 2" xfId="35307"/>
    <cellStyle name="40% - Accent4 4 2 21" xfId="13188"/>
    <cellStyle name="40% - Accent4 4 2 21 2" xfId="35963"/>
    <cellStyle name="40% - Accent4 4 2 22" xfId="13844"/>
    <cellStyle name="40% - Accent4 4 2 22 2" xfId="36619"/>
    <cellStyle name="40% - Accent4 4 2 23" xfId="14500"/>
    <cellStyle name="40% - Accent4 4 2 23 2" xfId="37275"/>
    <cellStyle name="40% - Accent4 4 2 24" xfId="15156"/>
    <cellStyle name="40% - Accent4 4 2 24 2" xfId="37931"/>
    <cellStyle name="40% - Accent4 4 2 25" xfId="15812"/>
    <cellStyle name="40% - Accent4 4 2 25 2" xfId="38587"/>
    <cellStyle name="40% - Accent4 4 2 26" xfId="16468"/>
    <cellStyle name="40% - Accent4 4 2 26 2" xfId="39243"/>
    <cellStyle name="40% - Accent4 4 2 27" xfId="17124"/>
    <cellStyle name="40% - Accent4 4 2 27 2" xfId="39899"/>
    <cellStyle name="40% - Accent4 4 2 28" xfId="17780"/>
    <cellStyle name="40% - Accent4 4 2 28 2" xfId="40555"/>
    <cellStyle name="40% - Accent4 4 2 29" xfId="18436"/>
    <cellStyle name="40% - Accent4 4 2 29 2" xfId="41211"/>
    <cellStyle name="40% - Accent4 4 2 3" xfId="724"/>
    <cellStyle name="40% - Accent4 4 2 3 10" xfId="8268"/>
    <cellStyle name="40% - Accent4 4 2 3 10 2" xfId="31043"/>
    <cellStyle name="40% - Accent4 4 2 3 11" xfId="8924"/>
    <cellStyle name="40% - Accent4 4 2 3 11 2" xfId="31699"/>
    <cellStyle name="40% - Accent4 4 2 3 12" xfId="9580"/>
    <cellStyle name="40% - Accent4 4 2 3 12 2" xfId="32355"/>
    <cellStyle name="40% - Accent4 4 2 3 13" xfId="10236"/>
    <cellStyle name="40% - Accent4 4 2 3 13 2" xfId="33011"/>
    <cellStyle name="40% - Accent4 4 2 3 14" xfId="10892"/>
    <cellStyle name="40% - Accent4 4 2 3 14 2" xfId="33667"/>
    <cellStyle name="40% - Accent4 4 2 3 15" xfId="11548"/>
    <cellStyle name="40% - Accent4 4 2 3 15 2" xfId="34323"/>
    <cellStyle name="40% - Accent4 4 2 3 16" xfId="12204"/>
    <cellStyle name="40% - Accent4 4 2 3 16 2" xfId="34979"/>
    <cellStyle name="40% - Accent4 4 2 3 17" xfId="12860"/>
    <cellStyle name="40% - Accent4 4 2 3 17 2" xfId="35635"/>
    <cellStyle name="40% - Accent4 4 2 3 18" xfId="13516"/>
    <cellStyle name="40% - Accent4 4 2 3 18 2" xfId="36291"/>
    <cellStyle name="40% - Accent4 4 2 3 19" xfId="14172"/>
    <cellStyle name="40% - Accent4 4 2 3 19 2" xfId="36947"/>
    <cellStyle name="40% - Accent4 4 2 3 2" xfId="1380"/>
    <cellStyle name="40% - Accent4 4 2 3 2 2" xfId="3676"/>
    <cellStyle name="40% - Accent4 4 2 3 2 2 2" xfId="26451"/>
    <cellStyle name="40% - Accent4 4 2 3 2 3" xfId="24155"/>
    <cellStyle name="40% - Accent4 4 2 3 20" xfId="14828"/>
    <cellStyle name="40% - Accent4 4 2 3 20 2" xfId="37603"/>
    <cellStyle name="40% - Accent4 4 2 3 21" xfId="15484"/>
    <cellStyle name="40% - Accent4 4 2 3 21 2" xfId="38259"/>
    <cellStyle name="40% - Accent4 4 2 3 22" xfId="16140"/>
    <cellStyle name="40% - Accent4 4 2 3 22 2" xfId="38915"/>
    <cellStyle name="40% - Accent4 4 2 3 23" xfId="16796"/>
    <cellStyle name="40% - Accent4 4 2 3 23 2" xfId="39571"/>
    <cellStyle name="40% - Accent4 4 2 3 24" xfId="17452"/>
    <cellStyle name="40% - Accent4 4 2 3 24 2" xfId="40227"/>
    <cellStyle name="40% - Accent4 4 2 3 25" xfId="18108"/>
    <cellStyle name="40% - Accent4 4 2 3 25 2" xfId="40883"/>
    <cellStyle name="40% - Accent4 4 2 3 26" xfId="18764"/>
    <cellStyle name="40% - Accent4 4 2 3 26 2" xfId="41539"/>
    <cellStyle name="40% - Accent4 4 2 3 27" xfId="19420"/>
    <cellStyle name="40% - Accent4 4 2 3 27 2" xfId="42195"/>
    <cellStyle name="40% - Accent4 4 2 3 28" xfId="20076"/>
    <cellStyle name="40% - Accent4 4 2 3 28 2" xfId="42851"/>
    <cellStyle name="40% - Accent4 4 2 3 29" xfId="20732"/>
    <cellStyle name="40% - Accent4 4 2 3 29 2" xfId="43507"/>
    <cellStyle name="40% - Accent4 4 2 3 3" xfId="2036"/>
    <cellStyle name="40% - Accent4 4 2 3 3 2" xfId="4332"/>
    <cellStyle name="40% - Accent4 4 2 3 3 2 2" xfId="27107"/>
    <cellStyle name="40% - Accent4 4 2 3 3 3" xfId="24811"/>
    <cellStyle name="40% - Accent4 4 2 3 30" xfId="21388"/>
    <cellStyle name="40% - Accent4 4 2 3 30 2" xfId="44163"/>
    <cellStyle name="40% - Accent4 4 2 3 31" xfId="22044"/>
    <cellStyle name="40% - Accent4 4 2 3 31 2" xfId="44819"/>
    <cellStyle name="40% - Accent4 4 2 3 32" xfId="22700"/>
    <cellStyle name="40% - Accent4 4 2 3 32 2" xfId="45475"/>
    <cellStyle name="40% - Accent4 4 2 3 33" xfId="23499"/>
    <cellStyle name="40% - Accent4 4 2 3 4" xfId="4988"/>
    <cellStyle name="40% - Accent4 4 2 3 4 2" xfId="27763"/>
    <cellStyle name="40% - Accent4 4 2 3 5" xfId="5644"/>
    <cellStyle name="40% - Accent4 4 2 3 5 2" xfId="28419"/>
    <cellStyle name="40% - Accent4 4 2 3 6" xfId="6300"/>
    <cellStyle name="40% - Accent4 4 2 3 6 2" xfId="29075"/>
    <cellStyle name="40% - Accent4 4 2 3 7" xfId="3020"/>
    <cellStyle name="40% - Accent4 4 2 3 7 2" xfId="25795"/>
    <cellStyle name="40% - Accent4 4 2 3 8" xfId="6956"/>
    <cellStyle name="40% - Accent4 4 2 3 8 2" xfId="29731"/>
    <cellStyle name="40% - Accent4 4 2 3 9" xfId="7612"/>
    <cellStyle name="40% - Accent4 4 2 3 9 2" xfId="30387"/>
    <cellStyle name="40% - Accent4 4 2 30" xfId="19092"/>
    <cellStyle name="40% - Accent4 4 2 30 2" xfId="41867"/>
    <cellStyle name="40% - Accent4 4 2 31" xfId="19748"/>
    <cellStyle name="40% - Accent4 4 2 31 2" xfId="42523"/>
    <cellStyle name="40% - Accent4 4 2 32" xfId="20404"/>
    <cellStyle name="40% - Accent4 4 2 32 2" xfId="43179"/>
    <cellStyle name="40% - Accent4 4 2 33" xfId="21060"/>
    <cellStyle name="40% - Accent4 4 2 33 2" xfId="43835"/>
    <cellStyle name="40% - Accent4 4 2 34" xfId="21716"/>
    <cellStyle name="40% - Accent4 4 2 34 2" xfId="44491"/>
    <cellStyle name="40% - Accent4 4 2 35" xfId="22372"/>
    <cellStyle name="40% - Accent4 4 2 35 2" xfId="45147"/>
    <cellStyle name="40% - Accent4 4 2 36" xfId="23028"/>
    <cellStyle name="40% - Accent4 4 2 4" xfId="397"/>
    <cellStyle name="40% - Accent4 4 2 4 2" xfId="2692"/>
    <cellStyle name="40% - Accent4 4 2 4 2 2" xfId="25467"/>
    <cellStyle name="40% - Accent4 4 2 4 3" xfId="23171"/>
    <cellStyle name="40% - Accent4 4 2 5" xfId="1052"/>
    <cellStyle name="40% - Accent4 4 2 5 2" xfId="3348"/>
    <cellStyle name="40% - Accent4 4 2 5 2 2" xfId="26123"/>
    <cellStyle name="40% - Accent4 4 2 5 3" xfId="23827"/>
    <cellStyle name="40% - Accent4 4 2 6" xfId="1708"/>
    <cellStyle name="40% - Accent4 4 2 6 2" xfId="4004"/>
    <cellStyle name="40% - Accent4 4 2 6 2 2" xfId="26779"/>
    <cellStyle name="40% - Accent4 4 2 6 3" xfId="24483"/>
    <cellStyle name="40% - Accent4 4 2 7" xfId="4660"/>
    <cellStyle name="40% - Accent4 4 2 7 2" xfId="27435"/>
    <cellStyle name="40% - Accent4 4 2 8" xfId="5316"/>
    <cellStyle name="40% - Accent4 4 2 8 2" xfId="28091"/>
    <cellStyle name="40% - Accent4 4 2 9" xfId="5972"/>
    <cellStyle name="40% - Accent4 4 2 9 2" xfId="28747"/>
    <cellStyle name="40% - Accent4 4 20" xfId="11805"/>
    <cellStyle name="40% - Accent4 4 20 2" xfId="34580"/>
    <cellStyle name="40% - Accent4 4 21" xfId="12461"/>
    <cellStyle name="40% - Accent4 4 21 2" xfId="35236"/>
    <cellStyle name="40% - Accent4 4 22" xfId="13117"/>
    <cellStyle name="40% - Accent4 4 22 2" xfId="35892"/>
    <cellStyle name="40% - Accent4 4 23" xfId="13773"/>
    <cellStyle name="40% - Accent4 4 23 2" xfId="36548"/>
    <cellStyle name="40% - Accent4 4 24" xfId="14429"/>
    <cellStyle name="40% - Accent4 4 24 2" xfId="37204"/>
    <cellStyle name="40% - Accent4 4 25" xfId="15085"/>
    <cellStyle name="40% - Accent4 4 25 2" xfId="37860"/>
    <cellStyle name="40% - Accent4 4 26" xfId="15741"/>
    <cellStyle name="40% - Accent4 4 26 2" xfId="38516"/>
    <cellStyle name="40% - Accent4 4 27" xfId="16397"/>
    <cellStyle name="40% - Accent4 4 27 2" xfId="39172"/>
    <cellStyle name="40% - Accent4 4 28" xfId="17053"/>
    <cellStyle name="40% - Accent4 4 28 2" xfId="39828"/>
    <cellStyle name="40% - Accent4 4 29" xfId="17709"/>
    <cellStyle name="40% - Accent4 4 29 2" xfId="40484"/>
    <cellStyle name="40% - Accent4 4 3" xfId="510"/>
    <cellStyle name="40% - Accent4 4 3 10" xfId="6742"/>
    <cellStyle name="40% - Accent4 4 3 10 2" xfId="29517"/>
    <cellStyle name="40% - Accent4 4 3 11" xfId="7398"/>
    <cellStyle name="40% - Accent4 4 3 11 2" xfId="30173"/>
    <cellStyle name="40% - Accent4 4 3 12" xfId="8054"/>
    <cellStyle name="40% - Accent4 4 3 12 2" xfId="30829"/>
    <cellStyle name="40% - Accent4 4 3 13" xfId="8710"/>
    <cellStyle name="40% - Accent4 4 3 13 2" xfId="31485"/>
    <cellStyle name="40% - Accent4 4 3 14" xfId="9366"/>
    <cellStyle name="40% - Accent4 4 3 14 2" xfId="32141"/>
    <cellStyle name="40% - Accent4 4 3 15" xfId="10022"/>
    <cellStyle name="40% - Accent4 4 3 15 2" xfId="32797"/>
    <cellStyle name="40% - Accent4 4 3 16" xfId="10678"/>
    <cellStyle name="40% - Accent4 4 3 16 2" xfId="33453"/>
    <cellStyle name="40% - Accent4 4 3 17" xfId="11334"/>
    <cellStyle name="40% - Accent4 4 3 17 2" xfId="34109"/>
    <cellStyle name="40% - Accent4 4 3 18" xfId="11990"/>
    <cellStyle name="40% - Accent4 4 3 18 2" xfId="34765"/>
    <cellStyle name="40% - Accent4 4 3 19" xfId="12646"/>
    <cellStyle name="40% - Accent4 4 3 19 2" xfId="35421"/>
    <cellStyle name="40% - Accent4 4 3 2" xfId="838"/>
    <cellStyle name="40% - Accent4 4 3 2 10" xfId="8382"/>
    <cellStyle name="40% - Accent4 4 3 2 10 2" xfId="31157"/>
    <cellStyle name="40% - Accent4 4 3 2 11" xfId="9038"/>
    <cellStyle name="40% - Accent4 4 3 2 11 2" xfId="31813"/>
    <cellStyle name="40% - Accent4 4 3 2 12" xfId="9694"/>
    <cellStyle name="40% - Accent4 4 3 2 12 2" xfId="32469"/>
    <cellStyle name="40% - Accent4 4 3 2 13" xfId="10350"/>
    <cellStyle name="40% - Accent4 4 3 2 13 2" xfId="33125"/>
    <cellStyle name="40% - Accent4 4 3 2 14" xfId="11006"/>
    <cellStyle name="40% - Accent4 4 3 2 14 2" xfId="33781"/>
    <cellStyle name="40% - Accent4 4 3 2 15" xfId="11662"/>
    <cellStyle name="40% - Accent4 4 3 2 15 2" xfId="34437"/>
    <cellStyle name="40% - Accent4 4 3 2 16" xfId="12318"/>
    <cellStyle name="40% - Accent4 4 3 2 16 2" xfId="35093"/>
    <cellStyle name="40% - Accent4 4 3 2 17" xfId="12974"/>
    <cellStyle name="40% - Accent4 4 3 2 17 2" xfId="35749"/>
    <cellStyle name="40% - Accent4 4 3 2 18" xfId="13630"/>
    <cellStyle name="40% - Accent4 4 3 2 18 2" xfId="36405"/>
    <cellStyle name="40% - Accent4 4 3 2 19" xfId="14286"/>
    <cellStyle name="40% - Accent4 4 3 2 19 2" xfId="37061"/>
    <cellStyle name="40% - Accent4 4 3 2 2" xfId="1494"/>
    <cellStyle name="40% - Accent4 4 3 2 2 2" xfId="3790"/>
    <cellStyle name="40% - Accent4 4 3 2 2 2 2" xfId="26565"/>
    <cellStyle name="40% - Accent4 4 3 2 2 3" xfId="24269"/>
    <cellStyle name="40% - Accent4 4 3 2 20" xfId="14942"/>
    <cellStyle name="40% - Accent4 4 3 2 20 2" xfId="37717"/>
    <cellStyle name="40% - Accent4 4 3 2 21" xfId="15598"/>
    <cellStyle name="40% - Accent4 4 3 2 21 2" xfId="38373"/>
    <cellStyle name="40% - Accent4 4 3 2 22" xfId="16254"/>
    <cellStyle name="40% - Accent4 4 3 2 22 2" xfId="39029"/>
    <cellStyle name="40% - Accent4 4 3 2 23" xfId="16910"/>
    <cellStyle name="40% - Accent4 4 3 2 23 2" xfId="39685"/>
    <cellStyle name="40% - Accent4 4 3 2 24" xfId="17566"/>
    <cellStyle name="40% - Accent4 4 3 2 24 2" xfId="40341"/>
    <cellStyle name="40% - Accent4 4 3 2 25" xfId="18222"/>
    <cellStyle name="40% - Accent4 4 3 2 25 2" xfId="40997"/>
    <cellStyle name="40% - Accent4 4 3 2 26" xfId="18878"/>
    <cellStyle name="40% - Accent4 4 3 2 26 2" xfId="41653"/>
    <cellStyle name="40% - Accent4 4 3 2 27" xfId="19534"/>
    <cellStyle name="40% - Accent4 4 3 2 27 2" xfId="42309"/>
    <cellStyle name="40% - Accent4 4 3 2 28" xfId="20190"/>
    <cellStyle name="40% - Accent4 4 3 2 28 2" xfId="42965"/>
    <cellStyle name="40% - Accent4 4 3 2 29" xfId="20846"/>
    <cellStyle name="40% - Accent4 4 3 2 29 2" xfId="43621"/>
    <cellStyle name="40% - Accent4 4 3 2 3" xfId="2150"/>
    <cellStyle name="40% - Accent4 4 3 2 3 2" xfId="4446"/>
    <cellStyle name="40% - Accent4 4 3 2 3 2 2" xfId="27221"/>
    <cellStyle name="40% - Accent4 4 3 2 3 3" xfId="24925"/>
    <cellStyle name="40% - Accent4 4 3 2 30" xfId="21502"/>
    <cellStyle name="40% - Accent4 4 3 2 30 2" xfId="44277"/>
    <cellStyle name="40% - Accent4 4 3 2 31" xfId="22158"/>
    <cellStyle name="40% - Accent4 4 3 2 31 2" xfId="44933"/>
    <cellStyle name="40% - Accent4 4 3 2 32" xfId="22814"/>
    <cellStyle name="40% - Accent4 4 3 2 32 2" xfId="45589"/>
    <cellStyle name="40% - Accent4 4 3 2 33" xfId="23613"/>
    <cellStyle name="40% - Accent4 4 3 2 4" xfId="5102"/>
    <cellStyle name="40% - Accent4 4 3 2 4 2" xfId="27877"/>
    <cellStyle name="40% - Accent4 4 3 2 5" xfId="5758"/>
    <cellStyle name="40% - Accent4 4 3 2 5 2" xfId="28533"/>
    <cellStyle name="40% - Accent4 4 3 2 6" xfId="6414"/>
    <cellStyle name="40% - Accent4 4 3 2 6 2" xfId="29189"/>
    <cellStyle name="40% - Accent4 4 3 2 7" xfId="3134"/>
    <cellStyle name="40% - Accent4 4 3 2 7 2" xfId="25909"/>
    <cellStyle name="40% - Accent4 4 3 2 8" xfId="7070"/>
    <cellStyle name="40% - Accent4 4 3 2 8 2" xfId="29845"/>
    <cellStyle name="40% - Accent4 4 3 2 9" xfId="7726"/>
    <cellStyle name="40% - Accent4 4 3 2 9 2" xfId="30501"/>
    <cellStyle name="40% - Accent4 4 3 20" xfId="13302"/>
    <cellStyle name="40% - Accent4 4 3 20 2" xfId="36077"/>
    <cellStyle name="40% - Accent4 4 3 21" xfId="13958"/>
    <cellStyle name="40% - Accent4 4 3 21 2" xfId="36733"/>
    <cellStyle name="40% - Accent4 4 3 22" xfId="14614"/>
    <cellStyle name="40% - Accent4 4 3 22 2" xfId="37389"/>
    <cellStyle name="40% - Accent4 4 3 23" xfId="15270"/>
    <cellStyle name="40% - Accent4 4 3 23 2" xfId="38045"/>
    <cellStyle name="40% - Accent4 4 3 24" xfId="15926"/>
    <cellStyle name="40% - Accent4 4 3 24 2" xfId="38701"/>
    <cellStyle name="40% - Accent4 4 3 25" xfId="16582"/>
    <cellStyle name="40% - Accent4 4 3 25 2" xfId="39357"/>
    <cellStyle name="40% - Accent4 4 3 26" xfId="17238"/>
    <cellStyle name="40% - Accent4 4 3 26 2" xfId="40013"/>
    <cellStyle name="40% - Accent4 4 3 27" xfId="17894"/>
    <cellStyle name="40% - Accent4 4 3 27 2" xfId="40669"/>
    <cellStyle name="40% - Accent4 4 3 28" xfId="18550"/>
    <cellStyle name="40% - Accent4 4 3 28 2" xfId="41325"/>
    <cellStyle name="40% - Accent4 4 3 29" xfId="19206"/>
    <cellStyle name="40% - Accent4 4 3 29 2" xfId="41981"/>
    <cellStyle name="40% - Accent4 4 3 3" xfId="1166"/>
    <cellStyle name="40% - Accent4 4 3 3 2" xfId="2806"/>
    <cellStyle name="40% - Accent4 4 3 3 2 2" xfId="25581"/>
    <cellStyle name="40% - Accent4 4 3 3 3" xfId="23941"/>
    <cellStyle name="40% - Accent4 4 3 30" xfId="19862"/>
    <cellStyle name="40% - Accent4 4 3 30 2" xfId="42637"/>
    <cellStyle name="40% - Accent4 4 3 31" xfId="20518"/>
    <cellStyle name="40% - Accent4 4 3 31 2" xfId="43293"/>
    <cellStyle name="40% - Accent4 4 3 32" xfId="21174"/>
    <cellStyle name="40% - Accent4 4 3 32 2" xfId="43949"/>
    <cellStyle name="40% - Accent4 4 3 33" xfId="21830"/>
    <cellStyle name="40% - Accent4 4 3 33 2" xfId="44605"/>
    <cellStyle name="40% - Accent4 4 3 34" xfId="22486"/>
    <cellStyle name="40% - Accent4 4 3 34 2" xfId="45261"/>
    <cellStyle name="40% - Accent4 4 3 35" xfId="23285"/>
    <cellStyle name="40% - Accent4 4 3 4" xfId="1822"/>
    <cellStyle name="40% - Accent4 4 3 4 2" xfId="3462"/>
    <cellStyle name="40% - Accent4 4 3 4 2 2" xfId="26237"/>
    <cellStyle name="40% - Accent4 4 3 4 3" xfId="24597"/>
    <cellStyle name="40% - Accent4 4 3 5" xfId="4118"/>
    <cellStyle name="40% - Accent4 4 3 5 2" xfId="26893"/>
    <cellStyle name="40% - Accent4 4 3 6" xfId="4774"/>
    <cellStyle name="40% - Accent4 4 3 6 2" xfId="27549"/>
    <cellStyle name="40% - Accent4 4 3 7" xfId="5430"/>
    <cellStyle name="40% - Accent4 4 3 7 2" xfId="28205"/>
    <cellStyle name="40% - Accent4 4 3 8" xfId="6086"/>
    <cellStyle name="40% - Accent4 4 3 8 2" xfId="28861"/>
    <cellStyle name="40% - Accent4 4 3 9" xfId="2478"/>
    <cellStyle name="40% - Accent4 4 3 9 2" xfId="25253"/>
    <cellStyle name="40% - Accent4 4 30" xfId="18365"/>
    <cellStyle name="40% - Accent4 4 30 2" xfId="41140"/>
    <cellStyle name="40% - Accent4 4 31" xfId="19021"/>
    <cellStyle name="40% - Accent4 4 31 2" xfId="41796"/>
    <cellStyle name="40% - Accent4 4 32" xfId="19677"/>
    <cellStyle name="40% - Accent4 4 32 2" xfId="42452"/>
    <cellStyle name="40% - Accent4 4 33" xfId="20333"/>
    <cellStyle name="40% - Accent4 4 33 2" xfId="43108"/>
    <cellStyle name="40% - Accent4 4 34" xfId="20989"/>
    <cellStyle name="40% - Accent4 4 34 2" xfId="43764"/>
    <cellStyle name="40% - Accent4 4 35" xfId="21645"/>
    <cellStyle name="40% - Accent4 4 35 2" xfId="44420"/>
    <cellStyle name="40% - Accent4 4 36" xfId="22301"/>
    <cellStyle name="40% - Accent4 4 36 2" xfId="45076"/>
    <cellStyle name="40% - Accent4 4 37" xfId="240"/>
    <cellStyle name="40% - Accent4 4 38" xfId="22957"/>
    <cellStyle name="40% - Accent4 4 4" xfId="653"/>
    <cellStyle name="40% - Accent4 4 4 10" xfId="8197"/>
    <cellStyle name="40% - Accent4 4 4 10 2" xfId="30972"/>
    <cellStyle name="40% - Accent4 4 4 11" xfId="8853"/>
    <cellStyle name="40% - Accent4 4 4 11 2" xfId="31628"/>
    <cellStyle name="40% - Accent4 4 4 12" xfId="9509"/>
    <cellStyle name="40% - Accent4 4 4 12 2" xfId="32284"/>
    <cellStyle name="40% - Accent4 4 4 13" xfId="10165"/>
    <cellStyle name="40% - Accent4 4 4 13 2" xfId="32940"/>
    <cellStyle name="40% - Accent4 4 4 14" xfId="10821"/>
    <cellStyle name="40% - Accent4 4 4 14 2" xfId="33596"/>
    <cellStyle name="40% - Accent4 4 4 15" xfId="11477"/>
    <cellStyle name="40% - Accent4 4 4 15 2" xfId="34252"/>
    <cellStyle name="40% - Accent4 4 4 16" xfId="12133"/>
    <cellStyle name="40% - Accent4 4 4 16 2" xfId="34908"/>
    <cellStyle name="40% - Accent4 4 4 17" xfId="12789"/>
    <cellStyle name="40% - Accent4 4 4 17 2" xfId="35564"/>
    <cellStyle name="40% - Accent4 4 4 18" xfId="13445"/>
    <cellStyle name="40% - Accent4 4 4 18 2" xfId="36220"/>
    <cellStyle name="40% - Accent4 4 4 19" xfId="14101"/>
    <cellStyle name="40% - Accent4 4 4 19 2" xfId="36876"/>
    <cellStyle name="40% - Accent4 4 4 2" xfId="1309"/>
    <cellStyle name="40% - Accent4 4 4 2 2" xfId="3605"/>
    <cellStyle name="40% - Accent4 4 4 2 2 2" xfId="26380"/>
    <cellStyle name="40% - Accent4 4 4 2 3" xfId="24084"/>
    <cellStyle name="40% - Accent4 4 4 20" xfId="14757"/>
    <cellStyle name="40% - Accent4 4 4 20 2" xfId="37532"/>
    <cellStyle name="40% - Accent4 4 4 21" xfId="15413"/>
    <cellStyle name="40% - Accent4 4 4 21 2" xfId="38188"/>
    <cellStyle name="40% - Accent4 4 4 22" xfId="16069"/>
    <cellStyle name="40% - Accent4 4 4 22 2" xfId="38844"/>
    <cellStyle name="40% - Accent4 4 4 23" xfId="16725"/>
    <cellStyle name="40% - Accent4 4 4 23 2" xfId="39500"/>
    <cellStyle name="40% - Accent4 4 4 24" xfId="17381"/>
    <cellStyle name="40% - Accent4 4 4 24 2" xfId="40156"/>
    <cellStyle name="40% - Accent4 4 4 25" xfId="18037"/>
    <cellStyle name="40% - Accent4 4 4 25 2" xfId="40812"/>
    <cellStyle name="40% - Accent4 4 4 26" xfId="18693"/>
    <cellStyle name="40% - Accent4 4 4 26 2" xfId="41468"/>
    <cellStyle name="40% - Accent4 4 4 27" xfId="19349"/>
    <cellStyle name="40% - Accent4 4 4 27 2" xfId="42124"/>
    <cellStyle name="40% - Accent4 4 4 28" xfId="20005"/>
    <cellStyle name="40% - Accent4 4 4 28 2" xfId="42780"/>
    <cellStyle name="40% - Accent4 4 4 29" xfId="20661"/>
    <cellStyle name="40% - Accent4 4 4 29 2" xfId="43436"/>
    <cellStyle name="40% - Accent4 4 4 3" xfId="1965"/>
    <cellStyle name="40% - Accent4 4 4 3 2" xfId="4261"/>
    <cellStyle name="40% - Accent4 4 4 3 2 2" xfId="27036"/>
    <cellStyle name="40% - Accent4 4 4 3 3" xfId="24740"/>
    <cellStyle name="40% - Accent4 4 4 30" xfId="21317"/>
    <cellStyle name="40% - Accent4 4 4 30 2" xfId="44092"/>
    <cellStyle name="40% - Accent4 4 4 31" xfId="21973"/>
    <cellStyle name="40% - Accent4 4 4 31 2" xfId="44748"/>
    <cellStyle name="40% - Accent4 4 4 32" xfId="22629"/>
    <cellStyle name="40% - Accent4 4 4 32 2" xfId="45404"/>
    <cellStyle name="40% - Accent4 4 4 33" xfId="23428"/>
    <cellStyle name="40% - Accent4 4 4 4" xfId="4917"/>
    <cellStyle name="40% - Accent4 4 4 4 2" xfId="27692"/>
    <cellStyle name="40% - Accent4 4 4 5" xfId="5573"/>
    <cellStyle name="40% - Accent4 4 4 5 2" xfId="28348"/>
    <cellStyle name="40% - Accent4 4 4 6" xfId="6229"/>
    <cellStyle name="40% - Accent4 4 4 6 2" xfId="29004"/>
    <cellStyle name="40% - Accent4 4 4 7" xfId="2949"/>
    <cellStyle name="40% - Accent4 4 4 7 2" xfId="25724"/>
    <cellStyle name="40% - Accent4 4 4 8" xfId="6885"/>
    <cellStyle name="40% - Accent4 4 4 8 2" xfId="29660"/>
    <cellStyle name="40% - Accent4 4 4 9" xfId="7541"/>
    <cellStyle name="40% - Accent4 4 4 9 2" xfId="30316"/>
    <cellStyle name="40% - Accent4 4 5" xfId="326"/>
    <cellStyle name="40% - Accent4 4 5 2" xfId="2621"/>
    <cellStyle name="40% - Accent4 4 5 2 2" xfId="25396"/>
    <cellStyle name="40% - Accent4 4 5 3" xfId="23100"/>
    <cellStyle name="40% - Accent4 4 6" xfId="981"/>
    <cellStyle name="40% - Accent4 4 6 2" xfId="3277"/>
    <cellStyle name="40% - Accent4 4 6 2 2" xfId="26052"/>
    <cellStyle name="40% - Accent4 4 6 3" xfId="23756"/>
    <cellStyle name="40% - Accent4 4 7" xfId="1637"/>
    <cellStyle name="40% - Accent4 4 7 2" xfId="3933"/>
    <cellStyle name="40% - Accent4 4 7 2 2" xfId="26708"/>
    <cellStyle name="40% - Accent4 4 7 3" xfId="24412"/>
    <cellStyle name="40% - Accent4 4 8" xfId="4589"/>
    <cellStyle name="40% - Accent4 4 8 2" xfId="27364"/>
    <cellStyle name="40% - Accent4 4 9" xfId="5245"/>
    <cellStyle name="40% - Accent4 4 9 2" xfId="28020"/>
    <cellStyle name="40% - Accent4 40" xfId="20288"/>
    <cellStyle name="40% - Accent4 40 2" xfId="43063"/>
    <cellStyle name="40% - Accent4 41" xfId="20944"/>
    <cellStyle name="40% - Accent4 41 2" xfId="43719"/>
    <cellStyle name="40% - Accent4 42" xfId="21600"/>
    <cellStyle name="40% - Accent4 42 2" xfId="44375"/>
    <cellStyle name="40% - Accent4 43" xfId="22256"/>
    <cellStyle name="40% - Accent4 43 2" xfId="45031"/>
    <cellStyle name="40% - Accent4 44" xfId="195"/>
    <cellStyle name="40% - Accent4 45" xfId="22912"/>
    <cellStyle name="40% - Accent4 5" xfId="109"/>
    <cellStyle name="40% - Accent4 5 10" xfId="5915"/>
    <cellStyle name="40% - Accent4 5 10 2" xfId="28690"/>
    <cellStyle name="40% - Accent4 5 11" xfId="2307"/>
    <cellStyle name="40% - Accent4 5 11 2" xfId="25082"/>
    <cellStyle name="40% - Accent4 5 12" xfId="6571"/>
    <cellStyle name="40% - Accent4 5 12 2" xfId="29346"/>
    <cellStyle name="40% - Accent4 5 13" xfId="7227"/>
    <cellStyle name="40% - Accent4 5 13 2" xfId="30002"/>
    <cellStyle name="40% - Accent4 5 14" xfId="7883"/>
    <cellStyle name="40% - Accent4 5 14 2" xfId="30658"/>
    <cellStyle name="40% - Accent4 5 15" xfId="8539"/>
    <cellStyle name="40% - Accent4 5 15 2" xfId="31314"/>
    <cellStyle name="40% - Accent4 5 16" xfId="9195"/>
    <cellStyle name="40% - Accent4 5 16 2" xfId="31970"/>
    <cellStyle name="40% - Accent4 5 17" xfId="9851"/>
    <cellStyle name="40% - Accent4 5 17 2" xfId="32626"/>
    <cellStyle name="40% - Accent4 5 18" xfId="10507"/>
    <cellStyle name="40% - Accent4 5 18 2" xfId="33282"/>
    <cellStyle name="40% - Accent4 5 19" xfId="11163"/>
    <cellStyle name="40% - Accent4 5 19 2" xfId="33938"/>
    <cellStyle name="40% - Accent4 5 2" xfId="180"/>
    <cellStyle name="40% - Accent4 5 2 10" xfId="2378"/>
    <cellStyle name="40% - Accent4 5 2 10 2" xfId="25153"/>
    <cellStyle name="40% - Accent4 5 2 11" xfId="6642"/>
    <cellStyle name="40% - Accent4 5 2 11 2" xfId="29417"/>
    <cellStyle name="40% - Accent4 5 2 12" xfId="7298"/>
    <cellStyle name="40% - Accent4 5 2 12 2" xfId="30073"/>
    <cellStyle name="40% - Accent4 5 2 13" xfId="7954"/>
    <cellStyle name="40% - Accent4 5 2 13 2" xfId="30729"/>
    <cellStyle name="40% - Accent4 5 2 14" xfId="8610"/>
    <cellStyle name="40% - Accent4 5 2 14 2" xfId="31385"/>
    <cellStyle name="40% - Accent4 5 2 15" xfId="9266"/>
    <cellStyle name="40% - Accent4 5 2 15 2" xfId="32041"/>
    <cellStyle name="40% - Accent4 5 2 16" xfId="9922"/>
    <cellStyle name="40% - Accent4 5 2 16 2" xfId="32697"/>
    <cellStyle name="40% - Accent4 5 2 17" xfId="10578"/>
    <cellStyle name="40% - Accent4 5 2 17 2" xfId="33353"/>
    <cellStyle name="40% - Accent4 5 2 18" xfId="11234"/>
    <cellStyle name="40% - Accent4 5 2 18 2" xfId="34009"/>
    <cellStyle name="40% - Accent4 5 2 19" xfId="11890"/>
    <cellStyle name="40% - Accent4 5 2 19 2" xfId="34665"/>
    <cellStyle name="40% - Accent4 5 2 2" xfId="594"/>
    <cellStyle name="40% - Accent4 5 2 2 10" xfId="6827"/>
    <cellStyle name="40% - Accent4 5 2 2 10 2" xfId="29602"/>
    <cellStyle name="40% - Accent4 5 2 2 11" xfId="7483"/>
    <cellStyle name="40% - Accent4 5 2 2 11 2" xfId="30258"/>
    <cellStyle name="40% - Accent4 5 2 2 12" xfId="8139"/>
    <cellStyle name="40% - Accent4 5 2 2 12 2" xfId="30914"/>
    <cellStyle name="40% - Accent4 5 2 2 13" xfId="8795"/>
    <cellStyle name="40% - Accent4 5 2 2 13 2" xfId="31570"/>
    <cellStyle name="40% - Accent4 5 2 2 14" xfId="9451"/>
    <cellStyle name="40% - Accent4 5 2 2 14 2" xfId="32226"/>
    <cellStyle name="40% - Accent4 5 2 2 15" xfId="10107"/>
    <cellStyle name="40% - Accent4 5 2 2 15 2" xfId="32882"/>
    <cellStyle name="40% - Accent4 5 2 2 16" xfId="10763"/>
    <cellStyle name="40% - Accent4 5 2 2 16 2" xfId="33538"/>
    <cellStyle name="40% - Accent4 5 2 2 17" xfId="11419"/>
    <cellStyle name="40% - Accent4 5 2 2 17 2" xfId="34194"/>
    <cellStyle name="40% - Accent4 5 2 2 18" xfId="12075"/>
    <cellStyle name="40% - Accent4 5 2 2 18 2" xfId="34850"/>
    <cellStyle name="40% - Accent4 5 2 2 19" xfId="12731"/>
    <cellStyle name="40% - Accent4 5 2 2 19 2" xfId="35506"/>
    <cellStyle name="40% - Accent4 5 2 2 2" xfId="923"/>
    <cellStyle name="40% - Accent4 5 2 2 2 10" xfId="8467"/>
    <cellStyle name="40% - Accent4 5 2 2 2 10 2" xfId="31242"/>
    <cellStyle name="40% - Accent4 5 2 2 2 11" xfId="9123"/>
    <cellStyle name="40% - Accent4 5 2 2 2 11 2" xfId="31898"/>
    <cellStyle name="40% - Accent4 5 2 2 2 12" xfId="9779"/>
    <cellStyle name="40% - Accent4 5 2 2 2 12 2" xfId="32554"/>
    <cellStyle name="40% - Accent4 5 2 2 2 13" xfId="10435"/>
    <cellStyle name="40% - Accent4 5 2 2 2 13 2" xfId="33210"/>
    <cellStyle name="40% - Accent4 5 2 2 2 14" xfId="11091"/>
    <cellStyle name="40% - Accent4 5 2 2 2 14 2" xfId="33866"/>
    <cellStyle name="40% - Accent4 5 2 2 2 15" xfId="11747"/>
    <cellStyle name="40% - Accent4 5 2 2 2 15 2" xfId="34522"/>
    <cellStyle name="40% - Accent4 5 2 2 2 16" xfId="12403"/>
    <cellStyle name="40% - Accent4 5 2 2 2 16 2" xfId="35178"/>
    <cellStyle name="40% - Accent4 5 2 2 2 17" xfId="13059"/>
    <cellStyle name="40% - Accent4 5 2 2 2 17 2" xfId="35834"/>
    <cellStyle name="40% - Accent4 5 2 2 2 18" xfId="13715"/>
    <cellStyle name="40% - Accent4 5 2 2 2 18 2" xfId="36490"/>
    <cellStyle name="40% - Accent4 5 2 2 2 19" xfId="14371"/>
    <cellStyle name="40% - Accent4 5 2 2 2 19 2" xfId="37146"/>
    <cellStyle name="40% - Accent4 5 2 2 2 2" xfId="1579"/>
    <cellStyle name="40% - Accent4 5 2 2 2 2 2" xfId="3875"/>
    <cellStyle name="40% - Accent4 5 2 2 2 2 2 2" xfId="26650"/>
    <cellStyle name="40% - Accent4 5 2 2 2 2 3" xfId="24354"/>
    <cellStyle name="40% - Accent4 5 2 2 2 20" xfId="15027"/>
    <cellStyle name="40% - Accent4 5 2 2 2 20 2" xfId="37802"/>
    <cellStyle name="40% - Accent4 5 2 2 2 21" xfId="15683"/>
    <cellStyle name="40% - Accent4 5 2 2 2 21 2" xfId="38458"/>
    <cellStyle name="40% - Accent4 5 2 2 2 22" xfId="16339"/>
    <cellStyle name="40% - Accent4 5 2 2 2 22 2" xfId="39114"/>
    <cellStyle name="40% - Accent4 5 2 2 2 23" xfId="16995"/>
    <cellStyle name="40% - Accent4 5 2 2 2 23 2" xfId="39770"/>
    <cellStyle name="40% - Accent4 5 2 2 2 24" xfId="17651"/>
    <cellStyle name="40% - Accent4 5 2 2 2 24 2" xfId="40426"/>
    <cellStyle name="40% - Accent4 5 2 2 2 25" xfId="18307"/>
    <cellStyle name="40% - Accent4 5 2 2 2 25 2" xfId="41082"/>
    <cellStyle name="40% - Accent4 5 2 2 2 26" xfId="18963"/>
    <cellStyle name="40% - Accent4 5 2 2 2 26 2" xfId="41738"/>
    <cellStyle name="40% - Accent4 5 2 2 2 27" xfId="19619"/>
    <cellStyle name="40% - Accent4 5 2 2 2 27 2" xfId="42394"/>
    <cellStyle name="40% - Accent4 5 2 2 2 28" xfId="20275"/>
    <cellStyle name="40% - Accent4 5 2 2 2 28 2" xfId="43050"/>
    <cellStyle name="40% - Accent4 5 2 2 2 29" xfId="20931"/>
    <cellStyle name="40% - Accent4 5 2 2 2 29 2" xfId="43706"/>
    <cellStyle name="40% - Accent4 5 2 2 2 3" xfId="2235"/>
    <cellStyle name="40% - Accent4 5 2 2 2 3 2" xfId="4531"/>
    <cellStyle name="40% - Accent4 5 2 2 2 3 2 2" xfId="27306"/>
    <cellStyle name="40% - Accent4 5 2 2 2 3 3" xfId="25010"/>
    <cellStyle name="40% - Accent4 5 2 2 2 30" xfId="21587"/>
    <cellStyle name="40% - Accent4 5 2 2 2 30 2" xfId="44362"/>
    <cellStyle name="40% - Accent4 5 2 2 2 31" xfId="22243"/>
    <cellStyle name="40% - Accent4 5 2 2 2 31 2" xfId="45018"/>
    <cellStyle name="40% - Accent4 5 2 2 2 32" xfId="22899"/>
    <cellStyle name="40% - Accent4 5 2 2 2 32 2" xfId="45674"/>
    <cellStyle name="40% - Accent4 5 2 2 2 33" xfId="23698"/>
    <cellStyle name="40% - Accent4 5 2 2 2 4" xfId="5187"/>
    <cellStyle name="40% - Accent4 5 2 2 2 4 2" xfId="27962"/>
    <cellStyle name="40% - Accent4 5 2 2 2 5" xfId="5843"/>
    <cellStyle name="40% - Accent4 5 2 2 2 5 2" xfId="28618"/>
    <cellStyle name="40% - Accent4 5 2 2 2 6" xfId="6499"/>
    <cellStyle name="40% - Accent4 5 2 2 2 6 2" xfId="29274"/>
    <cellStyle name="40% - Accent4 5 2 2 2 7" xfId="3219"/>
    <cellStyle name="40% - Accent4 5 2 2 2 7 2" xfId="25994"/>
    <cellStyle name="40% - Accent4 5 2 2 2 8" xfId="7155"/>
    <cellStyle name="40% - Accent4 5 2 2 2 8 2" xfId="29930"/>
    <cellStyle name="40% - Accent4 5 2 2 2 9" xfId="7811"/>
    <cellStyle name="40% - Accent4 5 2 2 2 9 2" xfId="30586"/>
    <cellStyle name="40% - Accent4 5 2 2 20" xfId="13387"/>
    <cellStyle name="40% - Accent4 5 2 2 20 2" xfId="36162"/>
    <cellStyle name="40% - Accent4 5 2 2 21" xfId="14043"/>
    <cellStyle name="40% - Accent4 5 2 2 21 2" xfId="36818"/>
    <cellStyle name="40% - Accent4 5 2 2 22" xfId="14699"/>
    <cellStyle name="40% - Accent4 5 2 2 22 2" xfId="37474"/>
    <cellStyle name="40% - Accent4 5 2 2 23" xfId="15355"/>
    <cellStyle name="40% - Accent4 5 2 2 23 2" xfId="38130"/>
    <cellStyle name="40% - Accent4 5 2 2 24" xfId="16011"/>
    <cellStyle name="40% - Accent4 5 2 2 24 2" xfId="38786"/>
    <cellStyle name="40% - Accent4 5 2 2 25" xfId="16667"/>
    <cellStyle name="40% - Accent4 5 2 2 25 2" xfId="39442"/>
    <cellStyle name="40% - Accent4 5 2 2 26" xfId="17323"/>
    <cellStyle name="40% - Accent4 5 2 2 26 2" xfId="40098"/>
    <cellStyle name="40% - Accent4 5 2 2 27" xfId="17979"/>
    <cellStyle name="40% - Accent4 5 2 2 27 2" xfId="40754"/>
    <cellStyle name="40% - Accent4 5 2 2 28" xfId="18635"/>
    <cellStyle name="40% - Accent4 5 2 2 28 2" xfId="41410"/>
    <cellStyle name="40% - Accent4 5 2 2 29" xfId="19291"/>
    <cellStyle name="40% - Accent4 5 2 2 29 2" xfId="42066"/>
    <cellStyle name="40% - Accent4 5 2 2 3" xfId="1251"/>
    <cellStyle name="40% - Accent4 5 2 2 3 2" xfId="2891"/>
    <cellStyle name="40% - Accent4 5 2 2 3 2 2" xfId="25666"/>
    <cellStyle name="40% - Accent4 5 2 2 3 3" xfId="24026"/>
    <cellStyle name="40% - Accent4 5 2 2 30" xfId="19947"/>
    <cellStyle name="40% - Accent4 5 2 2 30 2" xfId="42722"/>
    <cellStyle name="40% - Accent4 5 2 2 31" xfId="20603"/>
    <cellStyle name="40% - Accent4 5 2 2 31 2" xfId="43378"/>
    <cellStyle name="40% - Accent4 5 2 2 32" xfId="21259"/>
    <cellStyle name="40% - Accent4 5 2 2 32 2" xfId="44034"/>
    <cellStyle name="40% - Accent4 5 2 2 33" xfId="21915"/>
    <cellStyle name="40% - Accent4 5 2 2 33 2" xfId="44690"/>
    <cellStyle name="40% - Accent4 5 2 2 34" xfId="22571"/>
    <cellStyle name="40% - Accent4 5 2 2 34 2" xfId="45346"/>
    <cellStyle name="40% - Accent4 5 2 2 35" xfId="23370"/>
    <cellStyle name="40% - Accent4 5 2 2 4" xfId="1907"/>
    <cellStyle name="40% - Accent4 5 2 2 4 2" xfId="3547"/>
    <cellStyle name="40% - Accent4 5 2 2 4 2 2" xfId="26322"/>
    <cellStyle name="40% - Accent4 5 2 2 4 3" xfId="24682"/>
    <cellStyle name="40% - Accent4 5 2 2 5" xfId="4203"/>
    <cellStyle name="40% - Accent4 5 2 2 5 2" xfId="26978"/>
    <cellStyle name="40% - Accent4 5 2 2 6" xfId="4859"/>
    <cellStyle name="40% - Accent4 5 2 2 6 2" xfId="27634"/>
    <cellStyle name="40% - Accent4 5 2 2 7" xfId="5515"/>
    <cellStyle name="40% - Accent4 5 2 2 7 2" xfId="28290"/>
    <cellStyle name="40% - Accent4 5 2 2 8" xfId="6171"/>
    <cellStyle name="40% - Accent4 5 2 2 8 2" xfId="28946"/>
    <cellStyle name="40% - Accent4 5 2 2 9" xfId="2563"/>
    <cellStyle name="40% - Accent4 5 2 2 9 2" xfId="25338"/>
    <cellStyle name="40% - Accent4 5 2 20" xfId="12546"/>
    <cellStyle name="40% - Accent4 5 2 20 2" xfId="35321"/>
    <cellStyle name="40% - Accent4 5 2 21" xfId="13202"/>
    <cellStyle name="40% - Accent4 5 2 21 2" xfId="35977"/>
    <cellStyle name="40% - Accent4 5 2 22" xfId="13858"/>
    <cellStyle name="40% - Accent4 5 2 22 2" xfId="36633"/>
    <cellStyle name="40% - Accent4 5 2 23" xfId="14514"/>
    <cellStyle name="40% - Accent4 5 2 23 2" xfId="37289"/>
    <cellStyle name="40% - Accent4 5 2 24" xfId="15170"/>
    <cellStyle name="40% - Accent4 5 2 24 2" xfId="37945"/>
    <cellStyle name="40% - Accent4 5 2 25" xfId="15826"/>
    <cellStyle name="40% - Accent4 5 2 25 2" xfId="38601"/>
    <cellStyle name="40% - Accent4 5 2 26" xfId="16482"/>
    <cellStyle name="40% - Accent4 5 2 26 2" xfId="39257"/>
    <cellStyle name="40% - Accent4 5 2 27" xfId="17138"/>
    <cellStyle name="40% - Accent4 5 2 27 2" xfId="39913"/>
    <cellStyle name="40% - Accent4 5 2 28" xfId="17794"/>
    <cellStyle name="40% - Accent4 5 2 28 2" xfId="40569"/>
    <cellStyle name="40% - Accent4 5 2 29" xfId="18450"/>
    <cellStyle name="40% - Accent4 5 2 29 2" xfId="41225"/>
    <cellStyle name="40% - Accent4 5 2 3" xfId="738"/>
    <cellStyle name="40% - Accent4 5 2 3 10" xfId="8282"/>
    <cellStyle name="40% - Accent4 5 2 3 10 2" xfId="31057"/>
    <cellStyle name="40% - Accent4 5 2 3 11" xfId="8938"/>
    <cellStyle name="40% - Accent4 5 2 3 11 2" xfId="31713"/>
    <cellStyle name="40% - Accent4 5 2 3 12" xfId="9594"/>
    <cellStyle name="40% - Accent4 5 2 3 12 2" xfId="32369"/>
    <cellStyle name="40% - Accent4 5 2 3 13" xfId="10250"/>
    <cellStyle name="40% - Accent4 5 2 3 13 2" xfId="33025"/>
    <cellStyle name="40% - Accent4 5 2 3 14" xfId="10906"/>
    <cellStyle name="40% - Accent4 5 2 3 14 2" xfId="33681"/>
    <cellStyle name="40% - Accent4 5 2 3 15" xfId="11562"/>
    <cellStyle name="40% - Accent4 5 2 3 15 2" xfId="34337"/>
    <cellStyle name="40% - Accent4 5 2 3 16" xfId="12218"/>
    <cellStyle name="40% - Accent4 5 2 3 16 2" xfId="34993"/>
    <cellStyle name="40% - Accent4 5 2 3 17" xfId="12874"/>
    <cellStyle name="40% - Accent4 5 2 3 17 2" xfId="35649"/>
    <cellStyle name="40% - Accent4 5 2 3 18" xfId="13530"/>
    <cellStyle name="40% - Accent4 5 2 3 18 2" xfId="36305"/>
    <cellStyle name="40% - Accent4 5 2 3 19" xfId="14186"/>
    <cellStyle name="40% - Accent4 5 2 3 19 2" xfId="36961"/>
    <cellStyle name="40% - Accent4 5 2 3 2" xfId="1394"/>
    <cellStyle name="40% - Accent4 5 2 3 2 2" xfId="3690"/>
    <cellStyle name="40% - Accent4 5 2 3 2 2 2" xfId="26465"/>
    <cellStyle name="40% - Accent4 5 2 3 2 3" xfId="24169"/>
    <cellStyle name="40% - Accent4 5 2 3 20" xfId="14842"/>
    <cellStyle name="40% - Accent4 5 2 3 20 2" xfId="37617"/>
    <cellStyle name="40% - Accent4 5 2 3 21" xfId="15498"/>
    <cellStyle name="40% - Accent4 5 2 3 21 2" xfId="38273"/>
    <cellStyle name="40% - Accent4 5 2 3 22" xfId="16154"/>
    <cellStyle name="40% - Accent4 5 2 3 22 2" xfId="38929"/>
    <cellStyle name="40% - Accent4 5 2 3 23" xfId="16810"/>
    <cellStyle name="40% - Accent4 5 2 3 23 2" xfId="39585"/>
    <cellStyle name="40% - Accent4 5 2 3 24" xfId="17466"/>
    <cellStyle name="40% - Accent4 5 2 3 24 2" xfId="40241"/>
    <cellStyle name="40% - Accent4 5 2 3 25" xfId="18122"/>
    <cellStyle name="40% - Accent4 5 2 3 25 2" xfId="40897"/>
    <cellStyle name="40% - Accent4 5 2 3 26" xfId="18778"/>
    <cellStyle name="40% - Accent4 5 2 3 26 2" xfId="41553"/>
    <cellStyle name="40% - Accent4 5 2 3 27" xfId="19434"/>
    <cellStyle name="40% - Accent4 5 2 3 27 2" xfId="42209"/>
    <cellStyle name="40% - Accent4 5 2 3 28" xfId="20090"/>
    <cellStyle name="40% - Accent4 5 2 3 28 2" xfId="42865"/>
    <cellStyle name="40% - Accent4 5 2 3 29" xfId="20746"/>
    <cellStyle name="40% - Accent4 5 2 3 29 2" xfId="43521"/>
    <cellStyle name="40% - Accent4 5 2 3 3" xfId="2050"/>
    <cellStyle name="40% - Accent4 5 2 3 3 2" xfId="4346"/>
    <cellStyle name="40% - Accent4 5 2 3 3 2 2" xfId="27121"/>
    <cellStyle name="40% - Accent4 5 2 3 3 3" xfId="24825"/>
    <cellStyle name="40% - Accent4 5 2 3 30" xfId="21402"/>
    <cellStyle name="40% - Accent4 5 2 3 30 2" xfId="44177"/>
    <cellStyle name="40% - Accent4 5 2 3 31" xfId="22058"/>
    <cellStyle name="40% - Accent4 5 2 3 31 2" xfId="44833"/>
    <cellStyle name="40% - Accent4 5 2 3 32" xfId="22714"/>
    <cellStyle name="40% - Accent4 5 2 3 32 2" xfId="45489"/>
    <cellStyle name="40% - Accent4 5 2 3 33" xfId="23513"/>
    <cellStyle name="40% - Accent4 5 2 3 4" xfId="5002"/>
    <cellStyle name="40% - Accent4 5 2 3 4 2" xfId="27777"/>
    <cellStyle name="40% - Accent4 5 2 3 5" xfId="5658"/>
    <cellStyle name="40% - Accent4 5 2 3 5 2" xfId="28433"/>
    <cellStyle name="40% - Accent4 5 2 3 6" xfId="6314"/>
    <cellStyle name="40% - Accent4 5 2 3 6 2" xfId="29089"/>
    <cellStyle name="40% - Accent4 5 2 3 7" xfId="3034"/>
    <cellStyle name="40% - Accent4 5 2 3 7 2" xfId="25809"/>
    <cellStyle name="40% - Accent4 5 2 3 8" xfId="6970"/>
    <cellStyle name="40% - Accent4 5 2 3 8 2" xfId="29745"/>
    <cellStyle name="40% - Accent4 5 2 3 9" xfId="7626"/>
    <cellStyle name="40% - Accent4 5 2 3 9 2" xfId="30401"/>
    <cellStyle name="40% - Accent4 5 2 30" xfId="19106"/>
    <cellStyle name="40% - Accent4 5 2 30 2" xfId="41881"/>
    <cellStyle name="40% - Accent4 5 2 31" xfId="19762"/>
    <cellStyle name="40% - Accent4 5 2 31 2" xfId="42537"/>
    <cellStyle name="40% - Accent4 5 2 32" xfId="20418"/>
    <cellStyle name="40% - Accent4 5 2 32 2" xfId="43193"/>
    <cellStyle name="40% - Accent4 5 2 33" xfId="21074"/>
    <cellStyle name="40% - Accent4 5 2 33 2" xfId="43849"/>
    <cellStyle name="40% - Accent4 5 2 34" xfId="21730"/>
    <cellStyle name="40% - Accent4 5 2 34 2" xfId="44505"/>
    <cellStyle name="40% - Accent4 5 2 35" xfId="22386"/>
    <cellStyle name="40% - Accent4 5 2 35 2" xfId="45161"/>
    <cellStyle name="40% - Accent4 5 2 36" xfId="23042"/>
    <cellStyle name="40% - Accent4 5 2 4" xfId="411"/>
    <cellStyle name="40% - Accent4 5 2 4 2" xfId="2706"/>
    <cellStyle name="40% - Accent4 5 2 4 2 2" xfId="25481"/>
    <cellStyle name="40% - Accent4 5 2 4 3" xfId="23185"/>
    <cellStyle name="40% - Accent4 5 2 5" xfId="1066"/>
    <cellStyle name="40% - Accent4 5 2 5 2" xfId="3362"/>
    <cellStyle name="40% - Accent4 5 2 5 2 2" xfId="26137"/>
    <cellStyle name="40% - Accent4 5 2 5 3" xfId="23841"/>
    <cellStyle name="40% - Accent4 5 2 6" xfId="1722"/>
    <cellStyle name="40% - Accent4 5 2 6 2" xfId="4018"/>
    <cellStyle name="40% - Accent4 5 2 6 2 2" xfId="26793"/>
    <cellStyle name="40% - Accent4 5 2 6 3" xfId="24497"/>
    <cellStyle name="40% - Accent4 5 2 7" xfId="4674"/>
    <cellStyle name="40% - Accent4 5 2 7 2" xfId="27449"/>
    <cellStyle name="40% - Accent4 5 2 8" xfId="5330"/>
    <cellStyle name="40% - Accent4 5 2 8 2" xfId="28105"/>
    <cellStyle name="40% - Accent4 5 2 9" xfId="5986"/>
    <cellStyle name="40% - Accent4 5 2 9 2" xfId="28761"/>
    <cellStyle name="40% - Accent4 5 20" xfId="11819"/>
    <cellStyle name="40% - Accent4 5 20 2" xfId="34594"/>
    <cellStyle name="40% - Accent4 5 21" xfId="12475"/>
    <cellStyle name="40% - Accent4 5 21 2" xfId="35250"/>
    <cellStyle name="40% - Accent4 5 22" xfId="13131"/>
    <cellStyle name="40% - Accent4 5 22 2" xfId="35906"/>
    <cellStyle name="40% - Accent4 5 23" xfId="13787"/>
    <cellStyle name="40% - Accent4 5 23 2" xfId="36562"/>
    <cellStyle name="40% - Accent4 5 24" xfId="14443"/>
    <cellStyle name="40% - Accent4 5 24 2" xfId="37218"/>
    <cellStyle name="40% - Accent4 5 25" xfId="15099"/>
    <cellStyle name="40% - Accent4 5 25 2" xfId="37874"/>
    <cellStyle name="40% - Accent4 5 26" xfId="15755"/>
    <cellStyle name="40% - Accent4 5 26 2" xfId="38530"/>
    <cellStyle name="40% - Accent4 5 27" xfId="16411"/>
    <cellStyle name="40% - Accent4 5 27 2" xfId="39186"/>
    <cellStyle name="40% - Accent4 5 28" xfId="17067"/>
    <cellStyle name="40% - Accent4 5 28 2" xfId="39842"/>
    <cellStyle name="40% - Accent4 5 29" xfId="17723"/>
    <cellStyle name="40% - Accent4 5 29 2" xfId="40498"/>
    <cellStyle name="40% - Accent4 5 3" xfId="524"/>
    <cellStyle name="40% - Accent4 5 3 10" xfId="6756"/>
    <cellStyle name="40% - Accent4 5 3 10 2" xfId="29531"/>
    <cellStyle name="40% - Accent4 5 3 11" xfId="7412"/>
    <cellStyle name="40% - Accent4 5 3 11 2" xfId="30187"/>
    <cellStyle name="40% - Accent4 5 3 12" xfId="8068"/>
    <cellStyle name="40% - Accent4 5 3 12 2" xfId="30843"/>
    <cellStyle name="40% - Accent4 5 3 13" xfId="8724"/>
    <cellStyle name="40% - Accent4 5 3 13 2" xfId="31499"/>
    <cellStyle name="40% - Accent4 5 3 14" xfId="9380"/>
    <cellStyle name="40% - Accent4 5 3 14 2" xfId="32155"/>
    <cellStyle name="40% - Accent4 5 3 15" xfId="10036"/>
    <cellStyle name="40% - Accent4 5 3 15 2" xfId="32811"/>
    <cellStyle name="40% - Accent4 5 3 16" xfId="10692"/>
    <cellStyle name="40% - Accent4 5 3 16 2" xfId="33467"/>
    <cellStyle name="40% - Accent4 5 3 17" xfId="11348"/>
    <cellStyle name="40% - Accent4 5 3 17 2" xfId="34123"/>
    <cellStyle name="40% - Accent4 5 3 18" xfId="12004"/>
    <cellStyle name="40% - Accent4 5 3 18 2" xfId="34779"/>
    <cellStyle name="40% - Accent4 5 3 19" xfId="12660"/>
    <cellStyle name="40% - Accent4 5 3 19 2" xfId="35435"/>
    <cellStyle name="40% - Accent4 5 3 2" xfId="852"/>
    <cellStyle name="40% - Accent4 5 3 2 10" xfId="8396"/>
    <cellStyle name="40% - Accent4 5 3 2 10 2" xfId="31171"/>
    <cellStyle name="40% - Accent4 5 3 2 11" xfId="9052"/>
    <cellStyle name="40% - Accent4 5 3 2 11 2" xfId="31827"/>
    <cellStyle name="40% - Accent4 5 3 2 12" xfId="9708"/>
    <cellStyle name="40% - Accent4 5 3 2 12 2" xfId="32483"/>
    <cellStyle name="40% - Accent4 5 3 2 13" xfId="10364"/>
    <cellStyle name="40% - Accent4 5 3 2 13 2" xfId="33139"/>
    <cellStyle name="40% - Accent4 5 3 2 14" xfId="11020"/>
    <cellStyle name="40% - Accent4 5 3 2 14 2" xfId="33795"/>
    <cellStyle name="40% - Accent4 5 3 2 15" xfId="11676"/>
    <cellStyle name="40% - Accent4 5 3 2 15 2" xfId="34451"/>
    <cellStyle name="40% - Accent4 5 3 2 16" xfId="12332"/>
    <cellStyle name="40% - Accent4 5 3 2 16 2" xfId="35107"/>
    <cellStyle name="40% - Accent4 5 3 2 17" xfId="12988"/>
    <cellStyle name="40% - Accent4 5 3 2 17 2" xfId="35763"/>
    <cellStyle name="40% - Accent4 5 3 2 18" xfId="13644"/>
    <cellStyle name="40% - Accent4 5 3 2 18 2" xfId="36419"/>
    <cellStyle name="40% - Accent4 5 3 2 19" xfId="14300"/>
    <cellStyle name="40% - Accent4 5 3 2 19 2" xfId="37075"/>
    <cellStyle name="40% - Accent4 5 3 2 2" xfId="1508"/>
    <cellStyle name="40% - Accent4 5 3 2 2 2" xfId="3804"/>
    <cellStyle name="40% - Accent4 5 3 2 2 2 2" xfId="26579"/>
    <cellStyle name="40% - Accent4 5 3 2 2 3" xfId="24283"/>
    <cellStyle name="40% - Accent4 5 3 2 20" xfId="14956"/>
    <cellStyle name="40% - Accent4 5 3 2 20 2" xfId="37731"/>
    <cellStyle name="40% - Accent4 5 3 2 21" xfId="15612"/>
    <cellStyle name="40% - Accent4 5 3 2 21 2" xfId="38387"/>
    <cellStyle name="40% - Accent4 5 3 2 22" xfId="16268"/>
    <cellStyle name="40% - Accent4 5 3 2 22 2" xfId="39043"/>
    <cellStyle name="40% - Accent4 5 3 2 23" xfId="16924"/>
    <cellStyle name="40% - Accent4 5 3 2 23 2" xfId="39699"/>
    <cellStyle name="40% - Accent4 5 3 2 24" xfId="17580"/>
    <cellStyle name="40% - Accent4 5 3 2 24 2" xfId="40355"/>
    <cellStyle name="40% - Accent4 5 3 2 25" xfId="18236"/>
    <cellStyle name="40% - Accent4 5 3 2 25 2" xfId="41011"/>
    <cellStyle name="40% - Accent4 5 3 2 26" xfId="18892"/>
    <cellStyle name="40% - Accent4 5 3 2 26 2" xfId="41667"/>
    <cellStyle name="40% - Accent4 5 3 2 27" xfId="19548"/>
    <cellStyle name="40% - Accent4 5 3 2 27 2" xfId="42323"/>
    <cellStyle name="40% - Accent4 5 3 2 28" xfId="20204"/>
    <cellStyle name="40% - Accent4 5 3 2 28 2" xfId="42979"/>
    <cellStyle name="40% - Accent4 5 3 2 29" xfId="20860"/>
    <cellStyle name="40% - Accent4 5 3 2 29 2" xfId="43635"/>
    <cellStyle name="40% - Accent4 5 3 2 3" xfId="2164"/>
    <cellStyle name="40% - Accent4 5 3 2 3 2" xfId="4460"/>
    <cellStyle name="40% - Accent4 5 3 2 3 2 2" xfId="27235"/>
    <cellStyle name="40% - Accent4 5 3 2 3 3" xfId="24939"/>
    <cellStyle name="40% - Accent4 5 3 2 30" xfId="21516"/>
    <cellStyle name="40% - Accent4 5 3 2 30 2" xfId="44291"/>
    <cellStyle name="40% - Accent4 5 3 2 31" xfId="22172"/>
    <cellStyle name="40% - Accent4 5 3 2 31 2" xfId="44947"/>
    <cellStyle name="40% - Accent4 5 3 2 32" xfId="22828"/>
    <cellStyle name="40% - Accent4 5 3 2 32 2" xfId="45603"/>
    <cellStyle name="40% - Accent4 5 3 2 33" xfId="23627"/>
    <cellStyle name="40% - Accent4 5 3 2 4" xfId="5116"/>
    <cellStyle name="40% - Accent4 5 3 2 4 2" xfId="27891"/>
    <cellStyle name="40% - Accent4 5 3 2 5" xfId="5772"/>
    <cellStyle name="40% - Accent4 5 3 2 5 2" xfId="28547"/>
    <cellStyle name="40% - Accent4 5 3 2 6" xfId="6428"/>
    <cellStyle name="40% - Accent4 5 3 2 6 2" xfId="29203"/>
    <cellStyle name="40% - Accent4 5 3 2 7" xfId="3148"/>
    <cellStyle name="40% - Accent4 5 3 2 7 2" xfId="25923"/>
    <cellStyle name="40% - Accent4 5 3 2 8" xfId="7084"/>
    <cellStyle name="40% - Accent4 5 3 2 8 2" xfId="29859"/>
    <cellStyle name="40% - Accent4 5 3 2 9" xfId="7740"/>
    <cellStyle name="40% - Accent4 5 3 2 9 2" xfId="30515"/>
    <cellStyle name="40% - Accent4 5 3 20" xfId="13316"/>
    <cellStyle name="40% - Accent4 5 3 20 2" xfId="36091"/>
    <cellStyle name="40% - Accent4 5 3 21" xfId="13972"/>
    <cellStyle name="40% - Accent4 5 3 21 2" xfId="36747"/>
    <cellStyle name="40% - Accent4 5 3 22" xfId="14628"/>
    <cellStyle name="40% - Accent4 5 3 22 2" xfId="37403"/>
    <cellStyle name="40% - Accent4 5 3 23" xfId="15284"/>
    <cellStyle name="40% - Accent4 5 3 23 2" xfId="38059"/>
    <cellStyle name="40% - Accent4 5 3 24" xfId="15940"/>
    <cellStyle name="40% - Accent4 5 3 24 2" xfId="38715"/>
    <cellStyle name="40% - Accent4 5 3 25" xfId="16596"/>
    <cellStyle name="40% - Accent4 5 3 25 2" xfId="39371"/>
    <cellStyle name="40% - Accent4 5 3 26" xfId="17252"/>
    <cellStyle name="40% - Accent4 5 3 26 2" xfId="40027"/>
    <cellStyle name="40% - Accent4 5 3 27" xfId="17908"/>
    <cellStyle name="40% - Accent4 5 3 27 2" xfId="40683"/>
    <cellStyle name="40% - Accent4 5 3 28" xfId="18564"/>
    <cellStyle name="40% - Accent4 5 3 28 2" xfId="41339"/>
    <cellStyle name="40% - Accent4 5 3 29" xfId="19220"/>
    <cellStyle name="40% - Accent4 5 3 29 2" xfId="41995"/>
    <cellStyle name="40% - Accent4 5 3 3" xfId="1180"/>
    <cellStyle name="40% - Accent4 5 3 3 2" xfId="2820"/>
    <cellStyle name="40% - Accent4 5 3 3 2 2" xfId="25595"/>
    <cellStyle name="40% - Accent4 5 3 3 3" xfId="23955"/>
    <cellStyle name="40% - Accent4 5 3 30" xfId="19876"/>
    <cellStyle name="40% - Accent4 5 3 30 2" xfId="42651"/>
    <cellStyle name="40% - Accent4 5 3 31" xfId="20532"/>
    <cellStyle name="40% - Accent4 5 3 31 2" xfId="43307"/>
    <cellStyle name="40% - Accent4 5 3 32" xfId="21188"/>
    <cellStyle name="40% - Accent4 5 3 32 2" xfId="43963"/>
    <cellStyle name="40% - Accent4 5 3 33" xfId="21844"/>
    <cellStyle name="40% - Accent4 5 3 33 2" xfId="44619"/>
    <cellStyle name="40% - Accent4 5 3 34" xfId="22500"/>
    <cellStyle name="40% - Accent4 5 3 34 2" xfId="45275"/>
    <cellStyle name="40% - Accent4 5 3 35" xfId="23299"/>
    <cellStyle name="40% - Accent4 5 3 4" xfId="1836"/>
    <cellStyle name="40% - Accent4 5 3 4 2" xfId="3476"/>
    <cellStyle name="40% - Accent4 5 3 4 2 2" xfId="26251"/>
    <cellStyle name="40% - Accent4 5 3 4 3" xfId="24611"/>
    <cellStyle name="40% - Accent4 5 3 5" xfId="4132"/>
    <cellStyle name="40% - Accent4 5 3 5 2" xfId="26907"/>
    <cellStyle name="40% - Accent4 5 3 6" xfId="4788"/>
    <cellStyle name="40% - Accent4 5 3 6 2" xfId="27563"/>
    <cellStyle name="40% - Accent4 5 3 7" xfId="5444"/>
    <cellStyle name="40% - Accent4 5 3 7 2" xfId="28219"/>
    <cellStyle name="40% - Accent4 5 3 8" xfId="6100"/>
    <cellStyle name="40% - Accent4 5 3 8 2" xfId="28875"/>
    <cellStyle name="40% - Accent4 5 3 9" xfId="2492"/>
    <cellStyle name="40% - Accent4 5 3 9 2" xfId="25267"/>
    <cellStyle name="40% - Accent4 5 30" xfId="18379"/>
    <cellStyle name="40% - Accent4 5 30 2" xfId="41154"/>
    <cellStyle name="40% - Accent4 5 31" xfId="19035"/>
    <cellStyle name="40% - Accent4 5 31 2" xfId="41810"/>
    <cellStyle name="40% - Accent4 5 32" xfId="19691"/>
    <cellStyle name="40% - Accent4 5 32 2" xfId="42466"/>
    <cellStyle name="40% - Accent4 5 33" xfId="20347"/>
    <cellStyle name="40% - Accent4 5 33 2" xfId="43122"/>
    <cellStyle name="40% - Accent4 5 34" xfId="21003"/>
    <cellStyle name="40% - Accent4 5 34 2" xfId="43778"/>
    <cellStyle name="40% - Accent4 5 35" xfId="21659"/>
    <cellStyle name="40% - Accent4 5 35 2" xfId="44434"/>
    <cellStyle name="40% - Accent4 5 36" xfId="22315"/>
    <cellStyle name="40% - Accent4 5 36 2" xfId="45090"/>
    <cellStyle name="40% - Accent4 5 37" xfId="254"/>
    <cellStyle name="40% - Accent4 5 38" xfId="22971"/>
    <cellStyle name="40% - Accent4 5 4" xfId="667"/>
    <cellStyle name="40% - Accent4 5 4 10" xfId="8211"/>
    <cellStyle name="40% - Accent4 5 4 10 2" xfId="30986"/>
    <cellStyle name="40% - Accent4 5 4 11" xfId="8867"/>
    <cellStyle name="40% - Accent4 5 4 11 2" xfId="31642"/>
    <cellStyle name="40% - Accent4 5 4 12" xfId="9523"/>
    <cellStyle name="40% - Accent4 5 4 12 2" xfId="32298"/>
    <cellStyle name="40% - Accent4 5 4 13" xfId="10179"/>
    <cellStyle name="40% - Accent4 5 4 13 2" xfId="32954"/>
    <cellStyle name="40% - Accent4 5 4 14" xfId="10835"/>
    <cellStyle name="40% - Accent4 5 4 14 2" xfId="33610"/>
    <cellStyle name="40% - Accent4 5 4 15" xfId="11491"/>
    <cellStyle name="40% - Accent4 5 4 15 2" xfId="34266"/>
    <cellStyle name="40% - Accent4 5 4 16" xfId="12147"/>
    <cellStyle name="40% - Accent4 5 4 16 2" xfId="34922"/>
    <cellStyle name="40% - Accent4 5 4 17" xfId="12803"/>
    <cellStyle name="40% - Accent4 5 4 17 2" xfId="35578"/>
    <cellStyle name="40% - Accent4 5 4 18" xfId="13459"/>
    <cellStyle name="40% - Accent4 5 4 18 2" xfId="36234"/>
    <cellStyle name="40% - Accent4 5 4 19" xfId="14115"/>
    <cellStyle name="40% - Accent4 5 4 19 2" xfId="36890"/>
    <cellStyle name="40% - Accent4 5 4 2" xfId="1323"/>
    <cellStyle name="40% - Accent4 5 4 2 2" xfId="3619"/>
    <cellStyle name="40% - Accent4 5 4 2 2 2" xfId="26394"/>
    <cellStyle name="40% - Accent4 5 4 2 3" xfId="24098"/>
    <cellStyle name="40% - Accent4 5 4 20" xfId="14771"/>
    <cellStyle name="40% - Accent4 5 4 20 2" xfId="37546"/>
    <cellStyle name="40% - Accent4 5 4 21" xfId="15427"/>
    <cellStyle name="40% - Accent4 5 4 21 2" xfId="38202"/>
    <cellStyle name="40% - Accent4 5 4 22" xfId="16083"/>
    <cellStyle name="40% - Accent4 5 4 22 2" xfId="38858"/>
    <cellStyle name="40% - Accent4 5 4 23" xfId="16739"/>
    <cellStyle name="40% - Accent4 5 4 23 2" xfId="39514"/>
    <cellStyle name="40% - Accent4 5 4 24" xfId="17395"/>
    <cellStyle name="40% - Accent4 5 4 24 2" xfId="40170"/>
    <cellStyle name="40% - Accent4 5 4 25" xfId="18051"/>
    <cellStyle name="40% - Accent4 5 4 25 2" xfId="40826"/>
    <cellStyle name="40% - Accent4 5 4 26" xfId="18707"/>
    <cellStyle name="40% - Accent4 5 4 26 2" xfId="41482"/>
    <cellStyle name="40% - Accent4 5 4 27" xfId="19363"/>
    <cellStyle name="40% - Accent4 5 4 27 2" xfId="42138"/>
    <cellStyle name="40% - Accent4 5 4 28" xfId="20019"/>
    <cellStyle name="40% - Accent4 5 4 28 2" xfId="42794"/>
    <cellStyle name="40% - Accent4 5 4 29" xfId="20675"/>
    <cellStyle name="40% - Accent4 5 4 29 2" xfId="43450"/>
    <cellStyle name="40% - Accent4 5 4 3" xfId="1979"/>
    <cellStyle name="40% - Accent4 5 4 3 2" xfId="4275"/>
    <cellStyle name="40% - Accent4 5 4 3 2 2" xfId="27050"/>
    <cellStyle name="40% - Accent4 5 4 3 3" xfId="24754"/>
    <cellStyle name="40% - Accent4 5 4 30" xfId="21331"/>
    <cellStyle name="40% - Accent4 5 4 30 2" xfId="44106"/>
    <cellStyle name="40% - Accent4 5 4 31" xfId="21987"/>
    <cellStyle name="40% - Accent4 5 4 31 2" xfId="44762"/>
    <cellStyle name="40% - Accent4 5 4 32" xfId="22643"/>
    <cellStyle name="40% - Accent4 5 4 32 2" xfId="45418"/>
    <cellStyle name="40% - Accent4 5 4 33" xfId="23442"/>
    <cellStyle name="40% - Accent4 5 4 4" xfId="4931"/>
    <cellStyle name="40% - Accent4 5 4 4 2" xfId="27706"/>
    <cellStyle name="40% - Accent4 5 4 5" xfId="5587"/>
    <cellStyle name="40% - Accent4 5 4 5 2" xfId="28362"/>
    <cellStyle name="40% - Accent4 5 4 6" xfId="6243"/>
    <cellStyle name="40% - Accent4 5 4 6 2" xfId="29018"/>
    <cellStyle name="40% - Accent4 5 4 7" xfId="2963"/>
    <cellStyle name="40% - Accent4 5 4 7 2" xfId="25738"/>
    <cellStyle name="40% - Accent4 5 4 8" xfId="6899"/>
    <cellStyle name="40% - Accent4 5 4 8 2" xfId="29674"/>
    <cellStyle name="40% - Accent4 5 4 9" xfId="7555"/>
    <cellStyle name="40% - Accent4 5 4 9 2" xfId="30330"/>
    <cellStyle name="40% - Accent4 5 5" xfId="340"/>
    <cellStyle name="40% - Accent4 5 5 2" xfId="2635"/>
    <cellStyle name="40% - Accent4 5 5 2 2" xfId="25410"/>
    <cellStyle name="40% - Accent4 5 5 3" xfId="23114"/>
    <cellStyle name="40% - Accent4 5 6" xfId="995"/>
    <cellStyle name="40% - Accent4 5 6 2" xfId="3291"/>
    <cellStyle name="40% - Accent4 5 6 2 2" xfId="26066"/>
    <cellStyle name="40% - Accent4 5 6 3" xfId="23770"/>
    <cellStyle name="40% - Accent4 5 7" xfId="1651"/>
    <cellStyle name="40% - Accent4 5 7 2" xfId="3947"/>
    <cellStyle name="40% - Accent4 5 7 2 2" xfId="26722"/>
    <cellStyle name="40% - Accent4 5 7 3" xfId="24426"/>
    <cellStyle name="40% - Accent4 5 8" xfId="4603"/>
    <cellStyle name="40% - Accent4 5 8 2" xfId="27378"/>
    <cellStyle name="40% - Accent4 5 9" xfId="5259"/>
    <cellStyle name="40% - Accent4 5 9 2" xfId="28034"/>
    <cellStyle name="40% - Accent4 6" xfId="122"/>
    <cellStyle name="40% - Accent4 6 10" xfId="2320"/>
    <cellStyle name="40% - Accent4 6 10 2" xfId="25095"/>
    <cellStyle name="40% - Accent4 6 11" xfId="6584"/>
    <cellStyle name="40% - Accent4 6 11 2" xfId="29359"/>
    <cellStyle name="40% - Accent4 6 12" xfId="7240"/>
    <cellStyle name="40% - Accent4 6 12 2" xfId="30015"/>
    <cellStyle name="40% - Accent4 6 13" xfId="7896"/>
    <cellStyle name="40% - Accent4 6 13 2" xfId="30671"/>
    <cellStyle name="40% - Accent4 6 14" xfId="8552"/>
    <cellStyle name="40% - Accent4 6 14 2" xfId="31327"/>
    <cellStyle name="40% - Accent4 6 15" xfId="9208"/>
    <cellStyle name="40% - Accent4 6 15 2" xfId="31983"/>
    <cellStyle name="40% - Accent4 6 16" xfId="9864"/>
    <cellStyle name="40% - Accent4 6 16 2" xfId="32639"/>
    <cellStyle name="40% - Accent4 6 17" xfId="10520"/>
    <cellStyle name="40% - Accent4 6 17 2" xfId="33295"/>
    <cellStyle name="40% - Accent4 6 18" xfId="11176"/>
    <cellStyle name="40% - Accent4 6 18 2" xfId="33951"/>
    <cellStyle name="40% - Accent4 6 19" xfId="11832"/>
    <cellStyle name="40% - Accent4 6 19 2" xfId="34607"/>
    <cellStyle name="40% - Accent4 6 2" xfId="536"/>
    <cellStyle name="40% - Accent4 6 2 10" xfId="6769"/>
    <cellStyle name="40% - Accent4 6 2 10 2" xfId="29544"/>
    <cellStyle name="40% - Accent4 6 2 11" xfId="7425"/>
    <cellStyle name="40% - Accent4 6 2 11 2" xfId="30200"/>
    <cellStyle name="40% - Accent4 6 2 12" xfId="8081"/>
    <cellStyle name="40% - Accent4 6 2 12 2" xfId="30856"/>
    <cellStyle name="40% - Accent4 6 2 13" xfId="8737"/>
    <cellStyle name="40% - Accent4 6 2 13 2" xfId="31512"/>
    <cellStyle name="40% - Accent4 6 2 14" xfId="9393"/>
    <cellStyle name="40% - Accent4 6 2 14 2" xfId="32168"/>
    <cellStyle name="40% - Accent4 6 2 15" xfId="10049"/>
    <cellStyle name="40% - Accent4 6 2 15 2" xfId="32824"/>
    <cellStyle name="40% - Accent4 6 2 16" xfId="10705"/>
    <cellStyle name="40% - Accent4 6 2 16 2" xfId="33480"/>
    <cellStyle name="40% - Accent4 6 2 17" xfId="11361"/>
    <cellStyle name="40% - Accent4 6 2 17 2" xfId="34136"/>
    <cellStyle name="40% - Accent4 6 2 18" xfId="12017"/>
    <cellStyle name="40% - Accent4 6 2 18 2" xfId="34792"/>
    <cellStyle name="40% - Accent4 6 2 19" xfId="12673"/>
    <cellStyle name="40% - Accent4 6 2 19 2" xfId="35448"/>
    <cellStyle name="40% - Accent4 6 2 2" xfId="865"/>
    <cellStyle name="40% - Accent4 6 2 2 10" xfId="8409"/>
    <cellStyle name="40% - Accent4 6 2 2 10 2" xfId="31184"/>
    <cellStyle name="40% - Accent4 6 2 2 11" xfId="9065"/>
    <cellStyle name="40% - Accent4 6 2 2 11 2" xfId="31840"/>
    <cellStyle name="40% - Accent4 6 2 2 12" xfId="9721"/>
    <cellStyle name="40% - Accent4 6 2 2 12 2" xfId="32496"/>
    <cellStyle name="40% - Accent4 6 2 2 13" xfId="10377"/>
    <cellStyle name="40% - Accent4 6 2 2 13 2" xfId="33152"/>
    <cellStyle name="40% - Accent4 6 2 2 14" xfId="11033"/>
    <cellStyle name="40% - Accent4 6 2 2 14 2" xfId="33808"/>
    <cellStyle name="40% - Accent4 6 2 2 15" xfId="11689"/>
    <cellStyle name="40% - Accent4 6 2 2 15 2" xfId="34464"/>
    <cellStyle name="40% - Accent4 6 2 2 16" xfId="12345"/>
    <cellStyle name="40% - Accent4 6 2 2 16 2" xfId="35120"/>
    <cellStyle name="40% - Accent4 6 2 2 17" xfId="13001"/>
    <cellStyle name="40% - Accent4 6 2 2 17 2" xfId="35776"/>
    <cellStyle name="40% - Accent4 6 2 2 18" xfId="13657"/>
    <cellStyle name="40% - Accent4 6 2 2 18 2" xfId="36432"/>
    <cellStyle name="40% - Accent4 6 2 2 19" xfId="14313"/>
    <cellStyle name="40% - Accent4 6 2 2 19 2" xfId="37088"/>
    <cellStyle name="40% - Accent4 6 2 2 2" xfId="1521"/>
    <cellStyle name="40% - Accent4 6 2 2 2 2" xfId="3817"/>
    <cellStyle name="40% - Accent4 6 2 2 2 2 2" xfId="26592"/>
    <cellStyle name="40% - Accent4 6 2 2 2 3" xfId="24296"/>
    <cellStyle name="40% - Accent4 6 2 2 20" xfId="14969"/>
    <cellStyle name="40% - Accent4 6 2 2 20 2" xfId="37744"/>
    <cellStyle name="40% - Accent4 6 2 2 21" xfId="15625"/>
    <cellStyle name="40% - Accent4 6 2 2 21 2" xfId="38400"/>
    <cellStyle name="40% - Accent4 6 2 2 22" xfId="16281"/>
    <cellStyle name="40% - Accent4 6 2 2 22 2" xfId="39056"/>
    <cellStyle name="40% - Accent4 6 2 2 23" xfId="16937"/>
    <cellStyle name="40% - Accent4 6 2 2 23 2" xfId="39712"/>
    <cellStyle name="40% - Accent4 6 2 2 24" xfId="17593"/>
    <cellStyle name="40% - Accent4 6 2 2 24 2" xfId="40368"/>
    <cellStyle name="40% - Accent4 6 2 2 25" xfId="18249"/>
    <cellStyle name="40% - Accent4 6 2 2 25 2" xfId="41024"/>
    <cellStyle name="40% - Accent4 6 2 2 26" xfId="18905"/>
    <cellStyle name="40% - Accent4 6 2 2 26 2" xfId="41680"/>
    <cellStyle name="40% - Accent4 6 2 2 27" xfId="19561"/>
    <cellStyle name="40% - Accent4 6 2 2 27 2" xfId="42336"/>
    <cellStyle name="40% - Accent4 6 2 2 28" xfId="20217"/>
    <cellStyle name="40% - Accent4 6 2 2 28 2" xfId="42992"/>
    <cellStyle name="40% - Accent4 6 2 2 29" xfId="20873"/>
    <cellStyle name="40% - Accent4 6 2 2 29 2" xfId="43648"/>
    <cellStyle name="40% - Accent4 6 2 2 3" xfId="2177"/>
    <cellStyle name="40% - Accent4 6 2 2 3 2" xfId="4473"/>
    <cellStyle name="40% - Accent4 6 2 2 3 2 2" xfId="27248"/>
    <cellStyle name="40% - Accent4 6 2 2 3 3" xfId="24952"/>
    <cellStyle name="40% - Accent4 6 2 2 30" xfId="21529"/>
    <cellStyle name="40% - Accent4 6 2 2 30 2" xfId="44304"/>
    <cellStyle name="40% - Accent4 6 2 2 31" xfId="22185"/>
    <cellStyle name="40% - Accent4 6 2 2 31 2" xfId="44960"/>
    <cellStyle name="40% - Accent4 6 2 2 32" xfId="22841"/>
    <cellStyle name="40% - Accent4 6 2 2 32 2" xfId="45616"/>
    <cellStyle name="40% - Accent4 6 2 2 33" xfId="23640"/>
    <cellStyle name="40% - Accent4 6 2 2 4" xfId="5129"/>
    <cellStyle name="40% - Accent4 6 2 2 4 2" xfId="27904"/>
    <cellStyle name="40% - Accent4 6 2 2 5" xfId="5785"/>
    <cellStyle name="40% - Accent4 6 2 2 5 2" xfId="28560"/>
    <cellStyle name="40% - Accent4 6 2 2 6" xfId="6441"/>
    <cellStyle name="40% - Accent4 6 2 2 6 2" xfId="29216"/>
    <cellStyle name="40% - Accent4 6 2 2 7" xfId="3161"/>
    <cellStyle name="40% - Accent4 6 2 2 7 2" xfId="25936"/>
    <cellStyle name="40% - Accent4 6 2 2 8" xfId="7097"/>
    <cellStyle name="40% - Accent4 6 2 2 8 2" xfId="29872"/>
    <cellStyle name="40% - Accent4 6 2 2 9" xfId="7753"/>
    <cellStyle name="40% - Accent4 6 2 2 9 2" xfId="30528"/>
    <cellStyle name="40% - Accent4 6 2 20" xfId="13329"/>
    <cellStyle name="40% - Accent4 6 2 20 2" xfId="36104"/>
    <cellStyle name="40% - Accent4 6 2 21" xfId="13985"/>
    <cellStyle name="40% - Accent4 6 2 21 2" xfId="36760"/>
    <cellStyle name="40% - Accent4 6 2 22" xfId="14641"/>
    <cellStyle name="40% - Accent4 6 2 22 2" xfId="37416"/>
    <cellStyle name="40% - Accent4 6 2 23" xfId="15297"/>
    <cellStyle name="40% - Accent4 6 2 23 2" xfId="38072"/>
    <cellStyle name="40% - Accent4 6 2 24" xfId="15953"/>
    <cellStyle name="40% - Accent4 6 2 24 2" xfId="38728"/>
    <cellStyle name="40% - Accent4 6 2 25" xfId="16609"/>
    <cellStyle name="40% - Accent4 6 2 25 2" xfId="39384"/>
    <cellStyle name="40% - Accent4 6 2 26" xfId="17265"/>
    <cellStyle name="40% - Accent4 6 2 26 2" xfId="40040"/>
    <cellStyle name="40% - Accent4 6 2 27" xfId="17921"/>
    <cellStyle name="40% - Accent4 6 2 27 2" xfId="40696"/>
    <cellStyle name="40% - Accent4 6 2 28" xfId="18577"/>
    <cellStyle name="40% - Accent4 6 2 28 2" xfId="41352"/>
    <cellStyle name="40% - Accent4 6 2 29" xfId="19233"/>
    <cellStyle name="40% - Accent4 6 2 29 2" xfId="42008"/>
    <cellStyle name="40% - Accent4 6 2 3" xfId="1193"/>
    <cellStyle name="40% - Accent4 6 2 3 2" xfId="2833"/>
    <cellStyle name="40% - Accent4 6 2 3 2 2" xfId="25608"/>
    <cellStyle name="40% - Accent4 6 2 3 3" xfId="23968"/>
    <cellStyle name="40% - Accent4 6 2 30" xfId="19889"/>
    <cellStyle name="40% - Accent4 6 2 30 2" xfId="42664"/>
    <cellStyle name="40% - Accent4 6 2 31" xfId="20545"/>
    <cellStyle name="40% - Accent4 6 2 31 2" xfId="43320"/>
    <cellStyle name="40% - Accent4 6 2 32" xfId="21201"/>
    <cellStyle name="40% - Accent4 6 2 32 2" xfId="43976"/>
    <cellStyle name="40% - Accent4 6 2 33" xfId="21857"/>
    <cellStyle name="40% - Accent4 6 2 33 2" xfId="44632"/>
    <cellStyle name="40% - Accent4 6 2 34" xfId="22513"/>
    <cellStyle name="40% - Accent4 6 2 34 2" xfId="45288"/>
    <cellStyle name="40% - Accent4 6 2 35" xfId="23312"/>
    <cellStyle name="40% - Accent4 6 2 4" xfId="1849"/>
    <cellStyle name="40% - Accent4 6 2 4 2" xfId="3489"/>
    <cellStyle name="40% - Accent4 6 2 4 2 2" xfId="26264"/>
    <cellStyle name="40% - Accent4 6 2 4 3" xfId="24624"/>
    <cellStyle name="40% - Accent4 6 2 5" xfId="4145"/>
    <cellStyle name="40% - Accent4 6 2 5 2" xfId="26920"/>
    <cellStyle name="40% - Accent4 6 2 6" xfId="4801"/>
    <cellStyle name="40% - Accent4 6 2 6 2" xfId="27576"/>
    <cellStyle name="40% - Accent4 6 2 7" xfId="5457"/>
    <cellStyle name="40% - Accent4 6 2 7 2" xfId="28232"/>
    <cellStyle name="40% - Accent4 6 2 8" xfId="6113"/>
    <cellStyle name="40% - Accent4 6 2 8 2" xfId="28888"/>
    <cellStyle name="40% - Accent4 6 2 9" xfId="2505"/>
    <cellStyle name="40% - Accent4 6 2 9 2" xfId="25280"/>
    <cellStyle name="40% - Accent4 6 20" xfId="12488"/>
    <cellStyle name="40% - Accent4 6 20 2" xfId="35263"/>
    <cellStyle name="40% - Accent4 6 21" xfId="13144"/>
    <cellStyle name="40% - Accent4 6 21 2" xfId="35919"/>
    <cellStyle name="40% - Accent4 6 22" xfId="13800"/>
    <cellStyle name="40% - Accent4 6 22 2" xfId="36575"/>
    <cellStyle name="40% - Accent4 6 23" xfId="14456"/>
    <cellStyle name="40% - Accent4 6 23 2" xfId="37231"/>
    <cellStyle name="40% - Accent4 6 24" xfId="15112"/>
    <cellStyle name="40% - Accent4 6 24 2" xfId="37887"/>
    <cellStyle name="40% - Accent4 6 25" xfId="15768"/>
    <cellStyle name="40% - Accent4 6 25 2" xfId="38543"/>
    <cellStyle name="40% - Accent4 6 26" xfId="16424"/>
    <cellStyle name="40% - Accent4 6 26 2" xfId="39199"/>
    <cellStyle name="40% - Accent4 6 27" xfId="17080"/>
    <cellStyle name="40% - Accent4 6 27 2" xfId="39855"/>
    <cellStyle name="40% - Accent4 6 28" xfId="17736"/>
    <cellStyle name="40% - Accent4 6 28 2" xfId="40511"/>
    <cellStyle name="40% - Accent4 6 29" xfId="18392"/>
    <cellStyle name="40% - Accent4 6 29 2" xfId="41167"/>
    <cellStyle name="40% - Accent4 6 3" xfId="680"/>
    <cellStyle name="40% - Accent4 6 3 10" xfId="8224"/>
    <cellStyle name="40% - Accent4 6 3 10 2" xfId="30999"/>
    <cellStyle name="40% - Accent4 6 3 11" xfId="8880"/>
    <cellStyle name="40% - Accent4 6 3 11 2" xfId="31655"/>
    <cellStyle name="40% - Accent4 6 3 12" xfId="9536"/>
    <cellStyle name="40% - Accent4 6 3 12 2" xfId="32311"/>
    <cellStyle name="40% - Accent4 6 3 13" xfId="10192"/>
    <cellStyle name="40% - Accent4 6 3 13 2" xfId="32967"/>
    <cellStyle name="40% - Accent4 6 3 14" xfId="10848"/>
    <cellStyle name="40% - Accent4 6 3 14 2" xfId="33623"/>
    <cellStyle name="40% - Accent4 6 3 15" xfId="11504"/>
    <cellStyle name="40% - Accent4 6 3 15 2" xfId="34279"/>
    <cellStyle name="40% - Accent4 6 3 16" xfId="12160"/>
    <cellStyle name="40% - Accent4 6 3 16 2" xfId="34935"/>
    <cellStyle name="40% - Accent4 6 3 17" xfId="12816"/>
    <cellStyle name="40% - Accent4 6 3 17 2" xfId="35591"/>
    <cellStyle name="40% - Accent4 6 3 18" xfId="13472"/>
    <cellStyle name="40% - Accent4 6 3 18 2" xfId="36247"/>
    <cellStyle name="40% - Accent4 6 3 19" xfId="14128"/>
    <cellStyle name="40% - Accent4 6 3 19 2" xfId="36903"/>
    <cellStyle name="40% - Accent4 6 3 2" xfId="1336"/>
    <cellStyle name="40% - Accent4 6 3 2 2" xfId="3632"/>
    <cellStyle name="40% - Accent4 6 3 2 2 2" xfId="26407"/>
    <cellStyle name="40% - Accent4 6 3 2 3" xfId="24111"/>
    <cellStyle name="40% - Accent4 6 3 20" xfId="14784"/>
    <cellStyle name="40% - Accent4 6 3 20 2" xfId="37559"/>
    <cellStyle name="40% - Accent4 6 3 21" xfId="15440"/>
    <cellStyle name="40% - Accent4 6 3 21 2" xfId="38215"/>
    <cellStyle name="40% - Accent4 6 3 22" xfId="16096"/>
    <cellStyle name="40% - Accent4 6 3 22 2" xfId="38871"/>
    <cellStyle name="40% - Accent4 6 3 23" xfId="16752"/>
    <cellStyle name="40% - Accent4 6 3 23 2" xfId="39527"/>
    <cellStyle name="40% - Accent4 6 3 24" xfId="17408"/>
    <cellStyle name="40% - Accent4 6 3 24 2" xfId="40183"/>
    <cellStyle name="40% - Accent4 6 3 25" xfId="18064"/>
    <cellStyle name="40% - Accent4 6 3 25 2" xfId="40839"/>
    <cellStyle name="40% - Accent4 6 3 26" xfId="18720"/>
    <cellStyle name="40% - Accent4 6 3 26 2" xfId="41495"/>
    <cellStyle name="40% - Accent4 6 3 27" xfId="19376"/>
    <cellStyle name="40% - Accent4 6 3 27 2" xfId="42151"/>
    <cellStyle name="40% - Accent4 6 3 28" xfId="20032"/>
    <cellStyle name="40% - Accent4 6 3 28 2" xfId="42807"/>
    <cellStyle name="40% - Accent4 6 3 29" xfId="20688"/>
    <cellStyle name="40% - Accent4 6 3 29 2" xfId="43463"/>
    <cellStyle name="40% - Accent4 6 3 3" xfId="1992"/>
    <cellStyle name="40% - Accent4 6 3 3 2" xfId="4288"/>
    <cellStyle name="40% - Accent4 6 3 3 2 2" xfId="27063"/>
    <cellStyle name="40% - Accent4 6 3 3 3" xfId="24767"/>
    <cellStyle name="40% - Accent4 6 3 30" xfId="21344"/>
    <cellStyle name="40% - Accent4 6 3 30 2" xfId="44119"/>
    <cellStyle name="40% - Accent4 6 3 31" xfId="22000"/>
    <cellStyle name="40% - Accent4 6 3 31 2" xfId="44775"/>
    <cellStyle name="40% - Accent4 6 3 32" xfId="22656"/>
    <cellStyle name="40% - Accent4 6 3 32 2" xfId="45431"/>
    <cellStyle name="40% - Accent4 6 3 33" xfId="23455"/>
    <cellStyle name="40% - Accent4 6 3 4" xfId="4944"/>
    <cellStyle name="40% - Accent4 6 3 4 2" xfId="27719"/>
    <cellStyle name="40% - Accent4 6 3 5" xfId="5600"/>
    <cellStyle name="40% - Accent4 6 3 5 2" xfId="28375"/>
    <cellStyle name="40% - Accent4 6 3 6" xfId="6256"/>
    <cellStyle name="40% - Accent4 6 3 6 2" xfId="29031"/>
    <cellStyle name="40% - Accent4 6 3 7" xfId="2976"/>
    <cellStyle name="40% - Accent4 6 3 7 2" xfId="25751"/>
    <cellStyle name="40% - Accent4 6 3 8" xfId="6912"/>
    <cellStyle name="40% - Accent4 6 3 8 2" xfId="29687"/>
    <cellStyle name="40% - Accent4 6 3 9" xfId="7568"/>
    <cellStyle name="40% - Accent4 6 3 9 2" xfId="30343"/>
    <cellStyle name="40% - Accent4 6 30" xfId="19048"/>
    <cellStyle name="40% - Accent4 6 30 2" xfId="41823"/>
    <cellStyle name="40% - Accent4 6 31" xfId="19704"/>
    <cellStyle name="40% - Accent4 6 31 2" xfId="42479"/>
    <cellStyle name="40% - Accent4 6 32" xfId="20360"/>
    <cellStyle name="40% - Accent4 6 32 2" xfId="43135"/>
    <cellStyle name="40% - Accent4 6 33" xfId="21016"/>
    <cellStyle name="40% - Accent4 6 33 2" xfId="43791"/>
    <cellStyle name="40% - Accent4 6 34" xfId="21672"/>
    <cellStyle name="40% - Accent4 6 34 2" xfId="44447"/>
    <cellStyle name="40% - Accent4 6 35" xfId="22328"/>
    <cellStyle name="40% - Accent4 6 35 2" xfId="45103"/>
    <cellStyle name="40% - Accent4 6 36" xfId="267"/>
    <cellStyle name="40% - Accent4 6 37" xfId="22984"/>
    <cellStyle name="40% - Accent4 6 4" xfId="353"/>
    <cellStyle name="40% - Accent4 6 4 2" xfId="2648"/>
    <cellStyle name="40% - Accent4 6 4 2 2" xfId="25423"/>
    <cellStyle name="40% - Accent4 6 4 3" xfId="23127"/>
    <cellStyle name="40% - Accent4 6 5" xfId="1008"/>
    <cellStyle name="40% - Accent4 6 5 2" xfId="3304"/>
    <cellStyle name="40% - Accent4 6 5 2 2" xfId="26079"/>
    <cellStyle name="40% - Accent4 6 5 3" xfId="23783"/>
    <cellStyle name="40% - Accent4 6 6" xfId="1664"/>
    <cellStyle name="40% - Accent4 6 6 2" xfId="3960"/>
    <cellStyle name="40% - Accent4 6 6 2 2" xfId="26735"/>
    <cellStyle name="40% - Accent4 6 6 3" xfId="24439"/>
    <cellStyle name="40% - Accent4 6 7" xfId="4616"/>
    <cellStyle name="40% - Accent4 6 7 2" xfId="27391"/>
    <cellStyle name="40% - Accent4 6 8" xfId="5272"/>
    <cellStyle name="40% - Accent4 6 8 2" xfId="28047"/>
    <cellStyle name="40% - Accent4 6 9" xfId="5928"/>
    <cellStyle name="40% - Accent4 6 9 2" xfId="28703"/>
    <cellStyle name="40% - Accent4 7" xfId="426"/>
    <cellStyle name="40% - Accent4 7 10" xfId="6657"/>
    <cellStyle name="40% - Accent4 7 10 2" xfId="29432"/>
    <cellStyle name="40% - Accent4 7 11" xfId="7313"/>
    <cellStyle name="40% - Accent4 7 11 2" xfId="30088"/>
    <cellStyle name="40% - Accent4 7 12" xfId="7969"/>
    <cellStyle name="40% - Accent4 7 12 2" xfId="30744"/>
    <cellStyle name="40% - Accent4 7 13" xfId="8625"/>
    <cellStyle name="40% - Accent4 7 13 2" xfId="31400"/>
    <cellStyle name="40% - Accent4 7 14" xfId="9281"/>
    <cellStyle name="40% - Accent4 7 14 2" xfId="32056"/>
    <cellStyle name="40% - Accent4 7 15" xfId="9937"/>
    <cellStyle name="40% - Accent4 7 15 2" xfId="32712"/>
    <cellStyle name="40% - Accent4 7 16" xfId="10593"/>
    <cellStyle name="40% - Accent4 7 16 2" xfId="33368"/>
    <cellStyle name="40% - Accent4 7 17" xfId="11249"/>
    <cellStyle name="40% - Accent4 7 17 2" xfId="34024"/>
    <cellStyle name="40% - Accent4 7 18" xfId="11905"/>
    <cellStyle name="40% - Accent4 7 18 2" xfId="34680"/>
    <cellStyle name="40% - Accent4 7 19" xfId="12561"/>
    <cellStyle name="40% - Accent4 7 19 2" xfId="35336"/>
    <cellStyle name="40% - Accent4 7 2" xfId="753"/>
    <cellStyle name="40% - Accent4 7 2 10" xfId="8297"/>
    <cellStyle name="40% - Accent4 7 2 10 2" xfId="31072"/>
    <cellStyle name="40% - Accent4 7 2 11" xfId="8953"/>
    <cellStyle name="40% - Accent4 7 2 11 2" xfId="31728"/>
    <cellStyle name="40% - Accent4 7 2 12" xfId="9609"/>
    <cellStyle name="40% - Accent4 7 2 12 2" xfId="32384"/>
    <cellStyle name="40% - Accent4 7 2 13" xfId="10265"/>
    <cellStyle name="40% - Accent4 7 2 13 2" xfId="33040"/>
    <cellStyle name="40% - Accent4 7 2 14" xfId="10921"/>
    <cellStyle name="40% - Accent4 7 2 14 2" xfId="33696"/>
    <cellStyle name="40% - Accent4 7 2 15" xfId="11577"/>
    <cellStyle name="40% - Accent4 7 2 15 2" xfId="34352"/>
    <cellStyle name="40% - Accent4 7 2 16" xfId="12233"/>
    <cellStyle name="40% - Accent4 7 2 16 2" xfId="35008"/>
    <cellStyle name="40% - Accent4 7 2 17" xfId="12889"/>
    <cellStyle name="40% - Accent4 7 2 17 2" xfId="35664"/>
    <cellStyle name="40% - Accent4 7 2 18" xfId="13545"/>
    <cellStyle name="40% - Accent4 7 2 18 2" xfId="36320"/>
    <cellStyle name="40% - Accent4 7 2 19" xfId="14201"/>
    <cellStyle name="40% - Accent4 7 2 19 2" xfId="36976"/>
    <cellStyle name="40% - Accent4 7 2 2" xfId="1409"/>
    <cellStyle name="40% - Accent4 7 2 2 2" xfId="3705"/>
    <cellStyle name="40% - Accent4 7 2 2 2 2" xfId="26480"/>
    <cellStyle name="40% - Accent4 7 2 2 3" xfId="24184"/>
    <cellStyle name="40% - Accent4 7 2 20" xfId="14857"/>
    <cellStyle name="40% - Accent4 7 2 20 2" xfId="37632"/>
    <cellStyle name="40% - Accent4 7 2 21" xfId="15513"/>
    <cellStyle name="40% - Accent4 7 2 21 2" xfId="38288"/>
    <cellStyle name="40% - Accent4 7 2 22" xfId="16169"/>
    <cellStyle name="40% - Accent4 7 2 22 2" xfId="38944"/>
    <cellStyle name="40% - Accent4 7 2 23" xfId="16825"/>
    <cellStyle name="40% - Accent4 7 2 23 2" xfId="39600"/>
    <cellStyle name="40% - Accent4 7 2 24" xfId="17481"/>
    <cellStyle name="40% - Accent4 7 2 24 2" xfId="40256"/>
    <cellStyle name="40% - Accent4 7 2 25" xfId="18137"/>
    <cellStyle name="40% - Accent4 7 2 25 2" xfId="40912"/>
    <cellStyle name="40% - Accent4 7 2 26" xfId="18793"/>
    <cellStyle name="40% - Accent4 7 2 26 2" xfId="41568"/>
    <cellStyle name="40% - Accent4 7 2 27" xfId="19449"/>
    <cellStyle name="40% - Accent4 7 2 27 2" xfId="42224"/>
    <cellStyle name="40% - Accent4 7 2 28" xfId="20105"/>
    <cellStyle name="40% - Accent4 7 2 28 2" xfId="42880"/>
    <cellStyle name="40% - Accent4 7 2 29" xfId="20761"/>
    <cellStyle name="40% - Accent4 7 2 29 2" xfId="43536"/>
    <cellStyle name="40% - Accent4 7 2 3" xfId="2065"/>
    <cellStyle name="40% - Accent4 7 2 3 2" xfId="4361"/>
    <cellStyle name="40% - Accent4 7 2 3 2 2" xfId="27136"/>
    <cellStyle name="40% - Accent4 7 2 3 3" xfId="24840"/>
    <cellStyle name="40% - Accent4 7 2 30" xfId="21417"/>
    <cellStyle name="40% - Accent4 7 2 30 2" xfId="44192"/>
    <cellStyle name="40% - Accent4 7 2 31" xfId="22073"/>
    <cellStyle name="40% - Accent4 7 2 31 2" xfId="44848"/>
    <cellStyle name="40% - Accent4 7 2 32" xfId="22729"/>
    <cellStyle name="40% - Accent4 7 2 32 2" xfId="45504"/>
    <cellStyle name="40% - Accent4 7 2 33" xfId="23528"/>
    <cellStyle name="40% - Accent4 7 2 4" xfId="5017"/>
    <cellStyle name="40% - Accent4 7 2 4 2" xfId="27792"/>
    <cellStyle name="40% - Accent4 7 2 5" xfId="5673"/>
    <cellStyle name="40% - Accent4 7 2 5 2" xfId="28448"/>
    <cellStyle name="40% - Accent4 7 2 6" xfId="6329"/>
    <cellStyle name="40% - Accent4 7 2 6 2" xfId="29104"/>
    <cellStyle name="40% - Accent4 7 2 7" xfId="3049"/>
    <cellStyle name="40% - Accent4 7 2 7 2" xfId="25824"/>
    <cellStyle name="40% - Accent4 7 2 8" xfId="6985"/>
    <cellStyle name="40% - Accent4 7 2 8 2" xfId="29760"/>
    <cellStyle name="40% - Accent4 7 2 9" xfId="7641"/>
    <cellStyle name="40% - Accent4 7 2 9 2" xfId="30416"/>
    <cellStyle name="40% - Accent4 7 20" xfId="13217"/>
    <cellStyle name="40% - Accent4 7 20 2" xfId="35992"/>
    <cellStyle name="40% - Accent4 7 21" xfId="13873"/>
    <cellStyle name="40% - Accent4 7 21 2" xfId="36648"/>
    <cellStyle name="40% - Accent4 7 22" xfId="14529"/>
    <cellStyle name="40% - Accent4 7 22 2" xfId="37304"/>
    <cellStyle name="40% - Accent4 7 23" xfId="15185"/>
    <cellStyle name="40% - Accent4 7 23 2" xfId="37960"/>
    <cellStyle name="40% - Accent4 7 24" xfId="15841"/>
    <cellStyle name="40% - Accent4 7 24 2" xfId="38616"/>
    <cellStyle name="40% - Accent4 7 25" xfId="16497"/>
    <cellStyle name="40% - Accent4 7 25 2" xfId="39272"/>
    <cellStyle name="40% - Accent4 7 26" xfId="17153"/>
    <cellStyle name="40% - Accent4 7 26 2" xfId="39928"/>
    <cellStyle name="40% - Accent4 7 27" xfId="17809"/>
    <cellStyle name="40% - Accent4 7 27 2" xfId="40584"/>
    <cellStyle name="40% - Accent4 7 28" xfId="18465"/>
    <cellStyle name="40% - Accent4 7 28 2" xfId="41240"/>
    <cellStyle name="40% - Accent4 7 29" xfId="19121"/>
    <cellStyle name="40% - Accent4 7 29 2" xfId="41896"/>
    <cellStyle name="40% - Accent4 7 3" xfId="1081"/>
    <cellStyle name="40% - Accent4 7 3 2" xfId="2721"/>
    <cellStyle name="40% - Accent4 7 3 2 2" xfId="25496"/>
    <cellStyle name="40% - Accent4 7 3 3" xfId="23856"/>
    <cellStyle name="40% - Accent4 7 30" xfId="19777"/>
    <cellStyle name="40% - Accent4 7 30 2" xfId="42552"/>
    <cellStyle name="40% - Accent4 7 31" xfId="20433"/>
    <cellStyle name="40% - Accent4 7 31 2" xfId="43208"/>
    <cellStyle name="40% - Accent4 7 32" xfId="21089"/>
    <cellStyle name="40% - Accent4 7 32 2" xfId="43864"/>
    <cellStyle name="40% - Accent4 7 33" xfId="21745"/>
    <cellStyle name="40% - Accent4 7 33 2" xfId="44520"/>
    <cellStyle name="40% - Accent4 7 34" xfId="22401"/>
    <cellStyle name="40% - Accent4 7 34 2" xfId="45176"/>
    <cellStyle name="40% - Accent4 7 35" xfId="23200"/>
    <cellStyle name="40% - Accent4 7 4" xfId="1737"/>
    <cellStyle name="40% - Accent4 7 4 2" xfId="3377"/>
    <cellStyle name="40% - Accent4 7 4 2 2" xfId="26152"/>
    <cellStyle name="40% - Accent4 7 4 3" xfId="24512"/>
    <cellStyle name="40% - Accent4 7 5" xfId="4033"/>
    <cellStyle name="40% - Accent4 7 5 2" xfId="26808"/>
    <cellStyle name="40% - Accent4 7 6" xfId="4689"/>
    <cellStyle name="40% - Accent4 7 6 2" xfId="27464"/>
    <cellStyle name="40% - Accent4 7 7" xfId="5345"/>
    <cellStyle name="40% - Accent4 7 7 2" xfId="28120"/>
    <cellStyle name="40% - Accent4 7 8" xfId="6001"/>
    <cellStyle name="40% - Accent4 7 8 2" xfId="28776"/>
    <cellStyle name="40% - Accent4 7 9" xfId="2393"/>
    <cellStyle name="40% - Accent4 7 9 2" xfId="25168"/>
    <cellStyle name="40% - Accent4 8" xfId="440"/>
    <cellStyle name="40% - Accent4 8 10" xfId="6671"/>
    <cellStyle name="40% - Accent4 8 10 2" xfId="29446"/>
    <cellStyle name="40% - Accent4 8 11" xfId="7327"/>
    <cellStyle name="40% - Accent4 8 11 2" xfId="30102"/>
    <cellStyle name="40% - Accent4 8 12" xfId="7983"/>
    <cellStyle name="40% - Accent4 8 12 2" xfId="30758"/>
    <cellStyle name="40% - Accent4 8 13" xfId="8639"/>
    <cellStyle name="40% - Accent4 8 13 2" xfId="31414"/>
    <cellStyle name="40% - Accent4 8 14" xfId="9295"/>
    <cellStyle name="40% - Accent4 8 14 2" xfId="32070"/>
    <cellStyle name="40% - Accent4 8 15" xfId="9951"/>
    <cellStyle name="40% - Accent4 8 15 2" xfId="32726"/>
    <cellStyle name="40% - Accent4 8 16" xfId="10607"/>
    <cellStyle name="40% - Accent4 8 16 2" xfId="33382"/>
    <cellStyle name="40% - Accent4 8 17" xfId="11263"/>
    <cellStyle name="40% - Accent4 8 17 2" xfId="34038"/>
    <cellStyle name="40% - Accent4 8 18" xfId="11919"/>
    <cellStyle name="40% - Accent4 8 18 2" xfId="34694"/>
    <cellStyle name="40% - Accent4 8 19" xfId="12575"/>
    <cellStyle name="40% - Accent4 8 19 2" xfId="35350"/>
    <cellStyle name="40% - Accent4 8 2" xfId="767"/>
    <cellStyle name="40% - Accent4 8 2 10" xfId="8311"/>
    <cellStyle name="40% - Accent4 8 2 10 2" xfId="31086"/>
    <cellStyle name="40% - Accent4 8 2 11" xfId="8967"/>
    <cellStyle name="40% - Accent4 8 2 11 2" xfId="31742"/>
    <cellStyle name="40% - Accent4 8 2 12" xfId="9623"/>
    <cellStyle name="40% - Accent4 8 2 12 2" xfId="32398"/>
    <cellStyle name="40% - Accent4 8 2 13" xfId="10279"/>
    <cellStyle name="40% - Accent4 8 2 13 2" xfId="33054"/>
    <cellStyle name="40% - Accent4 8 2 14" xfId="10935"/>
    <cellStyle name="40% - Accent4 8 2 14 2" xfId="33710"/>
    <cellStyle name="40% - Accent4 8 2 15" xfId="11591"/>
    <cellStyle name="40% - Accent4 8 2 15 2" xfId="34366"/>
    <cellStyle name="40% - Accent4 8 2 16" xfId="12247"/>
    <cellStyle name="40% - Accent4 8 2 16 2" xfId="35022"/>
    <cellStyle name="40% - Accent4 8 2 17" xfId="12903"/>
    <cellStyle name="40% - Accent4 8 2 17 2" xfId="35678"/>
    <cellStyle name="40% - Accent4 8 2 18" xfId="13559"/>
    <cellStyle name="40% - Accent4 8 2 18 2" xfId="36334"/>
    <cellStyle name="40% - Accent4 8 2 19" xfId="14215"/>
    <cellStyle name="40% - Accent4 8 2 19 2" xfId="36990"/>
    <cellStyle name="40% - Accent4 8 2 2" xfId="1423"/>
    <cellStyle name="40% - Accent4 8 2 2 2" xfId="3719"/>
    <cellStyle name="40% - Accent4 8 2 2 2 2" xfId="26494"/>
    <cellStyle name="40% - Accent4 8 2 2 3" xfId="24198"/>
    <cellStyle name="40% - Accent4 8 2 20" xfId="14871"/>
    <cellStyle name="40% - Accent4 8 2 20 2" xfId="37646"/>
    <cellStyle name="40% - Accent4 8 2 21" xfId="15527"/>
    <cellStyle name="40% - Accent4 8 2 21 2" xfId="38302"/>
    <cellStyle name="40% - Accent4 8 2 22" xfId="16183"/>
    <cellStyle name="40% - Accent4 8 2 22 2" xfId="38958"/>
    <cellStyle name="40% - Accent4 8 2 23" xfId="16839"/>
    <cellStyle name="40% - Accent4 8 2 23 2" xfId="39614"/>
    <cellStyle name="40% - Accent4 8 2 24" xfId="17495"/>
    <cellStyle name="40% - Accent4 8 2 24 2" xfId="40270"/>
    <cellStyle name="40% - Accent4 8 2 25" xfId="18151"/>
    <cellStyle name="40% - Accent4 8 2 25 2" xfId="40926"/>
    <cellStyle name="40% - Accent4 8 2 26" xfId="18807"/>
    <cellStyle name="40% - Accent4 8 2 26 2" xfId="41582"/>
    <cellStyle name="40% - Accent4 8 2 27" xfId="19463"/>
    <cellStyle name="40% - Accent4 8 2 27 2" xfId="42238"/>
    <cellStyle name="40% - Accent4 8 2 28" xfId="20119"/>
    <cellStyle name="40% - Accent4 8 2 28 2" xfId="42894"/>
    <cellStyle name="40% - Accent4 8 2 29" xfId="20775"/>
    <cellStyle name="40% - Accent4 8 2 29 2" xfId="43550"/>
    <cellStyle name="40% - Accent4 8 2 3" xfId="2079"/>
    <cellStyle name="40% - Accent4 8 2 3 2" xfId="4375"/>
    <cellStyle name="40% - Accent4 8 2 3 2 2" xfId="27150"/>
    <cellStyle name="40% - Accent4 8 2 3 3" xfId="24854"/>
    <cellStyle name="40% - Accent4 8 2 30" xfId="21431"/>
    <cellStyle name="40% - Accent4 8 2 30 2" xfId="44206"/>
    <cellStyle name="40% - Accent4 8 2 31" xfId="22087"/>
    <cellStyle name="40% - Accent4 8 2 31 2" xfId="44862"/>
    <cellStyle name="40% - Accent4 8 2 32" xfId="22743"/>
    <cellStyle name="40% - Accent4 8 2 32 2" xfId="45518"/>
    <cellStyle name="40% - Accent4 8 2 33" xfId="23542"/>
    <cellStyle name="40% - Accent4 8 2 4" xfId="5031"/>
    <cellStyle name="40% - Accent4 8 2 4 2" xfId="27806"/>
    <cellStyle name="40% - Accent4 8 2 5" xfId="5687"/>
    <cellStyle name="40% - Accent4 8 2 5 2" xfId="28462"/>
    <cellStyle name="40% - Accent4 8 2 6" xfId="6343"/>
    <cellStyle name="40% - Accent4 8 2 6 2" xfId="29118"/>
    <cellStyle name="40% - Accent4 8 2 7" xfId="3063"/>
    <cellStyle name="40% - Accent4 8 2 7 2" xfId="25838"/>
    <cellStyle name="40% - Accent4 8 2 8" xfId="6999"/>
    <cellStyle name="40% - Accent4 8 2 8 2" xfId="29774"/>
    <cellStyle name="40% - Accent4 8 2 9" xfId="7655"/>
    <cellStyle name="40% - Accent4 8 2 9 2" xfId="30430"/>
    <cellStyle name="40% - Accent4 8 20" xfId="13231"/>
    <cellStyle name="40% - Accent4 8 20 2" xfId="36006"/>
    <cellStyle name="40% - Accent4 8 21" xfId="13887"/>
    <cellStyle name="40% - Accent4 8 21 2" xfId="36662"/>
    <cellStyle name="40% - Accent4 8 22" xfId="14543"/>
    <cellStyle name="40% - Accent4 8 22 2" xfId="37318"/>
    <cellStyle name="40% - Accent4 8 23" xfId="15199"/>
    <cellStyle name="40% - Accent4 8 23 2" xfId="37974"/>
    <cellStyle name="40% - Accent4 8 24" xfId="15855"/>
    <cellStyle name="40% - Accent4 8 24 2" xfId="38630"/>
    <cellStyle name="40% - Accent4 8 25" xfId="16511"/>
    <cellStyle name="40% - Accent4 8 25 2" xfId="39286"/>
    <cellStyle name="40% - Accent4 8 26" xfId="17167"/>
    <cellStyle name="40% - Accent4 8 26 2" xfId="39942"/>
    <cellStyle name="40% - Accent4 8 27" xfId="17823"/>
    <cellStyle name="40% - Accent4 8 27 2" xfId="40598"/>
    <cellStyle name="40% - Accent4 8 28" xfId="18479"/>
    <cellStyle name="40% - Accent4 8 28 2" xfId="41254"/>
    <cellStyle name="40% - Accent4 8 29" xfId="19135"/>
    <cellStyle name="40% - Accent4 8 29 2" xfId="41910"/>
    <cellStyle name="40% - Accent4 8 3" xfId="1095"/>
    <cellStyle name="40% - Accent4 8 3 2" xfId="2735"/>
    <cellStyle name="40% - Accent4 8 3 2 2" xfId="25510"/>
    <cellStyle name="40% - Accent4 8 3 3" xfId="23870"/>
    <cellStyle name="40% - Accent4 8 30" xfId="19791"/>
    <cellStyle name="40% - Accent4 8 30 2" xfId="42566"/>
    <cellStyle name="40% - Accent4 8 31" xfId="20447"/>
    <cellStyle name="40% - Accent4 8 31 2" xfId="43222"/>
    <cellStyle name="40% - Accent4 8 32" xfId="21103"/>
    <cellStyle name="40% - Accent4 8 32 2" xfId="43878"/>
    <cellStyle name="40% - Accent4 8 33" xfId="21759"/>
    <cellStyle name="40% - Accent4 8 33 2" xfId="44534"/>
    <cellStyle name="40% - Accent4 8 34" xfId="22415"/>
    <cellStyle name="40% - Accent4 8 34 2" xfId="45190"/>
    <cellStyle name="40% - Accent4 8 35" xfId="23214"/>
    <cellStyle name="40% - Accent4 8 4" xfId="1751"/>
    <cellStyle name="40% - Accent4 8 4 2" xfId="3391"/>
    <cellStyle name="40% - Accent4 8 4 2 2" xfId="26166"/>
    <cellStyle name="40% - Accent4 8 4 3" xfId="24526"/>
    <cellStyle name="40% - Accent4 8 5" xfId="4047"/>
    <cellStyle name="40% - Accent4 8 5 2" xfId="26822"/>
    <cellStyle name="40% - Accent4 8 6" xfId="4703"/>
    <cellStyle name="40% - Accent4 8 6 2" xfId="27478"/>
    <cellStyle name="40% - Accent4 8 7" xfId="5359"/>
    <cellStyle name="40% - Accent4 8 7 2" xfId="28134"/>
    <cellStyle name="40% - Accent4 8 8" xfId="6015"/>
    <cellStyle name="40% - Accent4 8 8 2" xfId="28790"/>
    <cellStyle name="40% - Accent4 8 9" xfId="2407"/>
    <cellStyle name="40% - Accent4 8 9 2" xfId="25182"/>
    <cellStyle name="40% - Accent4 9" xfId="454"/>
    <cellStyle name="40% - Accent4 9 10" xfId="6685"/>
    <cellStyle name="40% - Accent4 9 10 2" xfId="29460"/>
    <cellStyle name="40% - Accent4 9 11" xfId="7341"/>
    <cellStyle name="40% - Accent4 9 11 2" xfId="30116"/>
    <cellStyle name="40% - Accent4 9 12" xfId="7997"/>
    <cellStyle name="40% - Accent4 9 12 2" xfId="30772"/>
    <cellStyle name="40% - Accent4 9 13" xfId="8653"/>
    <cellStyle name="40% - Accent4 9 13 2" xfId="31428"/>
    <cellStyle name="40% - Accent4 9 14" xfId="9309"/>
    <cellStyle name="40% - Accent4 9 14 2" xfId="32084"/>
    <cellStyle name="40% - Accent4 9 15" xfId="9965"/>
    <cellStyle name="40% - Accent4 9 15 2" xfId="32740"/>
    <cellStyle name="40% - Accent4 9 16" xfId="10621"/>
    <cellStyle name="40% - Accent4 9 16 2" xfId="33396"/>
    <cellStyle name="40% - Accent4 9 17" xfId="11277"/>
    <cellStyle name="40% - Accent4 9 17 2" xfId="34052"/>
    <cellStyle name="40% - Accent4 9 18" xfId="11933"/>
    <cellStyle name="40% - Accent4 9 18 2" xfId="34708"/>
    <cellStyle name="40% - Accent4 9 19" xfId="12589"/>
    <cellStyle name="40% - Accent4 9 19 2" xfId="35364"/>
    <cellStyle name="40% - Accent4 9 2" xfId="781"/>
    <cellStyle name="40% - Accent4 9 2 10" xfId="8325"/>
    <cellStyle name="40% - Accent4 9 2 10 2" xfId="31100"/>
    <cellStyle name="40% - Accent4 9 2 11" xfId="8981"/>
    <cellStyle name="40% - Accent4 9 2 11 2" xfId="31756"/>
    <cellStyle name="40% - Accent4 9 2 12" xfId="9637"/>
    <cellStyle name="40% - Accent4 9 2 12 2" xfId="32412"/>
    <cellStyle name="40% - Accent4 9 2 13" xfId="10293"/>
    <cellStyle name="40% - Accent4 9 2 13 2" xfId="33068"/>
    <cellStyle name="40% - Accent4 9 2 14" xfId="10949"/>
    <cellStyle name="40% - Accent4 9 2 14 2" xfId="33724"/>
    <cellStyle name="40% - Accent4 9 2 15" xfId="11605"/>
    <cellStyle name="40% - Accent4 9 2 15 2" xfId="34380"/>
    <cellStyle name="40% - Accent4 9 2 16" xfId="12261"/>
    <cellStyle name="40% - Accent4 9 2 16 2" xfId="35036"/>
    <cellStyle name="40% - Accent4 9 2 17" xfId="12917"/>
    <cellStyle name="40% - Accent4 9 2 17 2" xfId="35692"/>
    <cellStyle name="40% - Accent4 9 2 18" xfId="13573"/>
    <cellStyle name="40% - Accent4 9 2 18 2" xfId="36348"/>
    <cellStyle name="40% - Accent4 9 2 19" xfId="14229"/>
    <cellStyle name="40% - Accent4 9 2 19 2" xfId="37004"/>
    <cellStyle name="40% - Accent4 9 2 2" xfId="1437"/>
    <cellStyle name="40% - Accent4 9 2 2 2" xfId="3733"/>
    <cellStyle name="40% - Accent4 9 2 2 2 2" xfId="26508"/>
    <cellStyle name="40% - Accent4 9 2 2 3" xfId="24212"/>
    <cellStyle name="40% - Accent4 9 2 20" xfId="14885"/>
    <cellStyle name="40% - Accent4 9 2 20 2" xfId="37660"/>
    <cellStyle name="40% - Accent4 9 2 21" xfId="15541"/>
    <cellStyle name="40% - Accent4 9 2 21 2" xfId="38316"/>
    <cellStyle name="40% - Accent4 9 2 22" xfId="16197"/>
    <cellStyle name="40% - Accent4 9 2 22 2" xfId="38972"/>
    <cellStyle name="40% - Accent4 9 2 23" xfId="16853"/>
    <cellStyle name="40% - Accent4 9 2 23 2" xfId="39628"/>
    <cellStyle name="40% - Accent4 9 2 24" xfId="17509"/>
    <cellStyle name="40% - Accent4 9 2 24 2" xfId="40284"/>
    <cellStyle name="40% - Accent4 9 2 25" xfId="18165"/>
    <cellStyle name="40% - Accent4 9 2 25 2" xfId="40940"/>
    <cellStyle name="40% - Accent4 9 2 26" xfId="18821"/>
    <cellStyle name="40% - Accent4 9 2 26 2" xfId="41596"/>
    <cellStyle name="40% - Accent4 9 2 27" xfId="19477"/>
    <cellStyle name="40% - Accent4 9 2 27 2" xfId="42252"/>
    <cellStyle name="40% - Accent4 9 2 28" xfId="20133"/>
    <cellStyle name="40% - Accent4 9 2 28 2" xfId="42908"/>
    <cellStyle name="40% - Accent4 9 2 29" xfId="20789"/>
    <cellStyle name="40% - Accent4 9 2 29 2" xfId="43564"/>
    <cellStyle name="40% - Accent4 9 2 3" xfId="2093"/>
    <cellStyle name="40% - Accent4 9 2 3 2" xfId="4389"/>
    <cellStyle name="40% - Accent4 9 2 3 2 2" xfId="27164"/>
    <cellStyle name="40% - Accent4 9 2 3 3" xfId="24868"/>
    <cellStyle name="40% - Accent4 9 2 30" xfId="21445"/>
    <cellStyle name="40% - Accent4 9 2 30 2" xfId="44220"/>
    <cellStyle name="40% - Accent4 9 2 31" xfId="22101"/>
    <cellStyle name="40% - Accent4 9 2 31 2" xfId="44876"/>
    <cellStyle name="40% - Accent4 9 2 32" xfId="22757"/>
    <cellStyle name="40% - Accent4 9 2 32 2" xfId="45532"/>
    <cellStyle name="40% - Accent4 9 2 33" xfId="23556"/>
    <cellStyle name="40% - Accent4 9 2 4" xfId="5045"/>
    <cellStyle name="40% - Accent4 9 2 4 2" xfId="27820"/>
    <cellStyle name="40% - Accent4 9 2 5" xfId="5701"/>
    <cellStyle name="40% - Accent4 9 2 5 2" xfId="28476"/>
    <cellStyle name="40% - Accent4 9 2 6" xfId="6357"/>
    <cellStyle name="40% - Accent4 9 2 6 2" xfId="29132"/>
    <cellStyle name="40% - Accent4 9 2 7" xfId="3077"/>
    <cellStyle name="40% - Accent4 9 2 7 2" xfId="25852"/>
    <cellStyle name="40% - Accent4 9 2 8" xfId="7013"/>
    <cellStyle name="40% - Accent4 9 2 8 2" xfId="29788"/>
    <cellStyle name="40% - Accent4 9 2 9" xfId="7669"/>
    <cellStyle name="40% - Accent4 9 2 9 2" xfId="30444"/>
    <cellStyle name="40% - Accent4 9 20" xfId="13245"/>
    <cellStyle name="40% - Accent4 9 20 2" xfId="36020"/>
    <cellStyle name="40% - Accent4 9 21" xfId="13901"/>
    <cellStyle name="40% - Accent4 9 21 2" xfId="36676"/>
    <cellStyle name="40% - Accent4 9 22" xfId="14557"/>
    <cellStyle name="40% - Accent4 9 22 2" xfId="37332"/>
    <cellStyle name="40% - Accent4 9 23" xfId="15213"/>
    <cellStyle name="40% - Accent4 9 23 2" xfId="37988"/>
    <cellStyle name="40% - Accent4 9 24" xfId="15869"/>
    <cellStyle name="40% - Accent4 9 24 2" xfId="38644"/>
    <cellStyle name="40% - Accent4 9 25" xfId="16525"/>
    <cellStyle name="40% - Accent4 9 25 2" xfId="39300"/>
    <cellStyle name="40% - Accent4 9 26" xfId="17181"/>
    <cellStyle name="40% - Accent4 9 26 2" xfId="39956"/>
    <cellStyle name="40% - Accent4 9 27" xfId="17837"/>
    <cellStyle name="40% - Accent4 9 27 2" xfId="40612"/>
    <cellStyle name="40% - Accent4 9 28" xfId="18493"/>
    <cellStyle name="40% - Accent4 9 28 2" xfId="41268"/>
    <cellStyle name="40% - Accent4 9 29" xfId="19149"/>
    <cellStyle name="40% - Accent4 9 29 2" xfId="41924"/>
    <cellStyle name="40% - Accent4 9 3" xfId="1109"/>
    <cellStyle name="40% - Accent4 9 3 2" xfId="2749"/>
    <cellStyle name="40% - Accent4 9 3 2 2" xfId="25524"/>
    <cellStyle name="40% - Accent4 9 3 3" xfId="23884"/>
    <cellStyle name="40% - Accent4 9 30" xfId="19805"/>
    <cellStyle name="40% - Accent4 9 30 2" xfId="42580"/>
    <cellStyle name="40% - Accent4 9 31" xfId="20461"/>
    <cellStyle name="40% - Accent4 9 31 2" xfId="43236"/>
    <cellStyle name="40% - Accent4 9 32" xfId="21117"/>
    <cellStyle name="40% - Accent4 9 32 2" xfId="43892"/>
    <cellStyle name="40% - Accent4 9 33" xfId="21773"/>
    <cellStyle name="40% - Accent4 9 33 2" xfId="44548"/>
    <cellStyle name="40% - Accent4 9 34" xfId="22429"/>
    <cellStyle name="40% - Accent4 9 34 2" xfId="45204"/>
    <cellStyle name="40% - Accent4 9 35" xfId="23228"/>
    <cellStyle name="40% - Accent4 9 4" xfId="1765"/>
    <cellStyle name="40% - Accent4 9 4 2" xfId="3405"/>
    <cellStyle name="40% - Accent4 9 4 2 2" xfId="26180"/>
    <cellStyle name="40% - Accent4 9 4 3" xfId="24540"/>
    <cellStyle name="40% - Accent4 9 5" xfId="4061"/>
    <cellStyle name="40% - Accent4 9 5 2" xfId="26836"/>
    <cellStyle name="40% - Accent4 9 6" xfId="4717"/>
    <cellStyle name="40% - Accent4 9 6 2" xfId="27492"/>
    <cellStyle name="40% - Accent4 9 7" xfId="5373"/>
    <cellStyle name="40% - Accent4 9 7 2" xfId="28148"/>
    <cellStyle name="40% - Accent4 9 8" xfId="6029"/>
    <cellStyle name="40% - Accent4 9 8 2" xfId="28804"/>
    <cellStyle name="40% - Accent4 9 9" xfId="2421"/>
    <cellStyle name="40% - Accent4 9 9 2" xfId="25196"/>
    <cellStyle name="40% - Accent5" xfId="39" builtinId="47" customBuiltin="1"/>
    <cellStyle name="40% - Accent5 10" xfId="468"/>
    <cellStyle name="40% - Accent5 10 10" xfId="6699"/>
    <cellStyle name="40% - Accent5 10 10 2" xfId="29474"/>
    <cellStyle name="40% - Accent5 10 11" xfId="7355"/>
    <cellStyle name="40% - Accent5 10 11 2" xfId="30130"/>
    <cellStyle name="40% - Accent5 10 12" xfId="8011"/>
    <cellStyle name="40% - Accent5 10 12 2" xfId="30786"/>
    <cellStyle name="40% - Accent5 10 13" xfId="8667"/>
    <cellStyle name="40% - Accent5 10 13 2" xfId="31442"/>
    <cellStyle name="40% - Accent5 10 14" xfId="9323"/>
    <cellStyle name="40% - Accent5 10 14 2" xfId="32098"/>
    <cellStyle name="40% - Accent5 10 15" xfId="9979"/>
    <cellStyle name="40% - Accent5 10 15 2" xfId="32754"/>
    <cellStyle name="40% - Accent5 10 16" xfId="10635"/>
    <cellStyle name="40% - Accent5 10 16 2" xfId="33410"/>
    <cellStyle name="40% - Accent5 10 17" xfId="11291"/>
    <cellStyle name="40% - Accent5 10 17 2" xfId="34066"/>
    <cellStyle name="40% - Accent5 10 18" xfId="11947"/>
    <cellStyle name="40% - Accent5 10 18 2" xfId="34722"/>
    <cellStyle name="40% - Accent5 10 19" xfId="12603"/>
    <cellStyle name="40% - Accent5 10 19 2" xfId="35378"/>
    <cellStyle name="40% - Accent5 10 2" xfId="795"/>
    <cellStyle name="40% - Accent5 10 2 10" xfId="8339"/>
    <cellStyle name="40% - Accent5 10 2 10 2" xfId="31114"/>
    <cellStyle name="40% - Accent5 10 2 11" xfId="8995"/>
    <cellStyle name="40% - Accent5 10 2 11 2" xfId="31770"/>
    <cellStyle name="40% - Accent5 10 2 12" xfId="9651"/>
    <cellStyle name="40% - Accent5 10 2 12 2" xfId="32426"/>
    <cellStyle name="40% - Accent5 10 2 13" xfId="10307"/>
    <cellStyle name="40% - Accent5 10 2 13 2" xfId="33082"/>
    <cellStyle name="40% - Accent5 10 2 14" xfId="10963"/>
    <cellStyle name="40% - Accent5 10 2 14 2" xfId="33738"/>
    <cellStyle name="40% - Accent5 10 2 15" xfId="11619"/>
    <cellStyle name="40% - Accent5 10 2 15 2" xfId="34394"/>
    <cellStyle name="40% - Accent5 10 2 16" xfId="12275"/>
    <cellStyle name="40% - Accent5 10 2 16 2" xfId="35050"/>
    <cellStyle name="40% - Accent5 10 2 17" xfId="12931"/>
    <cellStyle name="40% - Accent5 10 2 17 2" xfId="35706"/>
    <cellStyle name="40% - Accent5 10 2 18" xfId="13587"/>
    <cellStyle name="40% - Accent5 10 2 18 2" xfId="36362"/>
    <cellStyle name="40% - Accent5 10 2 19" xfId="14243"/>
    <cellStyle name="40% - Accent5 10 2 19 2" xfId="37018"/>
    <cellStyle name="40% - Accent5 10 2 2" xfId="1451"/>
    <cellStyle name="40% - Accent5 10 2 2 2" xfId="3747"/>
    <cellStyle name="40% - Accent5 10 2 2 2 2" xfId="26522"/>
    <cellStyle name="40% - Accent5 10 2 2 3" xfId="24226"/>
    <cellStyle name="40% - Accent5 10 2 20" xfId="14899"/>
    <cellStyle name="40% - Accent5 10 2 20 2" xfId="37674"/>
    <cellStyle name="40% - Accent5 10 2 21" xfId="15555"/>
    <cellStyle name="40% - Accent5 10 2 21 2" xfId="38330"/>
    <cellStyle name="40% - Accent5 10 2 22" xfId="16211"/>
    <cellStyle name="40% - Accent5 10 2 22 2" xfId="38986"/>
    <cellStyle name="40% - Accent5 10 2 23" xfId="16867"/>
    <cellStyle name="40% - Accent5 10 2 23 2" xfId="39642"/>
    <cellStyle name="40% - Accent5 10 2 24" xfId="17523"/>
    <cellStyle name="40% - Accent5 10 2 24 2" xfId="40298"/>
    <cellStyle name="40% - Accent5 10 2 25" xfId="18179"/>
    <cellStyle name="40% - Accent5 10 2 25 2" xfId="40954"/>
    <cellStyle name="40% - Accent5 10 2 26" xfId="18835"/>
    <cellStyle name="40% - Accent5 10 2 26 2" xfId="41610"/>
    <cellStyle name="40% - Accent5 10 2 27" xfId="19491"/>
    <cellStyle name="40% - Accent5 10 2 27 2" xfId="42266"/>
    <cellStyle name="40% - Accent5 10 2 28" xfId="20147"/>
    <cellStyle name="40% - Accent5 10 2 28 2" xfId="42922"/>
    <cellStyle name="40% - Accent5 10 2 29" xfId="20803"/>
    <cellStyle name="40% - Accent5 10 2 29 2" xfId="43578"/>
    <cellStyle name="40% - Accent5 10 2 3" xfId="2107"/>
    <cellStyle name="40% - Accent5 10 2 3 2" xfId="4403"/>
    <cellStyle name="40% - Accent5 10 2 3 2 2" xfId="27178"/>
    <cellStyle name="40% - Accent5 10 2 3 3" xfId="24882"/>
    <cellStyle name="40% - Accent5 10 2 30" xfId="21459"/>
    <cellStyle name="40% - Accent5 10 2 30 2" xfId="44234"/>
    <cellStyle name="40% - Accent5 10 2 31" xfId="22115"/>
    <cellStyle name="40% - Accent5 10 2 31 2" xfId="44890"/>
    <cellStyle name="40% - Accent5 10 2 32" xfId="22771"/>
    <cellStyle name="40% - Accent5 10 2 32 2" xfId="45546"/>
    <cellStyle name="40% - Accent5 10 2 33" xfId="23570"/>
    <cellStyle name="40% - Accent5 10 2 4" xfId="5059"/>
    <cellStyle name="40% - Accent5 10 2 4 2" xfId="27834"/>
    <cellStyle name="40% - Accent5 10 2 5" xfId="5715"/>
    <cellStyle name="40% - Accent5 10 2 5 2" xfId="28490"/>
    <cellStyle name="40% - Accent5 10 2 6" xfId="6371"/>
    <cellStyle name="40% - Accent5 10 2 6 2" xfId="29146"/>
    <cellStyle name="40% - Accent5 10 2 7" xfId="3091"/>
    <cellStyle name="40% - Accent5 10 2 7 2" xfId="25866"/>
    <cellStyle name="40% - Accent5 10 2 8" xfId="7027"/>
    <cellStyle name="40% - Accent5 10 2 8 2" xfId="29802"/>
    <cellStyle name="40% - Accent5 10 2 9" xfId="7683"/>
    <cellStyle name="40% - Accent5 10 2 9 2" xfId="30458"/>
    <cellStyle name="40% - Accent5 10 20" xfId="13259"/>
    <cellStyle name="40% - Accent5 10 20 2" xfId="36034"/>
    <cellStyle name="40% - Accent5 10 21" xfId="13915"/>
    <cellStyle name="40% - Accent5 10 21 2" xfId="36690"/>
    <cellStyle name="40% - Accent5 10 22" xfId="14571"/>
    <cellStyle name="40% - Accent5 10 22 2" xfId="37346"/>
    <cellStyle name="40% - Accent5 10 23" xfId="15227"/>
    <cellStyle name="40% - Accent5 10 23 2" xfId="38002"/>
    <cellStyle name="40% - Accent5 10 24" xfId="15883"/>
    <cellStyle name="40% - Accent5 10 24 2" xfId="38658"/>
    <cellStyle name="40% - Accent5 10 25" xfId="16539"/>
    <cellStyle name="40% - Accent5 10 25 2" xfId="39314"/>
    <cellStyle name="40% - Accent5 10 26" xfId="17195"/>
    <cellStyle name="40% - Accent5 10 26 2" xfId="39970"/>
    <cellStyle name="40% - Accent5 10 27" xfId="17851"/>
    <cellStyle name="40% - Accent5 10 27 2" xfId="40626"/>
    <cellStyle name="40% - Accent5 10 28" xfId="18507"/>
    <cellStyle name="40% - Accent5 10 28 2" xfId="41282"/>
    <cellStyle name="40% - Accent5 10 29" xfId="19163"/>
    <cellStyle name="40% - Accent5 10 29 2" xfId="41938"/>
    <cellStyle name="40% - Accent5 10 3" xfId="1123"/>
    <cellStyle name="40% - Accent5 10 3 2" xfId="2763"/>
    <cellStyle name="40% - Accent5 10 3 2 2" xfId="25538"/>
    <cellStyle name="40% - Accent5 10 3 3" xfId="23898"/>
    <cellStyle name="40% - Accent5 10 30" xfId="19819"/>
    <cellStyle name="40% - Accent5 10 30 2" xfId="42594"/>
    <cellStyle name="40% - Accent5 10 31" xfId="20475"/>
    <cellStyle name="40% - Accent5 10 31 2" xfId="43250"/>
    <cellStyle name="40% - Accent5 10 32" xfId="21131"/>
    <cellStyle name="40% - Accent5 10 32 2" xfId="43906"/>
    <cellStyle name="40% - Accent5 10 33" xfId="21787"/>
    <cellStyle name="40% - Accent5 10 33 2" xfId="44562"/>
    <cellStyle name="40% - Accent5 10 34" xfId="22443"/>
    <cellStyle name="40% - Accent5 10 34 2" xfId="45218"/>
    <cellStyle name="40% - Accent5 10 35" xfId="23242"/>
    <cellStyle name="40% - Accent5 10 4" xfId="1779"/>
    <cellStyle name="40% - Accent5 10 4 2" xfId="3419"/>
    <cellStyle name="40% - Accent5 10 4 2 2" xfId="26194"/>
    <cellStyle name="40% - Accent5 10 4 3" xfId="24554"/>
    <cellStyle name="40% - Accent5 10 5" xfId="4075"/>
    <cellStyle name="40% - Accent5 10 5 2" xfId="26850"/>
    <cellStyle name="40% - Accent5 10 6" xfId="4731"/>
    <cellStyle name="40% - Accent5 10 6 2" xfId="27506"/>
    <cellStyle name="40% - Accent5 10 7" xfId="5387"/>
    <cellStyle name="40% - Accent5 10 7 2" xfId="28162"/>
    <cellStyle name="40% - Accent5 10 8" xfId="6043"/>
    <cellStyle name="40% - Accent5 10 8 2" xfId="28818"/>
    <cellStyle name="40% - Accent5 10 9" xfId="2435"/>
    <cellStyle name="40% - Accent5 10 9 2" xfId="25210"/>
    <cellStyle name="40% - Accent5 11" xfId="610"/>
    <cellStyle name="40% - Accent5 11 10" xfId="8154"/>
    <cellStyle name="40% - Accent5 11 10 2" xfId="30929"/>
    <cellStyle name="40% - Accent5 11 11" xfId="8810"/>
    <cellStyle name="40% - Accent5 11 11 2" xfId="31585"/>
    <cellStyle name="40% - Accent5 11 12" xfId="9466"/>
    <cellStyle name="40% - Accent5 11 12 2" xfId="32241"/>
    <cellStyle name="40% - Accent5 11 13" xfId="10122"/>
    <cellStyle name="40% - Accent5 11 13 2" xfId="32897"/>
    <cellStyle name="40% - Accent5 11 14" xfId="10778"/>
    <cellStyle name="40% - Accent5 11 14 2" xfId="33553"/>
    <cellStyle name="40% - Accent5 11 15" xfId="11434"/>
    <cellStyle name="40% - Accent5 11 15 2" xfId="34209"/>
    <cellStyle name="40% - Accent5 11 16" xfId="12090"/>
    <cellStyle name="40% - Accent5 11 16 2" xfId="34865"/>
    <cellStyle name="40% - Accent5 11 17" xfId="12746"/>
    <cellStyle name="40% - Accent5 11 17 2" xfId="35521"/>
    <cellStyle name="40% - Accent5 11 18" xfId="13402"/>
    <cellStyle name="40% - Accent5 11 18 2" xfId="36177"/>
    <cellStyle name="40% - Accent5 11 19" xfId="14058"/>
    <cellStyle name="40% - Accent5 11 19 2" xfId="36833"/>
    <cellStyle name="40% - Accent5 11 2" xfId="1266"/>
    <cellStyle name="40% - Accent5 11 2 2" xfId="3562"/>
    <cellStyle name="40% - Accent5 11 2 2 2" xfId="26337"/>
    <cellStyle name="40% - Accent5 11 2 3" xfId="24041"/>
    <cellStyle name="40% - Accent5 11 20" xfId="14714"/>
    <cellStyle name="40% - Accent5 11 20 2" xfId="37489"/>
    <cellStyle name="40% - Accent5 11 21" xfId="15370"/>
    <cellStyle name="40% - Accent5 11 21 2" xfId="38145"/>
    <cellStyle name="40% - Accent5 11 22" xfId="16026"/>
    <cellStyle name="40% - Accent5 11 22 2" xfId="38801"/>
    <cellStyle name="40% - Accent5 11 23" xfId="16682"/>
    <cellStyle name="40% - Accent5 11 23 2" xfId="39457"/>
    <cellStyle name="40% - Accent5 11 24" xfId="17338"/>
    <cellStyle name="40% - Accent5 11 24 2" xfId="40113"/>
    <cellStyle name="40% - Accent5 11 25" xfId="17994"/>
    <cellStyle name="40% - Accent5 11 25 2" xfId="40769"/>
    <cellStyle name="40% - Accent5 11 26" xfId="18650"/>
    <cellStyle name="40% - Accent5 11 26 2" xfId="41425"/>
    <cellStyle name="40% - Accent5 11 27" xfId="19306"/>
    <cellStyle name="40% - Accent5 11 27 2" xfId="42081"/>
    <cellStyle name="40% - Accent5 11 28" xfId="19962"/>
    <cellStyle name="40% - Accent5 11 28 2" xfId="42737"/>
    <cellStyle name="40% - Accent5 11 29" xfId="20618"/>
    <cellStyle name="40% - Accent5 11 29 2" xfId="43393"/>
    <cellStyle name="40% - Accent5 11 3" xfId="1922"/>
    <cellStyle name="40% - Accent5 11 3 2" xfId="4218"/>
    <cellStyle name="40% - Accent5 11 3 2 2" xfId="26993"/>
    <cellStyle name="40% - Accent5 11 3 3" xfId="24697"/>
    <cellStyle name="40% - Accent5 11 30" xfId="21274"/>
    <cellStyle name="40% - Accent5 11 30 2" xfId="44049"/>
    <cellStyle name="40% - Accent5 11 31" xfId="21930"/>
    <cellStyle name="40% - Accent5 11 31 2" xfId="44705"/>
    <cellStyle name="40% - Accent5 11 32" xfId="22586"/>
    <cellStyle name="40% - Accent5 11 32 2" xfId="45361"/>
    <cellStyle name="40% - Accent5 11 33" xfId="23385"/>
    <cellStyle name="40% - Accent5 11 4" xfId="4874"/>
    <cellStyle name="40% - Accent5 11 4 2" xfId="27649"/>
    <cellStyle name="40% - Accent5 11 5" xfId="5530"/>
    <cellStyle name="40% - Accent5 11 5 2" xfId="28305"/>
    <cellStyle name="40% - Accent5 11 6" xfId="6186"/>
    <cellStyle name="40% - Accent5 11 6 2" xfId="28961"/>
    <cellStyle name="40% - Accent5 11 7" xfId="2906"/>
    <cellStyle name="40% - Accent5 11 7 2" xfId="25681"/>
    <cellStyle name="40% - Accent5 11 8" xfId="6842"/>
    <cellStyle name="40% - Accent5 11 8 2" xfId="29617"/>
    <cellStyle name="40% - Accent5 11 9" xfId="7498"/>
    <cellStyle name="40% - Accent5 11 9 2" xfId="30273"/>
    <cellStyle name="40% - Accent5 12" xfId="283"/>
    <cellStyle name="40% - Accent5 12 2" xfId="2578"/>
    <cellStyle name="40% - Accent5 12 2 2" xfId="25353"/>
    <cellStyle name="40% - Accent5 12 3" xfId="23057"/>
    <cellStyle name="40% - Accent5 13" xfId="938"/>
    <cellStyle name="40% - Accent5 13 2" xfId="3234"/>
    <cellStyle name="40% - Accent5 13 2 2" xfId="26009"/>
    <cellStyle name="40% - Accent5 13 3" xfId="23713"/>
    <cellStyle name="40% - Accent5 14" xfId="1594"/>
    <cellStyle name="40% - Accent5 14 2" xfId="3890"/>
    <cellStyle name="40% - Accent5 14 2 2" xfId="26665"/>
    <cellStyle name="40% - Accent5 14 3" xfId="24369"/>
    <cellStyle name="40% - Accent5 15" xfId="4546"/>
    <cellStyle name="40% - Accent5 15 2" xfId="27321"/>
    <cellStyle name="40% - Accent5 16" xfId="5202"/>
    <cellStyle name="40% - Accent5 16 2" xfId="27977"/>
    <cellStyle name="40% - Accent5 17" xfId="5858"/>
    <cellStyle name="40% - Accent5 17 2" xfId="28633"/>
    <cellStyle name="40% - Accent5 18" xfId="2250"/>
    <cellStyle name="40% - Accent5 18 2" xfId="25025"/>
    <cellStyle name="40% - Accent5 19" xfId="6514"/>
    <cellStyle name="40% - Accent5 19 2" xfId="29289"/>
    <cellStyle name="40% - Accent5 2" xfId="78"/>
    <cellStyle name="40% - Accent5 2 10" xfId="5874"/>
    <cellStyle name="40% - Accent5 2 10 2" xfId="28649"/>
    <cellStyle name="40% - Accent5 2 11" xfId="2266"/>
    <cellStyle name="40% - Accent5 2 11 2" xfId="25041"/>
    <cellStyle name="40% - Accent5 2 12" xfId="6530"/>
    <cellStyle name="40% - Accent5 2 12 2" xfId="29305"/>
    <cellStyle name="40% - Accent5 2 13" xfId="7186"/>
    <cellStyle name="40% - Accent5 2 13 2" xfId="29961"/>
    <cellStyle name="40% - Accent5 2 14" xfId="7842"/>
    <cellStyle name="40% - Accent5 2 14 2" xfId="30617"/>
    <cellStyle name="40% - Accent5 2 15" xfId="8498"/>
    <cellStyle name="40% - Accent5 2 15 2" xfId="31273"/>
    <cellStyle name="40% - Accent5 2 16" xfId="9154"/>
    <cellStyle name="40% - Accent5 2 16 2" xfId="31929"/>
    <cellStyle name="40% - Accent5 2 17" xfId="9810"/>
    <cellStyle name="40% - Accent5 2 17 2" xfId="32585"/>
    <cellStyle name="40% - Accent5 2 18" xfId="10466"/>
    <cellStyle name="40% - Accent5 2 18 2" xfId="33241"/>
    <cellStyle name="40% - Accent5 2 19" xfId="11122"/>
    <cellStyle name="40% - Accent5 2 19 2" xfId="33897"/>
    <cellStyle name="40% - Accent5 2 2" xfId="154"/>
    <cellStyle name="40% - Accent5 2 2 10" xfId="2352"/>
    <cellStyle name="40% - Accent5 2 2 10 2" xfId="25127"/>
    <cellStyle name="40% - Accent5 2 2 11" xfId="6616"/>
    <cellStyle name="40% - Accent5 2 2 11 2" xfId="29391"/>
    <cellStyle name="40% - Accent5 2 2 12" xfId="7272"/>
    <cellStyle name="40% - Accent5 2 2 12 2" xfId="30047"/>
    <cellStyle name="40% - Accent5 2 2 13" xfId="7928"/>
    <cellStyle name="40% - Accent5 2 2 13 2" xfId="30703"/>
    <cellStyle name="40% - Accent5 2 2 14" xfId="8584"/>
    <cellStyle name="40% - Accent5 2 2 14 2" xfId="31359"/>
    <cellStyle name="40% - Accent5 2 2 15" xfId="9240"/>
    <cellStyle name="40% - Accent5 2 2 15 2" xfId="32015"/>
    <cellStyle name="40% - Accent5 2 2 16" xfId="9896"/>
    <cellStyle name="40% - Accent5 2 2 16 2" xfId="32671"/>
    <cellStyle name="40% - Accent5 2 2 17" xfId="10552"/>
    <cellStyle name="40% - Accent5 2 2 17 2" xfId="33327"/>
    <cellStyle name="40% - Accent5 2 2 18" xfId="11208"/>
    <cellStyle name="40% - Accent5 2 2 18 2" xfId="33983"/>
    <cellStyle name="40% - Accent5 2 2 19" xfId="11864"/>
    <cellStyle name="40% - Accent5 2 2 19 2" xfId="34639"/>
    <cellStyle name="40% - Accent5 2 2 2" xfId="568"/>
    <cellStyle name="40% - Accent5 2 2 2 10" xfId="6801"/>
    <cellStyle name="40% - Accent5 2 2 2 10 2" xfId="29576"/>
    <cellStyle name="40% - Accent5 2 2 2 11" xfId="7457"/>
    <cellStyle name="40% - Accent5 2 2 2 11 2" xfId="30232"/>
    <cellStyle name="40% - Accent5 2 2 2 12" xfId="8113"/>
    <cellStyle name="40% - Accent5 2 2 2 12 2" xfId="30888"/>
    <cellStyle name="40% - Accent5 2 2 2 13" xfId="8769"/>
    <cellStyle name="40% - Accent5 2 2 2 13 2" xfId="31544"/>
    <cellStyle name="40% - Accent5 2 2 2 14" xfId="9425"/>
    <cellStyle name="40% - Accent5 2 2 2 14 2" xfId="32200"/>
    <cellStyle name="40% - Accent5 2 2 2 15" xfId="10081"/>
    <cellStyle name="40% - Accent5 2 2 2 15 2" xfId="32856"/>
    <cellStyle name="40% - Accent5 2 2 2 16" xfId="10737"/>
    <cellStyle name="40% - Accent5 2 2 2 16 2" xfId="33512"/>
    <cellStyle name="40% - Accent5 2 2 2 17" xfId="11393"/>
    <cellStyle name="40% - Accent5 2 2 2 17 2" xfId="34168"/>
    <cellStyle name="40% - Accent5 2 2 2 18" xfId="12049"/>
    <cellStyle name="40% - Accent5 2 2 2 18 2" xfId="34824"/>
    <cellStyle name="40% - Accent5 2 2 2 19" xfId="12705"/>
    <cellStyle name="40% - Accent5 2 2 2 19 2" xfId="35480"/>
    <cellStyle name="40% - Accent5 2 2 2 2" xfId="897"/>
    <cellStyle name="40% - Accent5 2 2 2 2 10" xfId="8441"/>
    <cellStyle name="40% - Accent5 2 2 2 2 10 2" xfId="31216"/>
    <cellStyle name="40% - Accent5 2 2 2 2 11" xfId="9097"/>
    <cellStyle name="40% - Accent5 2 2 2 2 11 2" xfId="31872"/>
    <cellStyle name="40% - Accent5 2 2 2 2 12" xfId="9753"/>
    <cellStyle name="40% - Accent5 2 2 2 2 12 2" xfId="32528"/>
    <cellStyle name="40% - Accent5 2 2 2 2 13" xfId="10409"/>
    <cellStyle name="40% - Accent5 2 2 2 2 13 2" xfId="33184"/>
    <cellStyle name="40% - Accent5 2 2 2 2 14" xfId="11065"/>
    <cellStyle name="40% - Accent5 2 2 2 2 14 2" xfId="33840"/>
    <cellStyle name="40% - Accent5 2 2 2 2 15" xfId="11721"/>
    <cellStyle name="40% - Accent5 2 2 2 2 15 2" xfId="34496"/>
    <cellStyle name="40% - Accent5 2 2 2 2 16" xfId="12377"/>
    <cellStyle name="40% - Accent5 2 2 2 2 16 2" xfId="35152"/>
    <cellStyle name="40% - Accent5 2 2 2 2 17" xfId="13033"/>
    <cellStyle name="40% - Accent5 2 2 2 2 17 2" xfId="35808"/>
    <cellStyle name="40% - Accent5 2 2 2 2 18" xfId="13689"/>
    <cellStyle name="40% - Accent5 2 2 2 2 18 2" xfId="36464"/>
    <cellStyle name="40% - Accent5 2 2 2 2 19" xfId="14345"/>
    <cellStyle name="40% - Accent5 2 2 2 2 19 2" xfId="37120"/>
    <cellStyle name="40% - Accent5 2 2 2 2 2" xfId="1553"/>
    <cellStyle name="40% - Accent5 2 2 2 2 2 2" xfId="3849"/>
    <cellStyle name="40% - Accent5 2 2 2 2 2 2 2" xfId="26624"/>
    <cellStyle name="40% - Accent5 2 2 2 2 2 3" xfId="24328"/>
    <cellStyle name="40% - Accent5 2 2 2 2 20" xfId="15001"/>
    <cellStyle name="40% - Accent5 2 2 2 2 20 2" xfId="37776"/>
    <cellStyle name="40% - Accent5 2 2 2 2 21" xfId="15657"/>
    <cellStyle name="40% - Accent5 2 2 2 2 21 2" xfId="38432"/>
    <cellStyle name="40% - Accent5 2 2 2 2 22" xfId="16313"/>
    <cellStyle name="40% - Accent5 2 2 2 2 22 2" xfId="39088"/>
    <cellStyle name="40% - Accent5 2 2 2 2 23" xfId="16969"/>
    <cellStyle name="40% - Accent5 2 2 2 2 23 2" xfId="39744"/>
    <cellStyle name="40% - Accent5 2 2 2 2 24" xfId="17625"/>
    <cellStyle name="40% - Accent5 2 2 2 2 24 2" xfId="40400"/>
    <cellStyle name="40% - Accent5 2 2 2 2 25" xfId="18281"/>
    <cellStyle name="40% - Accent5 2 2 2 2 25 2" xfId="41056"/>
    <cellStyle name="40% - Accent5 2 2 2 2 26" xfId="18937"/>
    <cellStyle name="40% - Accent5 2 2 2 2 26 2" xfId="41712"/>
    <cellStyle name="40% - Accent5 2 2 2 2 27" xfId="19593"/>
    <cellStyle name="40% - Accent5 2 2 2 2 27 2" xfId="42368"/>
    <cellStyle name="40% - Accent5 2 2 2 2 28" xfId="20249"/>
    <cellStyle name="40% - Accent5 2 2 2 2 28 2" xfId="43024"/>
    <cellStyle name="40% - Accent5 2 2 2 2 29" xfId="20905"/>
    <cellStyle name="40% - Accent5 2 2 2 2 29 2" xfId="43680"/>
    <cellStyle name="40% - Accent5 2 2 2 2 3" xfId="2209"/>
    <cellStyle name="40% - Accent5 2 2 2 2 3 2" xfId="4505"/>
    <cellStyle name="40% - Accent5 2 2 2 2 3 2 2" xfId="27280"/>
    <cellStyle name="40% - Accent5 2 2 2 2 3 3" xfId="24984"/>
    <cellStyle name="40% - Accent5 2 2 2 2 30" xfId="21561"/>
    <cellStyle name="40% - Accent5 2 2 2 2 30 2" xfId="44336"/>
    <cellStyle name="40% - Accent5 2 2 2 2 31" xfId="22217"/>
    <cellStyle name="40% - Accent5 2 2 2 2 31 2" xfId="44992"/>
    <cellStyle name="40% - Accent5 2 2 2 2 32" xfId="22873"/>
    <cellStyle name="40% - Accent5 2 2 2 2 32 2" xfId="45648"/>
    <cellStyle name="40% - Accent5 2 2 2 2 33" xfId="23672"/>
    <cellStyle name="40% - Accent5 2 2 2 2 4" xfId="5161"/>
    <cellStyle name="40% - Accent5 2 2 2 2 4 2" xfId="27936"/>
    <cellStyle name="40% - Accent5 2 2 2 2 5" xfId="5817"/>
    <cellStyle name="40% - Accent5 2 2 2 2 5 2" xfId="28592"/>
    <cellStyle name="40% - Accent5 2 2 2 2 6" xfId="6473"/>
    <cellStyle name="40% - Accent5 2 2 2 2 6 2" xfId="29248"/>
    <cellStyle name="40% - Accent5 2 2 2 2 7" xfId="3193"/>
    <cellStyle name="40% - Accent5 2 2 2 2 7 2" xfId="25968"/>
    <cellStyle name="40% - Accent5 2 2 2 2 8" xfId="7129"/>
    <cellStyle name="40% - Accent5 2 2 2 2 8 2" xfId="29904"/>
    <cellStyle name="40% - Accent5 2 2 2 2 9" xfId="7785"/>
    <cellStyle name="40% - Accent5 2 2 2 2 9 2" xfId="30560"/>
    <cellStyle name="40% - Accent5 2 2 2 20" xfId="13361"/>
    <cellStyle name="40% - Accent5 2 2 2 20 2" xfId="36136"/>
    <cellStyle name="40% - Accent5 2 2 2 21" xfId="14017"/>
    <cellStyle name="40% - Accent5 2 2 2 21 2" xfId="36792"/>
    <cellStyle name="40% - Accent5 2 2 2 22" xfId="14673"/>
    <cellStyle name="40% - Accent5 2 2 2 22 2" xfId="37448"/>
    <cellStyle name="40% - Accent5 2 2 2 23" xfId="15329"/>
    <cellStyle name="40% - Accent5 2 2 2 23 2" xfId="38104"/>
    <cellStyle name="40% - Accent5 2 2 2 24" xfId="15985"/>
    <cellStyle name="40% - Accent5 2 2 2 24 2" xfId="38760"/>
    <cellStyle name="40% - Accent5 2 2 2 25" xfId="16641"/>
    <cellStyle name="40% - Accent5 2 2 2 25 2" xfId="39416"/>
    <cellStyle name="40% - Accent5 2 2 2 26" xfId="17297"/>
    <cellStyle name="40% - Accent5 2 2 2 26 2" xfId="40072"/>
    <cellStyle name="40% - Accent5 2 2 2 27" xfId="17953"/>
    <cellStyle name="40% - Accent5 2 2 2 27 2" xfId="40728"/>
    <cellStyle name="40% - Accent5 2 2 2 28" xfId="18609"/>
    <cellStyle name="40% - Accent5 2 2 2 28 2" xfId="41384"/>
    <cellStyle name="40% - Accent5 2 2 2 29" xfId="19265"/>
    <cellStyle name="40% - Accent5 2 2 2 29 2" xfId="42040"/>
    <cellStyle name="40% - Accent5 2 2 2 3" xfId="1225"/>
    <cellStyle name="40% - Accent5 2 2 2 3 2" xfId="2865"/>
    <cellStyle name="40% - Accent5 2 2 2 3 2 2" xfId="25640"/>
    <cellStyle name="40% - Accent5 2 2 2 3 3" xfId="24000"/>
    <cellStyle name="40% - Accent5 2 2 2 30" xfId="19921"/>
    <cellStyle name="40% - Accent5 2 2 2 30 2" xfId="42696"/>
    <cellStyle name="40% - Accent5 2 2 2 31" xfId="20577"/>
    <cellStyle name="40% - Accent5 2 2 2 31 2" xfId="43352"/>
    <cellStyle name="40% - Accent5 2 2 2 32" xfId="21233"/>
    <cellStyle name="40% - Accent5 2 2 2 32 2" xfId="44008"/>
    <cellStyle name="40% - Accent5 2 2 2 33" xfId="21889"/>
    <cellStyle name="40% - Accent5 2 2 2 33 2" xfId="44664"/>
    <cellStyle name="40% - Accent5 2 2 2 34" xfId="22545"/>
    <cellStyle name="40% - Accent5 2 2 2 34 2" xfId="45320"/>
    <cellStyle name="40% - Accent5 2 2 2 35" xfId="23344"/>
    <cellStyle name="40% - Accent5 2 2 2 4" xfId="1881"/>
    <cellStyle name="40% - Accent5 2 2 2 4 2" xfId="3521"/>
    <cellStyle name="40% - Accent5 2 2 2 4 2 2" xfId="26296"/>
    <cellStyle name="40% - Accent5 2 2 2 4 3" xfId="24656"/>
    <cellStyle name="40% - Accent5 2 2 2 5" xfId="4177"/>
    <cellStyle name="40% - Accent5 2 2 2 5 2" xfId="26952"/>
    <cellStyle name="40% - Accent5 2 2 2 6" xfId="4833"/>
    <cellStyle name="40% - Accent5 2 2 2 6 2" xfId="27608"/>
    <cellStyle name="40% - Accent5 2 2 2 7" xfId="5489"/>
    <cellStyle name="40% - Accent5 2 2 2 7 2" xfId="28264"/>
    <cellStyle name="40% - Accent5 2 2 2 8" xfId="6145"/>
    <cellStyle name="40% - Accent5 2 2 2 8 2" xfId="28920"/>
    <cellStyle name="40% - Accent5 2 2 2 9" xfId="2537"/>
    <cellStyle name="40% - Accent5 2 2 2 9 2" xfId="25312"/>
    <cellStyle name="40% - Accent5 2 2 20" xfId="12520"/>
    <cellStyle name="40% - Accent5 2 2 20 2" xfId="35295"/>
    <cellStyle name="40% - Accent5 2 2 21" xfId="13176"/>
    <cellStyle name="40% - Accent5 2 2 21 2" xfId="35951"/>
    <cellStyle name="40% - Accent5 2 2 22" xfId="13832"/>
    <cellStyle name="40% - Accent5 2 2 22 2" xfId="36607"/>
    <cellStyle name="40% - Accent5 2 2 23" xfId="14488"/>
    <cellStyle name="40% - Accent5 2 2 23 2" xfId="37263"/>
    <cellStyle name="40% - Accent5 2 2 24" xfId="15144"/>
    <cellStyle name="40% - Accent5 2 2 24 2" xfId="37919"/>
    <cellStyle name="40% - Accent5 2 2 25" xfId="15800"/>
    <cellStyle name="40% - Accent5 2 2 25 2" xfId="38575"/>
    <cellStyle name="40% - Accent5 2 2 26" xfId="16456"/>
    <cellStyle name="40% - Accent5 2 2 26 2" xfId="39231"/>
    <cellStyle name="40% - Accent5 2 2 27" xfId="17112"/>
    <cellStyle name="40% - Accent5 2 2 27 2" xfId="39887"/>
    <cellStyle name="40% - Accent5 2 2 28" xfId="17768"/>
    <cellStyle name="40% - Accent5 2 2 28 2" xfId="40543"/>
    <cellStyle name="40% - Accent5 2 2 29" xfId="18424"/>
    <cellStyle name="40% - Accent5 2 2 29 2" xfId="41199"/>
    <cellStyle name="40% - Accent5 2 2 3" xfId="712"/>
    <cellStyle name="40% - Accent5 2 2 3 10" xfId="8256"/>
    <cellStyle name="40% - Accent5 2 2 3 10 2" xfId="31031"/>
    <cellStyle name="40% - Accent5 2 2 3 11" xfId="8912"/>
    <cellStyle name="40% - Accent5 2 2 3 11 2" xfId="31687"/>
    <cellStyle name="40% - Accent5 2 2 3 12" xfId="9568"/>
    <cellStyle name="40% - Accent5 2 2 3 12 2" xfId="32343"/>
    <cellStyle name="40% - Accent5 2 2 3 13" xfId="10224"/>
    <cellStyle name="40% - Accent5 2 2 3 13 2" xfId="32999"/>
    <cellStyle name="40% - Accent5 2 2 3 14" xfId="10880"/>
    <cellStyle name="40% - Accent5 2 2 3 14 2" xfId="33655"/>
    <cellStyle name="40% - Accent5 2 2 3 15" xfId="11536"/>
    <cellStyle name="40% - Accent5 2 2 3 15 2" xfId="34311"/>
    <cellStyle name="40% - Accent5 2 2 3 16" xfId="12192"/>
    <cellStyle name="40% - Accent5 2 2 3 16 2" xfId="34967"/>
    <cellStyle name="40% - Accent5 2 2 3 17" xfId="12848"/>
    <cellStyle name="40% - Accent5 2 2 3 17 2" xfId="35623"/>
    <cellStyle name="40% - Accent5 2 2 3 18" xfId="13504"/>
    <cellStyle name="40% - Accent5 2 2 3 18 2" xfId="36279"/>
    <cellStyle name="40% - Accent5 2 2 3 19" xfId="14160"/>
    <cellStyle name="40% - Accent5 2 2 3 19 2" xfId="36935"/>
    <cellStyle name="40% - Accent5 2 2 3 2" xfId="1368"/>
    <cellStyle name="40% - Accent5 2 2 3 2 2" xfId="3664"/>
    <cellStyle name="40% - Accent5 2 2 3 2 2 2" xfId="26439"/>
    <cellStyle name="40% - Accent5 2 2 3 2 3" xfId="24143"/>
    <cellStyle name="40% - Accent5 2 2 3 20" xfId="14816"/>
    <cellStyle name="40% - Accent5 2 2 3 20 2" xfId="37591"/>
    <cellStyle name="40% - Accent5 2 2 3 21" xfId="15472"/>
    <cellStyle name="40% - Accent5 2 2 3 21 2" xfId="38247"/>
    <cellStyle name="40% - Accent5 2 2 3 22" xfId="16128"/>
    <cellStyle name="40% - Accent5 2 2 3 22 2" xfId="38903"/>
    <cellStyle name="40% - Accent5 2 2 3 23" xfId="16784"/>
    <cellStyle name="40% - Accent5 2 2 3 23 2" xfId="39559"/>
    <cellStyle name="40% - Accent5 2 2 3 24" xfId="17440"/>
    <cellStyle name="40% - Accent5 2 2 3 24 2" xfId="40215"/>
    <cellStyle name="40% - Accent5 2 2 3 25" xfId="18096"/>
    <cellStyle name="40% - Accent5 2 2 3 25 2" xfId="40871"/>
    <cellStyle name="40% - Accent5 2 2 3 26" xfId="18752"/>
    <cellStyle name="40% - Accent5 2 2 3 26 2" xfId="41527"/>
    <cellStyle name="40% - Accent5 2 2 3 27" xfId="19408"/>
    <cellStyle name="40% - Accent5 2 2 3 27 2" xfId="42183"/>
    <cellStyle name="40% - Accent5 2 2 3 28" xfId="20064"/>
    <cellStyle name="40% - Accent5 2 2 3 28 2" xfId="42839"/>
    <cellStyle name="40% - Accent5 2 2 3 29" xfId="20720"/>
    <cellStyle name="40% - Accent5 2 2 3 29 2" xfId="43495"/>
    <cellStyle name="40% - Accent5 2 2 3 3" xfId="2024"/>
    <cellStyle name="40% - Accent5 2 2 3 3 2" xfId="4320"/>
    <cellStyle name="40% - Accent5 2 2 3 3 2 2" xfId="27095"/>
    <cellStyle name="40% - Accent5 2 2 3 3 3" xfId="24799"/>
    <cellStyle name="40% - Accent5 2 2 3 30" xfId="21376"/>
    <cellStyle name="40% - Accent5 2 2 3 30 2" xfId="44151"/>
    <cellStyle name="40% - Accent5 2 2 3 31" xfId="22032"/>
    <cellStyle name="40% - Accent5 2 2 3 31 2" xfId="44807"/>
    <cellStyle name="40% - Accent5 2 2 3 32" xfId="22688"/>
    <cellStyle name="40% - Accent5 2 2 3 32 2" xfId="45463"/>
    <cellStyle name="40% - Accent5 2 2 3 33" xfId="23487"/>
    <cellStyle name="40% - Accent5 2 2 3 4" xfId="4976"/>
    <cellStyle name="40% - Accent5 2 2 3 4 2" xfId="27751"/>
    <cellStyle name="40% - Accent5 2 2 3 5" xfId="5632"/>
    <cellStyle name="40% - Accent5 2 2 3 5 2" xfId="28407"/>
    <cellStyle name="40% - Accent5 2 2 3 6" xfId="6288"/>
    <cellStyle name="40% - Accent5 2 2 3 6 2" xfId="29063"/>
    <cellStyle name="40% - Accent5 2 2 3 7" xfId="3008"/>
    <cellStyle name="40% - Accent5 2 2 3 7 2" xfId="25783"/>
    <cellStyle name="40% - Accent5 2 2 3 8" xfId="6944"/>
    <cellStyle name="40% - Accent5 2 2 3 8 2" xfId="29719"/>
    <cellStyle name="40% - Accent5 2 2 3 9" xfId="7600"/>
    <cellStyle name="40% - Accent5 2 2 3 9 2" xfId="30375"/>
    <cellStyle name="40% - Accent5 2 2 30" xfId="19080"/>
    <cellStyle name="40% - Accent5 2 2 30 2" xfId="41855"/>
    <cellStyle name="40% - Accent5 2 2 31" xfId="19736"/>
    <cellStyle name="40% - Accent5 2 2 31 2" xfId="42511"/>
    <cellStyle name="40% - Accent5 2 2 32" xfId="20392"/>
    <cellStyle name="40% - Accent5 2 2 32 2" xfId="43167"/>
    <cellStyle name="40% - Accent5 2 2 33" xfId="21048"/>
    <cellStyle name="40% - Accent5 2 2 33 2" xfId="43823"/>
    <cellStyle name="40% - Accent5 2 2 34" xfId="21704"/>
    <cellStyle name="40% - Accent5 2 2 34 2" xfId="44479"/>
    <cellStyle name="40% - Accent5 2 2 35" xfId="22360"/>
    <cellStyle name="40% - Accent5 2 2 35 2" xfId="45135"/>
    <cellStyle name="40% - Accent5 2 2 36" xfId="23016"/>
    <cellStyle name="40% - Accent5 2 2 4" xfId="385"/>
    <cellStyle name="40% - Accent5 2 2 4 2" xfId="2680"/>
    <cellStyle name="40% - Accent5 2 2 4 2 2" xfId="25455"/>
    <cellStyle name="40% - Accent5 2 2 4 3" xfId="23159"/>
    <cellStyle name="40% - Accent5 2 2 5" xfId="1040"/>
    <cellStyle name="40% - Accent5 2 2 5 2" xfId="3336"/>
    <cellStyle name="40% - Accent5 2 2 5 2 2" xfId="26111"/>
    <cellStyle name="40% - Accent5 2 2 5 3" xfId="23815"/>
    <cellStyle name="40% - Accent5 2 2 6" xfId="1696"/>
    <cellStyle name="40% - Accent5 2 2 6 2" xfId="3992"/>
    <cellStyle name="40% - Accent5 2 2 6 2 2" xfId="26767"/>
    <cellStyle name="40% - Accent5 2 2 6 3" xfId="24471"/>
    <cellStyle name="40% - Accent5 2 2 7" xfId="4648"/>
    <cellStyle name="40% - Accent5 2 2 7 2" xfId="27423"/>
    <cellStyle name="40% - Accent5 2 2 8" xfId="5304"/>
    <cellStyle name="40% - Accent5 2 2 8 2" xfId="28079"/>
    <cellStyle name="40% - Accent5 2 2 9" xfId="5960"/>
    <cellStyle name="40% - Accent5 2 2 9 2" xfId="28735"/>
    <cellStyle name="40% - Accent5 2 20" xfId="11778"/>
    <cellStyle name="40% - Accent5 2 20 2" xfId="34553"/>
    <cellStyle name="40% - Accent5 2 21" xfId="12434"/>
    <cellStyle name="40% - Accent5 2 21 2" xfId="35209"/>
    <cellStyle name="40% - Accent5 2 22" xfId="13090"/>
    <cellStyle name="40% - Accent5 2 22 2" xfId="35865"/>
    <cellStyle name="40% - Accent5 2 23" xfId="13746"/>
    <cellStyle name="40% - Accent5 2 23 2" xfId="36521"/>
    <cellStyle name="40% - Accent5 2 24" xfId="14402"/>
    <cellStyle name="40% - Accent5 2 24 2" xfId="37177"/>
    <cellStyle name="40% - Accent5 2 25" xfId="15058"/>
    <cellStyle name="40% - Accent5 2 25 2" xfId="37833"/>
    <cellStyle name="40% - Accent5 2 26" xfId="15714"/>
    <cellStyle name="40% - Accent5 2 26 2" xfId="38489"/>
    <cellStyle name="40% - Accent5 2 27" xfId="16370"/>
    <cellStyle name="40% - Accent5 2 27 2" xfId="39145"/>
    <cellStyle name="40% - Accent5 2 28" xfId="17026"/>
    <cellStyle name="40% - Accent5 2 28 2" xfId="39801"/>
    <cellStyle name="40% - Accent5 2 29" xfId="17682"/>
    <cellStyle name="40% - Accent5 2 29 2" xfId="40457"/>
    <cellStyle name="40% - Accent5 2 3" xfId="484"/>
    <cellStyle name="40% - Accent5 2 3 10" xfId="6715"/>
    <cellStyle name="40% - Accent5 2 3 10 2" xfId="29490"/>
    <cellStyle name="40% - Accent5 2 3 11" xfId="7371"/>
    <cellStyle name="40% - Accent5 2 3 11 2" xfId="30146"/>
    <cellStyle name="40% - Accent5 2 3 12" xfId="8027"/>
    <cellStyle name="40% - Accent5 2 3 12 2" xfId="30802"/>
    <cellStyle name="40% - Accent5 2 3 13" xfId="8683"/>
    <cellStyle name="40% - Accent5 2 3 13 2" xfId="31458"/>
    <cellStyle name="40% - Accent5 2 3 14" xfId="9339"/>
    <cellStyle name="40% - Accent5 2 3 14 2" xfId="32114"/>
    <cellStyle name="40% - Accent5 2 3 15" xfId="9995"/>
    <cellStyle name="40% - Accent5 2 3 15 2" xfId="32770"/>
    <cellStyle name="40% - Accent5 2 3 16" xfId="10651"/>
    <cellStyle name="40% - Accent5 2 3 16 2" xfId="33426"/>
    <cellStyle name="40% - Accent5 2 3 17" xfId="11307"/>
    <cellStyle name="40% - Accent5 2 3 17 2" xfId="34082"/>
    <cellStyle name="40% - Accent5 2 3 18" xfId="11963"/>
    <cellStyle name="40% - Accent5 2 3 18 2" xfId="34738"/>
    <cellStyle name="40% - Accent5 2 3 19" xfId="12619"/>
    <cellStyle name="40% - Accent5 2 3 19 2" xfId="35394"/>
    <cellStyle name="40% - Accent5 2 3 2" xfId="811"/>
    <cellStyle name="40% - Accent5 2 3 2 10" xfId="8355"/>
    <cellStyle name="40% - Accent5 2 3 2 10 2" xfId="31130"/>
    <cellStyle name="40% - Accent5 2 3 2 11" xfId="9011"/>
    <cellStyle name="40% - Accent5 2 3 2 11 2" xfId="31786"/>
    <cellStyle name="40% - Accent5 2 3 2 12" xfId="9667"/>
    <cellStyle name="40% - Accent5 2 3 2 12 2" xfId="32442"/>
    <cellStyle name="40% - Accent5 2 3 2 13" xfId="10323"/>
    <cellStyle name="40% - Accent5 2 3 2 13 2" xfId="33098"/>
    <cellStyle name="40% - Accent5 2 3 2 14" xfId="10979"/>
    <cellStyle name="40% - Accent5 2 3 2 14 2" xfId="33754"/>
    <cellStyle name="40% - Accent5 2 3 2 15" xfId="11635"/>
    <cellStyle name="40% - Accent5 2 3 2 15 2" xfId="34410"/>
    <cellStyle name="40% - Accent5 2 3 2 16" xfId="12291"/>
    <cellStyle name="40% - Accent5 2 3 2 16 2" xfId="35066"/>
    <cellStyle name="40% - Accent5 2 3 2 17" xfId="12947"/>
    <cellStyle name="40% - Accent5 2 3 2 17 2" xfId="35722"/>
    <cellStyle name="40% - Accent5 2 3 2 18" xfId="13603"/>
    <cellStyle name="40% - Accent5 2 3 2 18 2" xfId="36378"/>
    <cellStyle name="40% - Accent5 2 3 2 19" xfId="14259"/>
    <cellStyle name="40% - Accent5 2 3 2 19 2" xfId="37034"/>
    <cellStyle name="40% - Accent5 2 3 2 2" xfId="1467"/>
    <cellStyle name="40% - Accent5 2 3 2 2 2" xfId="3763"/>
    <cellStyle name="40% - Accent5 2 3 2 2 2 2" xfId="26538"/>
    <cellStyle name="40% - Accent5 2 3 2 2 3" xfId="24242"/>
    <cellStyle name="40% - Accent5 2 3 2 20" xfId="14915"/>
    <cellStyle name="40% - Accent5 2 3 2 20 2" xfId="37690"/>
    <cellStyle name="40% - Accent5 2 3 2 21" xfId="15571"/>
    <cellStyle name="40% - Accent5 2 3 2 21 2" xfId="38346"/>
    <cellStyle name="40% - Accent5 2 3 2 22" xfId="16227"/>
    <cellStyle name="40% - Accent5 2 3 2 22 2" xfId="39002"/>
    <cellStyle name="40% - Accent5 2 3 2 23" xfId="16883"/>
    <cellStyle name="40% - Accent5 2 3 2 23 2" xfId="39658"/>
    <cellStyle name="40% - Accent5 2 3 2 24" xfId="17539"/>
    <cellStyle name="40% - Accent5 2 3 2 24 2" xfId="40314"/>
    <cellStyle name="40% - Accent5 2 3 2 25" xfId="18195"/>
    <cellStyle name="40% - Accent5 2 3 2 25 2" xfId="40970"/>
    <cellStyle name="40% - Accent5 2 3 2 26" xfId="18851"/>
    <cellStyle name="40% - Accent5 2 3 2 26 2" xfId="41626"/>
    <cellStyle name="40% - Accent5 2 3 2 27" xfId="19507"/>
    <cellStyle name="40% - Accent5 2 3 2 27 2" xfId="42282"/>
    <cellStyle name="40% - Accent5 2 3 2 28" xfId="20163"/>
    <cellStyle name="40% - Accent5 2 3 2 28 2" xfId="42938"/>
    <cellStyle name="40% - Accent5 2 3 2 29" xfId="20819"/>
    <cellStyle name="40% - Accent5 2 3 2 29 2" xfId="43594"/>
    <cellStyle name="40% - Accent5 2 3 2 3" xfId="2123"/>
    <cellStyle name="40% - Accent5 2 3 2 3 2" xfId="4419"/>
    <cellStyle name="40% - Accent5 2 3 2 3 2 2" xfId="27194"/>
    <cellStyle name="40% - Accent5 2 3 2 3 3" xfId="24898"/>
    <cellStyle name="40% - Accent5 2 3 2 30" xfId="21475"/>
    <cellStyle name="40% - Accent5 2 3 2 30 2" xfId="44250"/>
    <cellStyle name="40% - Accent5 2 3 2 31" xfId="22131"/>
    <cellStyle name="40% - Accent5 2 3 2 31 2" xfId="44906"/>
    <cellStyle name="40% - Accent5 2 3 2 32" xfId="22787"/>
    <cellStyle name="40% - Accent5 2 3 2 32 2" xfId="45562"/>
    <cellStyle name="40% - Accent5 2 3 2 33" xfId="23586"/>
    <cellStyle name="40% - Accent5 2 3 2 4" xfId="5075"/>
    <cellStyle name="40% - Accent5 2 3 2 4 2" xfId="27850"/>
    <cellStyle name="40% - Accent5 2 3 2 5" xfId="5731"/>
    <cellStyle name="40% - Accent5 2 3 2 5 2" xfId="28506"/>
    <cellStyle name="40% - Accent5 2 3 2 6" xfId="6387"/>
    <cellStyle name="40% - Accent5 2 3 2 6 2" xfId="29162"/>
    <cellStyle name="40% - Accent5 2 3 2 7" xfId="3107"/>
    <cellStyle name="40% - Accent5 2 3 2 7 2" xfId="25882"/>
    <cellStyle name="40% - Accent5 2 3 2 8" xfId="7043"/>
    <cellStyle name="40% - Accent5 2 3 2 8 2" xfId="29818"/>
    <cellStyle name="40% - Accent5 2 3 2 9" xfId="7699"/>
    <cellStyle name="40% - Accent5 2 3 2 9 2" xfId="30474"/>
    <cellStyle name="40% - Accent5 2 3 20" xfId="13275"/>
    <cellStyle name="40% - Accent5 2 3 20 2" xfId="36050"/>
    <cellStyle name="40% - Accent5 2 3 21" xfId="13931"/>
    <cellStyle name="40% - Accent5 2 3 21 2" xfId="36706"/>
    <cellStyle name="40% - Accent5 2 3 22" xfId="14587"/>
    <cellStyle name="40% - Accent5 2 3 22 2" xfId="37362"/>
    <cellStyle name="40% - Accent5 2 3 23" xfId="15243"/>
    <cellStyle name="40% - Accent5 2 3 23 2" xfId="38018"/>
    <cellStyle name="40% - Accent5 2 3 24" xfId="15899"/>
    <cellStyle name="40% - Accent5 2 3 24 2" xfId="38674"/>
    <cellStyle name="40% - Accent5 2 3 25" xfId="16555"/>
    <cellStyle name="40% - Accent5 2 3 25 2" xfId="39330"/>
    <cellStyle name="40% - Accent5 2 3 26" xfId="17211"/>
    <cellStyle name="40% - Accent5 2 3 26 2" xfId="39986"/>
    <cellStyle name="40% - Accent5 2 3 27" xfId="17867"/>
    <cellStyle name="40% - Accent5 2 3 27 2" xfId="40642"/>
    <cellStyle name="40% - Accent5 2 3 28" xfId="18523"/>
    <cellStyle name="40% - Accent5 2 3 28 2" xfId="41298"/>
    <cellStyle name="40% - Accent5 2 3 29" xfId="19179"/>
    <cellStyle name="40% - Accent5 2 3 29 2" xfId="41954"/>
    <cellStyle name="40% - Accent5 2 3 3" xfId="1139"/>
    <cellStyle name="40% - Accent5 2 3 3 2" xfId="2779"/>
    <cellStyle name="40% - Accent5 2 3 3 2 2" xfId="25554"/>
    <cellStyle name="40% - Accent5 2 3 3 3" xfId="23914"/>
    <cellStyle name="40% - Accent5 2 3 30" xfId="19835"/>
    <cellStyle name="40% - Accent5 2 3 30 2" xfId="42610"/>
    <cellStyle name="40% - Accent5 2 3 31" xfId="20491"/>
    <cellStyle name="40% - Accent5 2 3 31 2" xfId="43266"/>
    <cellStyle name="40% - Accent5 2 3 32" xfId="21147"/>
    <cellStyle name="40% - Accent5 2 3 32 2" xfId="43922"/>
    <cellStyle name="40% - Accent5 2 3 33" xfId="21803"/>
    <cellStyle name="40% - Accent5 2 3 33 2" xfId="44578"/>
    <cellStyle name="40% - Accent5 2 3 34" xfId="22459"/>
    <cellStyle name="40% - Accent5 2 3 34 2" xfId="45234"/>
    <cellStyle name="40% - Accent5 2 3 35" xfId="23258"/>
    <cellStyle name="40% - Accent5 2 3 4" xfId="1795"/>
    <cellStyle name="40% - Accent5 2 3 4 2" xfId="3435"/>
    <cellStyle name="40% - Accent5 2 3 4 2 2" xfId="26210"/>
    <cellStyle name="40% - Accent5 2 3 4 3" xfId="24570"/>
    <cellStyle name="40% - Accent5 2 3 5" xfId="4091"/>
    <cellStyle name="40% - Accent5 2 3 5 2" xfId="26866"/>
    <cellStyle name="40% - Accent5 2 3 6" xfId="4747"/>
    <cellStyle name="40% - Accent5 2 3 6 2" xfId="27522"/>
    <cellStyle name="40% - Accent5 2 3 7" xfId="5403"/>
    <cellStyle name="40% - Accent5 2 3 7 2" xfId="28178"/>
    <cellStyle name="40% - Accent5 2 3 8" xfId="6059"/>
    <cellStyle name="40% - Accent5 2 3 8 2" xfId="28834"/>
    <cellStyle name="40% - Accent5 2 3 9" xfId="2451"/>
    <cellStyle name="40% - Accent5 2 3 9 2" xfId="25226"/>
    <cellStyle name="40% - Accent5 2 30" xfId="18338"/>
    <cellStyle name="40% - Accent5 2 30 2" xfId="41113"/>
    <cellStyle name="40% - Accent5 2 31" xfId="18994"/>
    <cellStyle name="40% - Accent5 2 31 2" xfId="41769"/>
    <cellStyle name="40% - Accent5 2 32" xfId="19650"/>
    <cellStyle name="40% - Accent5 2 32 2" xfId="42425"/>
    <cellStyle name="40% - Accent5 2 33" xfId="20306"/>
    <cellStyle name="40% - Accent5 2 33 2" xfId="43081"/>
    <cellStyle name="40% - Accent5 2 34" xfId="20962"/>
    <cellStyle name="40% - Accent5 2 34 2" xfId="43737"/>
    <cellStyle name="40% - Accent5 2 35" xfId="21618"/>
    <cellStyle name="40% - Accent5 2 35 2" xfId="44393"/>
    <cellStyle name="40% - Accent5 2 36" xfId="22274"/>
    <cellStyle name="40% - Accent5 2 36 2" xfId="45049"/>
    <cellStyle name="40% - Accent5 2 37" xfId="213"/>
    <cellStyle name="40% - Accent5 2 38" xfId="22930"/>
    <cellStyle name="40% - Accent5 2 4" xfId="626"/>
    <cellStyle name="40% - Accent5 2 4 10" xfId="8170"/>
    <cellStyle name="40% - Accent5 2 4 10 2" xfId="30945"/>
    <cellStyle name="40% - Accent5 2 4 11" xfId="8826"/>
    <cellStyle name="40% - Accent5 2 4 11 2" xfId="31601"/>
    <cellStyle name="40% - Accent5 2 4 12" xfId="9482"/>
    <cellStyle name="40% - Accent5 2 4 12 2" xfId="32257"/>
    <cellStyle name="40% - Accent5 2 4 13" xfId="10138"/>
    <cellStyle name="40% - Accent5 2 4 13 2" xfId="32913"/>
    <cellStyle name="40% - Accent5 2 4 14" xfId="10794"/>
    <cellStyle name="40% - Accent5 2 4 14 2" xfId="33569"/>
    <cellStyle name="40% - Accent5 2 4 15" xfId="11450"/>
    <cellStyle name="40% - Accent5 2 4 15 2" xfId="34225"/>
    <cellStyle name="40% - Accent5 2 4 16" xfId="12106"/>
    <cellStyle name="40% - Accent5 2 4 16 2" xfId="34881"/>
    <cellStyle name="40% - Accent5 2 4 17" xfId="12762"/>
    <cellStyle name="40% - Accent5 2 4 17 2" xfId="35537"/>
    <cellStyle name="40% - Accent5 2 4 18" xfId="13418"/>
    <cellStyle name="40% - Accent5 2 4 18 2" xfId="36193"/>
    <cellStyle name="40% - Accent5 2 4 19" xfId="14074"/>
    <cellStyle name="40% - Accent5 2 4 19 2" xfId="36849"/>
    <cellStyle name="40% - Accent5 2 4 2" xfId="1282"/>
    <cellStyle name="40% - Accent5 2 4 2 2" xfId="3578"/>
    <cellStyle name="40% - Accent5 2 4 2 2 2" xfId="26353"/>
    <cellStyle name="40% - Accent5 2 4 2 3" xfId="24057"/>
    <cellStyle name="40% - Accent5 2 4 20" xfId="14730"/>
    <cellStyle name="40% - Accent5 2 4 20 2" xfId="37505"/>
    <cellStyle name="40% - Accent5 2 4 21" xfId="15386"/>
    <cellStyle name="40% - Accent5 2 4 21 2" xfId="38161"/>
    <cellStyle name="40% - Accent5 2 4 22" xfId="16042"/>
    <cellStyle name="40% - Accent5 2 4 22 2" xfId="38817"/>
    <cellStyle name="40% - Accent5 2 4 23" xfId="16698"/>
    <cellStyle name="40% - Accent5 2 4 23 2" xfId="39473"/>
    <cellStyle name="40% - Accent5 2 4 24" xfId="17354"/>
    <cellStyle name="40% - Accent5 2 4 24 2" xfId="40129"/>
    <cellStyle name="40% - Accent5 2 4 25" xfId="18010"/>
    <cellStyle name="40% - Accent5 2 4 25 2" xfId="40785"/>
    <cellStyle name="40% - Accent5 2 4 26" xfId="18666"/>
    <cellStyle name="40% - Accent5 2 4 26 2" xfId="41441"/>
    <cellStyle name="40% - Accent5 2 4 27" xfId="19322"/>
    <cellStyle name="40% - Accent5 2 4 27 2" xfId="42097"/>
    <cellStyle name="40% - Accent5 2 4 28" xfId="19978"/>
    <cellStyle name="40% - Accent5 2 4 28 2" xfId="42753"/>
    <cellStyle name="40% - Accent5 2 4 29" xfId="20634"/>
    <cellStyle name="40% - Accent5 2 4 29 2" xfId="43409"/>
    <cellStyle name="40% - Accent5 2 4 3" xfId="1938"/>
    <cellStyle name="40% - Accent5 2 4 3 2" xfId="4234"/>
    <cellStyle name="40% - Accent5 2 4 3 2 2" xfId="27009"/>
    <cellStyle name="40% - Accent5 2 4 3 3" xfId="24713"/>
    <cellStyle name="40% - Accent5 2 4 30" xfId="21290"/>
    <cellStyle name="40% - Accent5 2 4 30 2" xfId="44065"/>
    <cellStyle name="40% - Accent5 2 4 31" xfId="21946"/>
    <cellStyle name="40% - Accent5 2 4 31 2" xfId="44721"/>
    <cellStyle name="40% - Accent5 2 4 32" xfId="22602"/>
    <cellStyle name="40% - Accent5 2 4 32 2" xfId="45377"/>
    <cellStyle name="40% - Accent5 2 4 33" xfId="23401"/>
    <cellStyle name="40% - Accent5 2 4 4" xfId="4890"/>
    <cellStyle name="40% - Accent5 2 4 4 2" xfId="27665"/>
    <cellStyle name="40% - Accent5 2 4 5" xfId="5546"/>
    <cellStyle name="40% - Accent5 2 4 5 2" xfId="28321"/>
    <cellStyle name="40% - Accent5 2 4 6" xfId="6202"/>
    <cellStyle name="40% - Accent5 2 4 6 2" xfId="28977"/>
    <cellStyle name="40% - Accent5 2 4 7" xfId="2922"/>
    <cellStyle name="40% - Accent5 2 4 7 2" xfId="25697"/>
    <cellStyle name="40% - Accent5 2 4 8" xfId="6858"/>
    <cellStyle name="40% - Accent5 2 4 8 2" xfId="29633"/>
    <cellStyle name="40% - Accent5 2 4 9" xfId="7514"/>
    <cellStyle name="40% - Accent5 2 4 9 2" xfId="30289"/>
    <cellStyle name="40% - Accent5 2 5" xfId="299"/>
    <cellStyle name="40% - Accent5 2 5 2" xfId="2594"/>
    <cellStyle name="40% - Accent5 2 5 2 2" xfId="25369"/>
    <cellStyle name="40% - Accent5 2 5 3" xfId="23073"/>
    <cellStyle name="40% - Accent5 2 6" xfId="954"/>
    <cellStyle name="40% - Accent5 2 6 2" xfId="3250"/>
    <cellStyle name="40% - Accent5 2 6 2 2" xfId="26025"/>
    <cellStyle name="40% - Accent5 2 6 3" xfId="23729"/>
    <cellStyle name="40% - Accent5 2 7" xfId="1610"/>
    <cellStyle name="40% - Accent5 2 7 2" xfId="3906"/>
    <cellStyle name="40% - Accent5 2 7 2 2" xfId="26681"/>
    <cellStyle name="40% - Accent5 2 7 3" xfId="24385"/>
    <cellStyle name="40% - Accent5 2 8" xfId="4562"/>
    <cellStyle name="40% - Accent5 2 8 2" xfId="27337"/>
    <cellStyle name="40% - Accent5 2 9" xfId="5218"/>
    <cellStyle name="40% - Accent5 2 9 2" xfId="27993"/>
    <cellStyle name="40% - Accent5 20" xfId="7170"/>
    <cellStyle name="40% - Accent5 20 2" xfId="29945"/>
    <cellStyle name="40% - Accent5 21" xfId="7826"/>
    <cellStyle name="40% - Accent5 21 2" xfId="30601"/>
    <cellStyle name="40% - Accent5 22" xfId="8482"/>
    <cellStyle name="40% - Accent5 22 2" xfId="31257"/>
    <cellStyle name="40% - Accent5 23" xfId="9138"/>
    <cellStyle name="40% - Accent5 23 2" xfId="31913"/>
    <cellStyle name="40% - Accent5 24" xfId="9794"/>
    <cellStyle name="40% - Accent5 24 2" xfId="32569"/>
    <cellStyle name="40% - Accent5 25" xfId="10450"/>
    <cellStyle name="40% - Accent5 25 2" xfId="33225"/>
    <cellStyle name="40% - Accent5 26" xfId="11106"/>
    <cellStyle name="40% - Accent5 26 2" xfId="33881"/>
    <cellStyle name="40% - Accent5 27" xfId="11762"/>
    <cellStyle name="40% - Accent5 27 2" xfId="34537"/>
    <cellStyle name="40% - Accent5 28" xfId="12418"/>
    <cellStyle name="40% - Accent5 28 2" xfId="35193"/>
    <cellStyle name="40% - Accent5 29" xfId="13074"/>
    <cellStyle name="40% - Accent5 29 2" xfId="35849"/>
    <cellStyle name="40% - Accent5 3" xfId="62"/>
    <cellStyle name="40% - Accent5 3 10" xfId="5889"/>
    <cellStyle name="40% - Accent5 3 10 2" xfId="28664"/>
    <cellStyle name="40% - Accent5 3 11" xfId="2281"/>
    <cellStyle name="40% - Accent5 3 11 2" xfId="25056"/>
    <cellStyle name="40% - Accent5 3 12" xfId="6545"/>
    <cellStyle name="40% - Accent5 3 12 2" xfId="29320"/>
    <cellStyle name="40% - Accent5 3 13" xfId="7201"/>
    <cellStyle name="40% - Accent5 3 13 2" xfId="29976"/>
    <cellStyle name="40% - Accent5 3 14" xfId="7857"/>
    <cellStyle name="40% - Accent5 3 14 2" xfId="30632"/>
    <cellStyle name="40% - Accent5 3 15" xfId="8513"/>
    <cellStyle name="40% - Accent5 3 15 2" xfId="31288"/>
    <cellStyle name="40% - Accent5 3 16" xfId="9169"/>
    <cellStyle name="40% - Accent5 3 16 2" xfId="31944"/>
    <cellStyle name="40% - Accent5 3 17" xfId="9825"/>
    <cellStyle name="40% - Accent5 3 17 2" xfId="32600"/>
    <cellStyle name="40% - Accent5 3 18" xfId="10481"/>
    <cellStyle name="40% - Accent5 3 18 2" xfId="33256"/>
    <cellStyle name="40% - Accent5 3 19" xfId="11137"/>
    <cellStyle name="40% - Accent5 3 19 2" xfId="33912"/>
    <cellStyle name="40% - Accent5 3 2" xfId="140"/>
    <cellStyle name="40% - Accent5 3 2 10" xfId="2336"/>
    <cellStyle name="40% - Accent5 3 2 10 2" xfId="25111"/>
    <cellStyle name="40% - Accent5 3 2 11" xfId="6600"/>
    <cellStyle name="40% - Accent5 3 2 11 2" xfId="29375"/>
    <cellStyle name="40% - Accent5 3 2 12" xfId="7256"/>
    <cellStyle name="40% - Accent5 3 2 12 2" xfId="30031"/>
    <cellStyle name="40% - Accent5 3 2 13" xfId="7912"/>
    <cellStyle name="40% - Accent5 3 2 13 2" xfId="30687"/>
    <cellStyle name="40% - Accent5 3 2 14" xfId="8568"/>
    <cellStyle name="40% - Accent5 3 2 14 2" xfId="31343"/>
    <cellStyle name="40% - Accent5 3 2 15" xfId="9224"/>
    <cellStyle name="40% - Accent5 3 2 15 2" xfId="31999"/>
    <cellStyle name="40% - Accent5 3 2 16" xfId="9880"/>
    <cellStyle name="40% - Accent5 3 2 16 2" xfId="32655"/>
    <cellStyle name="40% - Accent5 3 2 17" xfId="10536"/>
    <cellStyle name="40% - Accent5 3 2 17 2" xfId="33311"/>
    <cellStyle name="40% - Accent5 3 2 18" xfId="11192"/>
    <cellStyle name="40% - Accent5 3 2 18 2" xfId="33967"/>
    <cellStyle name="40% - Accent5 3 2 19" xfId="11848"/>
    <cellStyle name="40% - Accent5 3 2 19 2" xfId="34623"/>
    <cellStyle name="40% - Accent5 3 2 2" xfId="552"/>
    <cellStyle name="40% - Accent5 3 2 2 10" xfId="6785"/>
    <cellStyle name="40% - Accent5 3 2 2 10 2" xfId="29560"/>
    <cellStyle name="40% - Accent5 3 2 2 11" xfId="7441"/>
    <cellStyle name="40% - Accent5 3 2 2 11 2" xfId="30216"/>
    <cellStyle name="40% - Accent5 3 2 2 12" xfId="8097"/>
    <cellStyle name="40% - Accent5 3 2 2 12 2" xfId="30872"/>
    <cellStyle name="40% - Accent5 3 2 2 13" xfId="8753"/>
    <cellStyle name="40% - Accent5 3 2 2 13 2" xfId="31528"/>
    <cellStyle name="40% - Accent5 3 2 2 14" xfId="9409"/>
    <cellStyle name="40% - Accent5 3 2 2 14 2" xfId="32184"/>
    <cellStyle name="40% - Accent5 3 2 2 15" xfId="10065"/>
    <cellStyle name="40% - Accent5 3 2 2 15 2" xfId="32840"/>
    <cellStyle name="40% - Accent5 3 2 2 16" xfId="10721"/>
    <cellStyle name="40% - Accent5 3 2 2 16 2" xfId="33496"/>
    <cellStyle name="40% - Accent5 3 2 2 17" xfId="11377"/>
    <cellStyle name="40% - Accent5 3 2 2 17 2" xfId="34152"/>
    <cellStyle name="40% - Accent5 3 2 2 18" xfId="12033"/>
    <cellStyle name="40% - Accent5 3 2 2 18 2" xfId="34808"/>
    <cellStyle name="40% - Accent5 3 2 2 19" xfId="12689"/>
    <cellStyle name="40% - Accent5 3 2 2 19 2" xfId="35464"/>
    <cellStyle name="40% - Accent5 3 2 2 2" xfId="881"/>
    <cellStyle name="40% - Accent5 3 2 2 2 10" xfId="8425"/>
    <cellStyle name="40% - Accent5 3 2 2 2 10 2" xfId="31200"/>
    <cellStyle name="40% - Accent5 3 2 2 2 11" xfId="9081"/>
    <cellStyle name="40% - Accent5 3 2 2 2 11 2" xfId="31856"/>
    <cellStyle name="40% - Accent5 3 2 2 2 12" xfId="9737"/>
    <cellStyle name="40% - Accent5 3 2 2 2 12 2" xfId="32512"/>
    <cellStyle name="40% - Accent5 3 2 2 2 13" xfId="10393"/>
    <cellStyle name="40% - Accent5 3 2 2 2 13 2" xfId="33168"/>
    <cellStyle name="40% - Accent5 3 2 2 2 14" xfId="11049"/>
    <cellStyle name="40% - Accent5 3 2 2 2 14 2" xfId="33824"/>
    <cellStyle name="40% - Accent5 3 2 2 2 15" xfId="11705"/>
    <cellStyle name="40% - Accent5 3 2 2 2 15 2" xfId="34480"/>
    <cellStyle name="40% - Accent5 3 2 2 2 16" xfId="12361"/>
    <cellStyle name="40% - Accent5 3 2 2 2 16 2" xfId="35136"/>
    <cellStyle name="40% - Accent5 3 2 2 2 17" xfId="13017"/>
    <cellStyle name="40% - Accent5 3 2 2 2 17 2" xfId="35792"/>
    <cellStyle name="40% - Accent5 3 2 2 2 18" xfId="13673"/>
    <cellStyle name="40% - Accent5 3 2 2 2 18 2" xfId="36448"/>
    <cellStyle name="40% - Accent5 3 2 2 2 19" xfId="14329"/>
    <cellStyle name="40% - Accent5 3 2 2 2 19 2" xfId="37104"/>
    <cellStyle name="40% - Accent5 3 2 2 2 2" xfId="1537"/>
    <cellStyle name="40% - Accent5 3 2 2 2 2 2" xfId="3833"/>
    <cellStyle name="40% - Accent5 3 2 2 2 2 2 2" xfId="26608"/>
    <cellStyle name="40% - Accent5 3 2 2 2 2 3" xfId="24312"/>
    <cellStyle name="40% - Accent5 3 2 2 2 20" xfId="14985"/>
    <cellStyle name="40% - Accent5 3 2 2 2 20 2" xfId="37760"/>
    <cellStyle name="40% - Accent5 3 2 2 2 21" xfId="15641"/>
    <cellStyle name="40% - Accent5 3 2 2 2 21 2" xfId="38416"/>
    <cellStyle name="40% - Accent5 3 2 2 2 22" xfId="16297"/>
    <cellStyle name="40% - Accent5 3 2 2 2 22 2" xfId="39072"/>
    <cellStyle name="40% - Accent5 3 2 2 2 23" xfId="16953"/>
    <cellStyle name="40% - Accent5 3 2 2 2 23 2" xfId="39728"/>
    <cellStyle name="40% - Accent5 3 2 2 2 24" xfId="17609"/>
    <cellStyle name="40% - Accent5 3 2 2 2 24 2" xfId="40384"/>
    <cellStyle name="40% - Accent5 3 2 2 2 25" xfId="18265"/>
    <cellStyle name="40% - Accent5 3 2 2 2 25 2" xfId="41040"/>
    <cellStyle name="40% - Accent5 3 2 2 2 26" xfId="18921"/>
    <cellStyle name="40% - Accent5 3 2 2 2 26 2" xfId="41696"/>
    <cellStyle name="40% - Accent5 3 2 2 2 27" xfId="19577"/>
    <cellStyle name="40% - Accent5 3 2 2 2 27 2" xfId="42352"/>
    <cellStyle name="40% - Accent5 3 2 2 2 28" xfId="20233"/>
    <cellStyle name="40% - Accent5 3 2 2 2 28 2" xfId="43008"/>
    <cellStyle name="40% - Accent5 3 2 2 2 29" xfId="20889"/>
    <cellStyle name="40% - Accent5 3 2 2 2 29 2" xfId="43664"/>
    <cellStyle name="40% - Accent5 3 2 2 2 3" xfId="2193"/>
    <cellStyle name="40% - Accent5 3 2 2 2 3 2" xfId="4489"/>
    <cellStyle name="40% - Accent5 3 2 2 2 3 2 2" xfId="27264"/>
    <cellStyle name="40% - Accent5 3 2 2 2 3 3" xfId="24968"/>
    <cellStyle name="40% - Accent5 3 2 2 2 30" xfId="21545"/>
    <cellStyle name="40% - Accent5 3 2 2 2 30 2" xfId="44320"/>
    <cellStyle name="40% - Accent5 3 2 2 2 31" xfId="22201"/>
    <cellStyle name="40% - Accent5 3 2 2 2 31 2" xfId="44976"/>
    <cellStyle name="40% - Accent5 3 2 2 2 32" xfId="22857"/>
    <cellStyle name="40% - Accent5 3 2 2 2 32 2" xfId="45632"/>
    <cellStyle name="40% - Accent5 3 2 2 2 33" xfId="23656"/>
    <cellStyle name="40% - Accent5 3 2 2 2 4" xfId="5145"/>
    <cellStyle name="40% - Accent5 3 2 2 2 4 2" xfId="27920"/>
    <cellStyle name="40% - Accent5 3 2 2 2 5" xfId="5801"/>
    <cellStyle name="40% - Accent5 3 2 2 2 5 2" xfId="28576"/>
    <cellStyle name="40% - Accent5 3 2 2 2 6" xfId="6457"/>
    <cellStyle name="40% - Accent5 3 2 2 2 6 2" xfId="29232"/>
    <cellStyle name="40% - Accent5 3 2 2 2 7" xfId="3177"/>
    <cellStyle name="40% - Accent5 3 2 2 2 7 2" xfId="25952"/>
    <cellStyle name="40% - Accent5 3 2 2 2 8" xfId="7113"/>
    <cellStyle name="40% - Accent5 3 2 2 2 8 2" xfId="29888"/>
    <cellStyle name="40% - Accent5 3 2 2 2 9" xfId="7769"/>
    <cellStyle name="40% - Accent5 3 2 2 2 9 2" xfId="30544"/>
    <cellStyle name="40% - Accent5 3 2 2 20" xfId="13345"/>
    <cellStyle name="40% - Accent5 3 2 2 20 2" xfId="36120"/>
    <cellStyle name="40% - Accent5 3 2 2 21" xfId="14001"/>
    <cellStyle name="40% - Accent5 3 2 2 21 2" xfId="36776"/>
    <cellStyle name="40% - Accent5 3 2 2 22" xfId="14657"/>
    <cellStyle name="40% - Accent5 3 2 2 22 2" xfId="37432"/>
    <cellStyle name="40% - Accent5 3 2 2 23" xfId="15313"/>
    <cellStyle name="40% - Accent5 3 2 2 23 2" xfId="38088"/>
    <cellStyle name="40% - Accent5 3 2 2 24" xfId="15969"/>
    <cellStyle name="40% - Accent5 3 2 2 24 2" xfId="38744"/>
    <cellStyle name="40% - Accent5 3 2 2 25" xfId="16625"/>
    <cellStyle name="40% - Accent5 3 2 2 25 2" xfId="39400"/>
    <cellStyle name="40% - Accent5 3 2 2 26" xfId="17281"/>
    <cellStyle name="40% - Accent5 3 2 2 26 2" xfId="40056"/>
    <cellStyle name="40% - Accent5 3 2 2 27" xfId="17937"/>
    <cellStyle name="40% - Accent5 3 2 2 27 2" xfId="40712"/>
    <cellStyle name="40% - Accent5 3 2 2 28" xfId="18593"/>
    <cellStyle name="40% - Accent5 3 2 2 28 2" xfId="41368"/>
    <cellStyle name="40% - Accent5 3 2 2 29" xfId="19249"/>
    <cellStyle name="40% - Accent5 3 2 2 29 2" xfId="42024"/>
    <cellStyle name="40% - Accent5 3 2 2 3" xfId="1209"/>
    <cellStyle name="40% - Accent5 3 2 2 3 2" xfId="2849"/>
    <cellStyle name="40% - Accent5 3 2 2 3 2 2" xfId="25624"/>
    <cellStyle name="40% - Accent5 3 2 2 3 3" xfId="23984"/>
    <cellStyle name="40% - Accent5 3 2 2 30" xfId="19905"/>
    <cellStyle name="40% - Accent5 3 2 2 30 2" xfId="42680"/>
    <cellStyle name="40% - Accent5 3 2 2 31" xfId="20561"/>
    <cellStyle name="40% - Accent5 3 2 2 31 2" xfId="43336"/>
    <cellStyle name="40% - Accent5 3 2 2 32" xfId="21217"/>
    <cellStyle name="40% - Accent5 3 2 2 32 2" xfId="43992"/>
    <cellStyle name="40% - Accent5 3 2 2 33" xfId="21873"/>
    <cellStyle name="40% - Accent5 3 2 2 33 2" xfId="44648"/>
    <cellStyle name="40% - Accent5 3 2 2 34" xfId="22529"/>
    <cellStyle name="40% - Accent5 3 2 2 34 2" xfId="45304"/>
    <cellStyle name="40% - Accent5 3 2 2 35" xfId="23328"/>
    <cellStyle name="40% - Accent5 3 2 2 4" xfId="1865"/>
    <cellStyle name="40% - Accent5 3 2 2 4 2" xfId="3505"/>
    <cellStyle name="40% - Accent5 3 2 2 4 2 2" xfId="26280"/>
    <cellStyle name="40% - Accent5 3 2 2 4 3" xfId="24640"/>
    <cellStyle name="40% - Accent5 3 2 2 5" xfId="4161"/>
    <cellStyle name="40% - Accent5 3 2 2 5 2" xfId="26936"/>
    <cellStyle name="40% - Accent5 3 2 2 6" xfId="4817"/>
    <cellStyle name="40% - Accent5 3 2 2 6 2" xfId="27592"/>
    <cellStyle name="40% - Accent5 3 2 2 7" xfId="5473"/>
    <cellStyle name="40% - Accent5 3 2 2 7 2" xfId="28248"/>
    <cellStyle name="40% - Accent5 3 2 2 8" xfId="6129"/>
    <cellStyle name="40% - Accent5 3 2 2 8 2" xfId="28904"/>
    <cellStyle name="40% - Accent5 3 2 2 9" xfId="2521"/>
    <cellStyle name="40% - Accent5 3 2 2 9 2" xfId="25296"/>
    <cellStyle name="40% - Accent5 3 2 20" xfId="12504"/>
    <cellStyle name="40% - Accent5 3 2 20 2" xfId="35279"/>
    <cellStyle name="40% - Accent5 3 2 21" xfId="13160"/>
    <cellStyle name="40% - Accent5 3 2 21 2" xfId="35935"/>
    <cellStyle name="40% - Accent5 3 2 22" xfId="13816"/>
    <cellStyle name="40% - Accent5 3 2 22 2" xfId="36591"/>
    <cellStyle name="40% - Accent5 3 2 23" xfId="14472"/>
    <cellStyle name="40% - Accent5 3 2 23 2" xfId="37247"/>
    <cellStyle name="40% - Accent5 3 2 24" xfId="15128"/>
    <cellStyle name="40% - Accent5 3 2 24 2" xfId="37903"/>
    <cellStyle name="40% - Accent5 3 2 25" xfId="15784"/>
    <cellStyle name="40% - Accent5 3 2 25 2" xfId="38559"/>
    <cellStyle name="40% - Accent5 3 2 26" xfId="16440"/>
    <cellStyle name="40% - Accent5 3 2 26 2" xfId="39215"/>
    <cellStyle name="40% - Accent5 3 2 27" xfId="17096"/>
    <cellStyle name="40% - Accent5 3 2 27 2" xfId="39871"/>
    <cellStyle name="40% - Accent5 3 2 28" xfId="17752"/>
    <cellStyle name="40% - Accent5 3 2 28 2" xfId="40527"/>
    <cellStyle name="40% - Accent5 3 2 29" xfId="18408"/>
    <cellStyle name="40% - Accent5 3 2 29 2" xfId="41183"/>
    <cellStyle name="40% - Accent5 3 2 3" xfId="696"/>
    <cellStyle name="40% - Accent5 3 2 3 10" xfId="8240"/>
    <cellStyle name="40% - Accent5 3 2 3 10 2" xfId="31015"/>
    <cellStyle name="40% - Accent5 3 2 3 11" xfId="8896"/>
    <cellStyle name="40% - Accent5 3 2 3 11 2" xfId="31671"/>
    <cellStyle name="40% - Accent5 3 2 3 12" xfId="9552"/>
    <cellStyle name="40% - Accent5 3 2 3 12 2" xfId="32327"/>
    <cellStyle name="40% - Accent5 3 2 3 13" xfId="10208"/>
    <cellStyle name="40% - Accent5 3 2 3 13 2" xfId="32983"/>
    <cellStyle name="40% - Accent5 3 2 3 14" xfId="10864"/>
    <cellStyle name="40% - Accent5 3 2 3 14 2" xfId="33639"/>
    <cellStyle name="40% - Accent5 3 2 3 15" xfId="11520"/>
    <cellStyle name="40% - Accent5 3 2 3 15 2" xfId="34295"/>
    <cellStyle name="40% - Accent5 3 2 3 16" xfId="12176"/>
    <cellStyle name="40% - Accent5 3 2 3 16 2" xfId="34951"/>
    <cellStyle name="40% - Accent5 3 2 3 17" xfId="12832"/>
    <cellStyle name="40% - Accent5 3 2 3 17 2" xfId="35607"/>
    <cellStyle name="40% - Accent5 3 2 3 18" xfId="13488"/>
    <cellStyle name="40% - Accent5 3 2 3 18 2" xfId="36263"/>
    <cellStyle name="40% - Accent5 3 2 3 19" xfId="14144"/>
    <cellStyle name="40% - Accent5 3 2 3 19 2" xfId="36919"/>
    <cellStyle name="40% - Accent5 3 2 3 2" xfId="1352"/>
    <cellStyle name="40% - Accent5 3 2 3 2 2" xfId="3648"/>
    <cellStyle name="40% - Accent5 3 2 3 2 2 2" xfId="26423"/>
    <cellStyle name="40% - Accent5 3 2 3 2 3" xfId="24127"/>
    <cellStyle name="40% - Accent5 3 2 3 20" xfId="14800"/>
    <cellStyle name="40% - Accent5 3 2 3 20 2" xfId="37575"/>
    <cellStyle name="40% - Accent5 3 2 3 21" xfId="15456"/>
    <cellStyle name="40% - Accent5 3 2 3 21 2" xfId="38231"/>
    <cellStyle name="40% - Accent5 3 2 3 22" xfId="16112"/>
    <cellStyle name="40% - Accent5 3 2 3 22 2" xfId="38887"/>
    <cellStyle name="40% - Accent5 3 2 3 23" xfId="16768"/>
    <cellStyle name="40% - Accent5 3 2 3 23 2" xfId="39543"/>
    <cellStyle name="40% - Accent5 3 2 3 24" xfId="17424"/>
    <cellStyle name="40% - Accent5 3 2 3 24 2" xfId="40199"/>
    <cellStyle name="40% - Accent5 3 2 3 25" xfId="18080"/>
    <cellStyle name="40% - Accent5 3 2 3 25 2" xfId="40855"/>
    <cellStyle name="40% - Accent5 3 2 3 26" xfId="18736"/>
    <cellStyle name="40% - Accent5 3 2 3 26 2" xfId="41511"/>
    <cellStyle name="40% - Accent5 3 2 3 27" xfId="19392"/>
    <cellStyle name="40% - Accent5 3 2 3 27 2" xfId="42167"/>
    <cellStyle name="40% - Accent5 3 2 3 28" xfId="20048"/>
    <cellStyle name="40% - Accent5 3 2 3 28 2" xfId="42823"/>
    <cellStyle name="40% - Accent5 3 2 3 29" xfId="20704"/>
    <cellStyle name="40% - Accent5 3 2 3 29 2" xfId="43479"/>
    <cellStyle name="40% - Accent5 3 2 3 3" xfId="2008"/>
    <cellStyle name="40% - Accent5 3 2 3 3 2" xfId="4304"/>
    <cellStyle name="40% - Accent5 3 2 3 3 2 2" xfId="27079"/>
    <cellStyle name="40% - Accent5 3 2 3 3 3" xfId="24783"/>
    <cellStyle name="40% - Accent5 3 2 3 30" xfId="21360"/>
    <cellStyle name="40% - Accent5 3 2 3 30 2" xfId="44135"/>
    <cellStyle name="40% - Accent5 3 2 3 31" xfId="22016"/>
    <cellStyle name="40% - Accent5 3 2 3 31 2" xfId="44791"/>
    <cellStyle name="40% - Accent5 3 2 3 32" xfId="22672"/>
    <cellStyle name="40% - Accent5 3 2 3 32 2" xfId="45447"/>
    <cellStyle name="40% - Accent5 3 2 3 33" xfId="23471"/>
    <cellStyle name="40% - Accent5 3 2 3 4" xfId="4960"/>
    <cellStyle name="40% - Accent5 3 2 3 4 2" xfId="27735"/>
    <cellStyle name="40% - Accent5 3 2 3 5" xfId="5616"/>
    <cellStyle name="40% - Accent5 3 2 3 5 2" xfId="28391"/>
    <cellStyle name="40% - Accent5 3 2 3 6" xfId="6272"/>
    <cellStyle name="40% - Accent5 3 2 3 6 2" xfId="29047"/>
    <cellStyle name="40% - Accent5 3 2 3 7" xfId="2992"/>
    <cellStyle name="40% - Accent5 3 2 3 7 2" xfId="25767"/>
    <cellStyle name="40% - Accent5 3 2 3 8" xfId="6928"/>
    <cellStyle name="40% - Accent5 3 2 3 8 2" xfId="29703"/>
    <cellStyle name="40% - Accent5 3 2 3 9" xfId="7584"/>
    <cellStyle name="40% - Accent5 3 2 3 9 2" xfId="30359"/>
    <cellStyle name="40% - Accent5 3 2 30" xfId="19064"/>
    <cellStyle name="40% - Accent5 3 2 30 2" xfId="41839"/>
    <cellStyle name="40% - Accent5 3 2 31" xfId="19720"/>
    <cellStyle name="40% - Accent5 3 2 31 2" xfId="42495"/>
    <cellStyle name="40% - Accent5 3 2 32" xfId="20376"/>
    <cellStyle name="40% - Accent5 3 2 32 2" xfId="43151"/>
    <cellStyle name="40% - Accent5 3 2 33" xfId="21032"/>
    <cellStyle name="40% - Accent5 3 2 33 2" xfId="43807"/>
    <cellStyle name="40% - Accent5 3 2 34" xfId="21688"/>
    <cellStyle name="40% - Accent5 3 2 34 2" xfId="44463"/>
    <cellStyle name="40% - Accent5 3 2 35" xfId="22344"/>
    <cellStyle name="40% - Accent5 3 2 35 2" xfId="45119"/>
    <cellStyle name="40% - Accent5 3 2 36" xfId="23000"/>
    <cellStyle name="40% - Accent5 3 2 4" xfId="369"/>
    <cellStyle name="40% - Accent5 3 2 4 2" xfId="2664"/>
    <cellStyle name="40% - Accent5 3 2 4 2 2" xfId="25439"/>
    <cellStyle name="40% - Accent5 3 2 4 3" xfId="23143"/>
    <cellStyle name="40% - Accent5 3 2 5" xfId="1024"/>
    <cellStyle name="40% - Accent5 3 2 5 2" xfId="3320"/>
    <cellStyle name="40% - Accent5 3 2 5 2 2" xfId="26095"/>
    <cellStyle name="40% - Accent5 3 2 5 3" xfId="23799"/>
    <cellStyle name="40% - Accent5 3 2 6" xfId="1680"/>
    <cellStyle name="40% - Accent5 3 2 6 2" xfId="3976"/>
    <cellStyle name="40% - Accent5 3 2 6 2 2" xfId="26751"/>
    <cellStyle name="40% - Accent5 3 2 6 3" xfId="24455"/>
    <cellStyle name="40% - Accent5 3 2 7" xfId="4632"/>
    <cellStyle name="40% - Accent5 3 2 7 2" xfId="27407"/>
    <cellStyle name="40% - Accent5 3 2 8" xfId="5288"/>
    <cellStyle name="40% - Accent5 3 2 8 2" xfId="28063"/>
    <cellStyle name="40% - Accent5 3 2 9" xfId="5944"/>
    <cellStyle name="40% - Accent5 3 2 9 2" xfId="28719"/>
    <cellStyle name="40% - Accent5 3 20" xfId="11793"/>
    <cellStyle name="40% - Accent5 3 20 2" xfId="34568"/>
    <cellStyle name="40% - Accent5 3 21" xfId="12449"/>
    <cellStyle name="40% - Accent5 3 21 2" xfId="35224"/>
    <cellStyle name="40% - Accent5 3 22" xfId="13105"/>
    <cellStyle name="40% - Accent5 3 22 2" xfId="35880"/>
    <cellStyle name="40% - Accent5 3 23" xfId="13761"/>
    <cellStyle name="40% - Accent5 3 23 2" xfId="36536"/>
    <cellStyle name="40% - Accent5 3 24" xfId="14417"/>
    <cellStyle name="40% - Accent5 3 24 2" xfId="37192"/>
    <cellStyle name="40% - Accent5 3 25" xfId="15073"/>
    <cellStyle name="40% - Accent5 3 25 2" xfId="37848"/>
    <cellStyle name="40% - Accent5 3 26" xfId="15729"/>
    <cellStyle name="40% - Accent5 3 26 2" xfId="38504"/>
    <cellStyle name="40% - Accent5 3 27" xfId="16385"/>
    <cellStyle name="40% - Accent5 3 27 2" xfId="39160"/>
    <cellStyle name="40% - Accent5 3 28" xfId="17041"/>
    <cellStyle name="40% - Accent5 3 28 2" xfId="39816"/>
    <cellStyle name="40% - Accent5 3 29" xfId="17697"/>
    <cellStyle name="40% - Accent5 3 29 2" xfId="40472"/>
    <cellStyle name="40% - Accent5 3 3" xfId="498"/>
    <cellStyle name="40% - Accent5 3 3 10" xfId="6730"/>
    <cellStyle name="40% - Accent5 3 3 10 2" xfId="29505"/>
    <cellStyle name="40% - Accent5 3 3 11" xfId="7386"/>
    <cellStyle name="40% - Accent5 3 3 11 2" xfId="30161"/>
    <cellStyle name="40% - Accent5 3 3 12" xfId="8042"/>
    <cellStyle name="40% - Accent5 3 3 12 2" xfId="30817"/>
    <cellStyle name="40% - Accent5 3 3 13" xfId="8698"/>
    <cellStyle name="40% - Accent5 3 3 13 2" xfId="31473"/>
    <cellStyle name="40% - Accent5 3 3 14" xfId="9354"/>
    <cellStyle name="40% - Accent5 3 3 14 2" xfId="32129"/>
    <cellStyle name="40% - Accent5 3 3 15" xfId="10010"/>
    <cellStyle name="40% - Accent5 3 3 15 2" xfId="32785"/>
    <cellStyle name="40% - Accent5 3 3 16" xfId="10666"/>
    <cellStyle name="40% - Accent5 3 3 16 2" xfId="33441"/>
    <cellStyle name="40% - Accent5 3 3 17" xfId="11322"/>
    <cellStyle name="40% - Accent5 3 3 17 2" xfId="34097"/>
    <cellStyle name="40% - Accent5 3 3 18" xfId="11978"/>
    <cellStyle name="40% - Accent5 3 3 18 2" xfId="34753"/>
    <cellStyle name="40% - Accent5 3 3 19" xfId="12634"/>
    <cellStyle name="40% - Accent5 3 3 19 2" xfId="35409"/>
    <cellStyle name="40% - Accent5 3 3 2" xfId="826"/>
    <cellStyle name="40% - Accent5 3 3 2 10" xfId="8370"/>
    <cellStyle name="40% - Accent5 3 3 2 10 2" xfId="31145"/>
    <cellStyle name="40% - Accent5 3 3 2 11" xfId="9026"/>
    <cellStyle name="40% - Accent5 3 3 2 11 2" xfId="31801"/>
    <cellStyle name="40% - Accent5 3 3 2 12" xfId="9682"/>
    <cellStyle name="40% - Accent5 3 3 2 12 2" xfId="32457"/>
    <cellStyle name="40% - Accent5 3 3 2 13" xfId="10338"/>
    <cellStyle name="40% - Accent5 3 3 2 13 2" xfId="33113"/>
    <cellStyle name="40% - Accent5 3 3 2 14" xfId="10994"/>
    <cellStyle name="40% - Accent5 3 3 2 14 2" xfId="33769"/>
    <cellStyle name="40% - Accent5 3 3 2 15" xfId="11650"/>
    <cellStyle name="40% - Accent5 3 3 2 15 2" xfId="34425"/>
    <cellStyle name="40% - Accent5 3 3 2 16" xfId="12306"/>
    <cellStyle name="40% - Accent5 3 3 2 16 2" xfId="35081"/>
    <cellStyle name="40% - Accent5 3 3 2 17" xfId="12962"/>
    <cellStyle name="40% - Accent5 3 3 2 17 2" xfId="35737"/>
    <cellStyle name="40% - Accent5 3 3 2 18" xfId="13618"/>
    <cellStyle name="40% - Accent5 3 3 2 18 2" xfId="36393"/>
    <cellStyle name="40% - Accent5 3 3 2 19" xfId="14274"/>
    <cellStyle name="40% - Accent5 3 3 2 19 2" xfId="37049"/>
    <cellStyle name="40% - Accent5 3 3 2 2" xfId="1482"/>
    <cellStyle name="40% - Accent5 3 3 2 2 2" xfId="3778"/>
    <cellStyle name="40% - Accent5 3 3 2 2 2 2" xfId="26553"/>
    <cellStyle name="40% - Accent5 3 3 2 2 3" xfId="24257"/>
    <cellStyle name="40% - Accent5 3 3 2 20" xfId="14930"/>
    <cellStyle name="40% - Accent5 3 3 2 20 2" xfId="37705"/>
    <cellStyle name="40% - Accent5 3 3 2 21" xfId="15586"/>
    <cellStyle name="40% - Accent5 3 3 2 21 2" xfId="38361"/>
    <cellStyle name="40% - Accent5 3 3 2 22" xfId="16242"/>
    <cellStyle name="40% - Accent5 3 3 2 22 2" xfId="39017"/>
    <cellStyle name="40% - Accent5 3 3 2 23" xfId="16898"/>
    <cellStyle name="40% - Accent5 3 3 2 23 2" xfId="39673"/>
    <cellStyle name="40% - Accent5 3 3 2 24" xfId="17554"/>
    <cellStyle name="40% - Accent5 3 3 2 24 2" xfId="40329"/>
    <cellStyle name="40% - Accent5 3 3 2 25" xfId="18210"/>
    <cellStyle name="40% - Accent5 3 3 2 25 2" xfId="40985"/>
    <cellStyle name="40% - Accent5 3 3 2 26" xfId="18866"/>
    <cellStyle name="40% - Accent5 3 3 2 26 2" xfId="41641"/>
    <cellStyle name="40% - Accent5 3 3 2 27" xfId="19522"/>
    <cellStyle name="40% - Accent5 3 3 2 27 2" xfId="42297"/>
    <cellStyle name="40% - Accent5 3 3 2 28" xfId="20178"/>
    <cellStyle name="40% - Accent5 3 3 2 28 2" xfId="42953"/>
    <cellStyle name="40% - Accent5 3 3 2 29" xfId="20834"/>
    <cellStyle name="40% - Accent5 3 3 2 29 2" xfId="43609"/>
    <cellStyle name="40% - Accent5 3 3 2 3" xfId="2138"/>
    <cellStyle name="40% - Accent5 3 3 2 3 2" xfId="4434"/>
    <cellStyle name="40% - Accent5 3 3 2 3 2 2" xfId="27209"/>
    <cellStyle name="40% - Accent5 3 3 2 3 3" xfId="24913"/>
    <cellStyle name="40% - Accent5 3 3 2 30" xfId="21490"/>
    <cellStyle name="40% - Accent5 3 3 2 30 2" xfId="44265"/>
    <cellStyle name="40% - Accent5 3 3 2 31" xfId="22146"/>
    <cellStyle name="40% - Accent5 3 3 2 31 2" xfId="44921"/>
    <cellStyle name="40% - Accent5 3 3 2 32" xfId="22802"/>
    <cellStyle name="40% - Accent5 3 3 2 32 2" xfId="45577"/>
    <cellStyle name="40% - Accent5 3 3 2 33" xfId="23601"/>
    <cellStyle name="40% - Accent5 3 3 2 4" xfId="5090"/>
    <cellStyle name="40% - Accent5 3 3 2 4 2" xfId="27865"/>
    <cellStyle name="40% - Accent5 3 3 2 5" xfId="5746"/>
    <cellStyle name="40% - Accent5 3 3 2 5 2" xfId="28521"/>
    <cellStyle name="40% - Accent5 3 3 2 6" xfId="6402"/>
    <cellStyle name="40% - Accent5 3 3 2 6 2" xfId="29177"/>
    <cellStyle name="40% - Accent5 3 3 2 7" xfId="3122"/>
    <cellStyle name="40% - Accent5 3 3 2 7 2" xfId="25897"/>
    <cellStyle name="40% - Accent5 3 3 2 8" xfId="7058"/>
    <cellStyle name="40% - Accent5 3 3 2 8 2" xfId="29833"/>
    <cellStyle name="40% - Accent5 3 3 2 9" xfId="7714"/>
    <cellStyle name="40% - Accent5 3 3 2 9 2" xfId="30489"/>
    <cellStyle name="40% - Accent5 3 3 20" xfId="13290"/>
    <cellStyle name="40% - Accent5 3 3 20 2" xfId="36065"/>
    <cellStyle name="40% - Accent5 3 3 21" xfId="13946"/>
    <cellStyle name="40% - Accent5 3 3 21 2" xfId="36721"/>
    <cellStyle name="40% - Accent5 3 3 22" xfId="14602"/>
    <cellStyle name="40% - Accent5 3 3 22 2" xfId="37377"/>
    <cellStyle name="40% - Accent5 3 3 23" xfId="15258"/>
    <cellStyle name="40% - Accent5 3 3 23 2" xfId="38033"/>
    <cellStyle name="40% - Accent5 3 3 24" xfId="15914"/>
    <cellStyle name="40% - Accent5 3 3 24 2" xfId="38689"/>
    <cellStyle name="40% - Accent5 3 3 25" xfId="16570"/>
    <cellStyle name="40% - Accent5 3 3 25 2" xfId="39345"/>
    <cellStyle name="40% - Accent5 3 3 26" xfId="17226"/>
    <cellStyle name="40% - Accent5 3 3 26 2" xfId="40001"/>
    <cellStyle name="40% - Accent5 3 3 27" xfId="17882"/>
    <cellStyle name="40% - Accent5 3 3 27 2" xfId="40657"/>
    <cellStyle name="40% - Accent5 3 3 28" xfId="18538"/>
    <cellStyle name="40% - Accent5 3 3 28 2" xfId="41313"/>
    <cellStyle name="40% - Accent5 3 3 29" xfId="19194"/>
    <cellStyle name="40% - Accent5 3 3 29 2" xfId="41969"/>
    <cellStyle name="40% - Accent5 3 3 3" xfId="1154"/>
    <cellStyle name="40% - Accent5 3 3 3 2" xfId="2794"/>
    <cellStyle name="40% - Accent5 3 3 3 2 2" xfId="25569"/>
    <cellStyle name="40% - Accent5 3 3 3 3" xfId="23929"/>
    <cellStyle name="40% - Accent5 3 3 30" xfId="19850"/>
    <cellStyle name="40% - Accent5 3 3 30 2" xfId="42625"/>
    <cellStyle name="40% - Accent5 3 3 31" xfId="20506"/>
    <cellStyle name="40% - Accent5 3 3 31 2" xfId="43281"/>
    <cellStyle name="40% - Accent5 3 3 32" xfId="21162"/>
    <cellStyle name="40% - Accent5 3 3 32 2" xfId="43937"/>
    <cellStyle name="40% - Accent5 3 3 33" xfId="21818"/>
    <cellStyle name="40% - Accent5 3 3 33 2" xfId="44593"/>
    <cellStyle name="40% - Accent5 3 3 34" xfId="22474"/>
    <cellStyle name="40% - Accent5 3 3 34 2" xfId="45249"/>
    <cellStyle name="40% - Accent5 3 3 35" xfId="23273"/>
    <cellStyle name="40% - Accent5 3 3 4" xfId="1810"/>
    <cellStyle name="40% - Accent5 3 3 4 2" xfId="3450"/>
    <cellStyle name="40% - Accent5 3 3 4 2 2" xfId="26225"/>
    <cellStyle name="40% - Accent5 3 3 4 3" xfId="24585"/>
    <cellStyle name="40% - Accent5 3 3 5" xfId="4106"/>
    <cellStyle name="40% - Accent5 3 3 5 2" xfId="26881"/>
    <cellStyle name="40% - Accent5 3 3 6" xfId="4762"/>
    <cellStyle name="40% - Accent5 3 3 6 2" xfId="27537"/>
    <cellStyle name="40% - Accent5 3 3 7" xfId="5418"/>
    <cellStyle name="40% - Accent5 3 3 7 2" xfId="28193"/>
    <cellStyle name="40% - Accent5 3 3 8" xfId="6074"/>
    <cellStyle name="40% - Accent5 3 3 8 2" xfId="28849"/>
    <cellStyle name="40% - Accent5 3 3 9" xfId="2466"/>
    <cellStyle name="40% - Accent5 3 3 9 2" xfId="25241"/>
    <cellStyle name="40% - Accent5 3 30" xfId="18353"/>
    <cellStyle name="40% - Accent5 3 30 2" xfId="41128"/>
    <cellStyle name="40% - Accent5 3 31" xfId="19009"/>
    <cellStyle name="40% - Accent5 3 31 2" xfId="41784"/>
    <cellStyle name="40% - Accent5 3 32" xfId="19665"/>
    <cellStyle name="40% - Accent5 3 32 2" xfId="42440"/>
    <cellStyle name="40% - Accent5 3 33" xfId="20321"/>
    <cellStyle name="40% - Accent5 3 33 2" xfId="43096"/>
    <cellStyle name="40% - Accent5 3 34" xfId="20977"/>
    <cellStyle name="40% - Accent5 3 34 2" xfId="43752"/>
    <cellStyle name="40% - Accent5 3 35" xfId="21633"/>
    <cellStyle name="40% - Accent5 3 35 2" xfId="44408"/>
    <cellStyle name="40% - Accent5 3 36" xfId="22289"/>
    <cellStyle name="40% - Accent5 3 36 2" xfId="45064"/>
    <cellStyle name="40% - Accent5 3 37" xfId="228"/>
    <cellStyle name="40% - Accent5 3 38" xfId="22945"/>
    <cellStyle name="40% - Accent5 3 4" xfId="641"/>
    <cellStyle name="40% - Accent5 3 4 10" xfId="8185"/>
    <cellStyle name="40% - Accent5 3 4 10 2" xfId="30960"/>
    <cellStyle name="40% - Accent5 3 4 11" xfId="8841"/>
    <cellStyle name="40% - Accent5 3 4 11 2" xfId="31616"/>
    <cellStyle name="40% - Accent5 3 4 12" xfId="9497"/>
    <cellStyle name="40% - Accent5 3 4 12 2" xfId="32272"/>
    <cellStyle name="40% - Accent5 3 4 13" xfId="10153"/>
    <cellStyle name="40% - Accent5 3 4 13 2" xfId="32928"/>
    <cellStyle name="40% - Accent5 3 4 14" xfId="10809"/>
    <cellStyle name="40% - Accent5 3 4 14 2" xfId="33584"/>
    <cellStyle name="40% - Accent5 3 4 15" xfId="11465"/>
    <cellStyle name="40% - Accent5 3 4 15 2" xfId="34240"/>
    <cellStyle name="40% - Accent5 3 4 16" xfId="12121"/>
    <cellStyle name="40% - Accent5 3 4 16 2" xfId="34896"/>
    <cellStyle name="40% - Accent5 3 4 17" xfId="12777"/>
    <cellStyle name="40% - Accent5 3 4 17 2" xfId="35552"/>
    <cellStyle name="40% - Accent5 3 4 18" xfId="13433"/>
    <cellStyle name="40% - Accent5 3 4 18 2" xfId="36208"/>
    <cellStyle name="40% - Accent5 3 4 19" xfId="14089"/>
    <cellStyle name="40% - Accent5 3 4 19 2" xfId="36864"/>
    <cellStyle name="40% - Accent5 3 4 2" xfId="1297"/>
    <cellStyle name="40% - Accent5 3 4 2 2" xfId="3593"/>
    <cellStyle name="40% - Accent5 3 4 2 2 2" xfId="26368"/>
    <cellStyle name="40% - Accent5 3 4 2 3" xfId="24072"/>
    <cellStyle name="40% - Accent5 3 4 20" xfId="14745"/>
    <cellStyle name="40% - Accent5 3 4 20 2" xfId="37520"/>
    <cellStyle name="40% - Accent5 3 4 21" xfId="15401"/>
    <cellStyle name="40% - Accent5 3 4 21 2" xfId="38176"/>
    <cellStyle name="40% - Accent5 3 4 22" xfId="16057"/>
    <cellStyle name="40% - Accent5 3 4 22 2" xfId="38832"/>
    <cellStyle name="40% - Accent5 3 4 23" xfId="16713"/>
    <cellStyle name="40% - Accent5 3 4 23 2" xfId="39488"/>
    <cellStyle name="40% - Accent5 3 4 24" xfId="17369"/>
    <cellStyle name="40% - Accent5 3 4 24 2" xfId="40144"/>
    <cellStyle name="40% - Accent5 3 4 25" xfId="18025"/>
    <cellStyle name="40% - Accent5 3 4 25 2" xfId="40800"/>
    <cellStyle name="40% - Accent5 3 4 26" xfId="18681"/>
    <cellStyle name="40% - Accent5 3 4 26 2" xfId="41456"/>
    <cellStyle name="40% - Accent5 3 4 27" xfId="19337"/>
    <cellStyle name="40% - Accent5 3 4 27 2" xfId="42112"/>
    <cellStyle name="40% - Accent5 3 4 28" xfId="19993"/>
    <cellStyle name="40% - Accent5 3 4 28 2" xfId="42768"/>
    <cellStyle name="40% - Accent5 3 4 29" xfId="20649"/>
    <cellStyle name="40% - Accent5 3 4 29 2" xfId="43424"/>
    <cellStyle name="40% - Accent5 3 4 3" xfId="1953"/>
    <cellStyle name="40% - Accent5 3 4 3 2" xfId="4249"/>
    <cellStyle name="40% - Accent5 3 4 3 2 2" xfId="27024"/>
    <cellStyle name="40% - Accent5 3 4 3 3" xfId="24728"/>
    <cellStyle name="40% - Accent5 3 4 30" xfId="21305"/>
    <cellStyle name="40% - Accent5 3 4 30 2" xfId="44080"/>
    <cellStyle name="40% - Accent5 3 4 31" xfId="21961"/>
    <cellStyle name="40% - Accent5 3 4 31 2" xfId="44736"/>
    <cellStyle name="40% - Accent5 3 4 32" xfId="22617"/>
    <cellStyle name="40% - Accent5 3 4 32 2" xfId="45392"/>
    <cellStyle name="40% - Accent5 3 4 33" xfId="23416"/>
    <cellStyle name="40% - Accent5 3 4 4" xfId="4905"/>
    <cellStyle name="40% - Accent5 3 4 4 2" xfId="27680"/>
    <cellStyle name="40% - Accent5 3 4 5" xfId="5561"/>
    <cellStyle name="40% - Accent5 3 4 5 2" xfId="28336"/>
    <cellStyle name="40% - Accent5 3 4 6" xfId="6217"/>
    <cellStyle name="40% - Accent5 3 4 6 2" xfId="28992"/>
    <cellStyle name="40% - Accent5 3 4 7" xfId="2937"/>
    <cellStyle name="40% - Accent5 3 4 7 2" xfId="25712"/>
    <cellStyle name="40% - Accent5 3 4 8" xfId="6873"/>
    <cellStyle name="40% - Accent5 3 4 8 2" xfId="29648"/>
    <cellStyle name="40% - Accent5 3 4 9" xfId="7529"/>
    <cellStyle name="40% - Accent5 3 4 9 2" xfId="30304"/>
    <cellStyle name="40% - Accent5 3 5" xfId="314"/>
    <cellStyle name="40% - Accent5 3 5 2" xfId="2609"/>
    <cellStyle name="40% - Accent5 3 5 2 2" xfId="25384"/>
    <cellStyle name="40% - Accent5 3 5 3" xfId="23088"/>
    <cellStyle name="40% - Accent5 3 6" xfId="969"/>
    <cellStyle name="40% - Accent5 3 6 2" xfId="3265"/>
    <cellStyle name="40% - Accent5 3 6 2 2" xfId="26040"/>
    <cellStyle name="40% - Accent5 3 6 3" xfId="23744"/>
    <cellStyle name="40% - Accent5 3 7" xfId="1625"/>
    <cellStyle name="40% - Accent5 3 7 2" xfId="3921"/>
    <cellStyle name="40% - Accent5 3 7 2 2" xfId="26696"/>
    <cellStyle name="40% - Accent5 3 7 3" xfId="24400"/>
    <cellStyle name="40% - Accent5 3 8" xfId="4577"/>
    <cellStyle name="40% - Accent5 3 8 2" xfId="27352"/>
    <cellStyle name="40% - Accent5 3 9" xfId="5233"/>
    <cellStyle name="40% - Accent5 3 9 2" xfId="28008"/>
    <cellStyle name="40% - Accent5 30" xfId="13730"/>
    <cellStyle name="40% - Accent5 30 2" xfId="36505"/>
    <cellStyle name="40% - Accent5 31" xfId="14386"/>
    <cellStyle name="40% - Accent5 31 2" xfId="37161"/>
    <cellStyle name="40% - Accent5 32" xfId="15042"/>
    <cellStyle name="40% - Accent5 32 2" xfId="37817"/>
    <cellStyle name="40% - Accent5 33" xfId="15698"/>
    <cellStyle name="40% - Accent5 33 2" xfId="38473"/>
    <cellStyle name="40% - Accent5 34" xfId="16354"/>
    <cellStyle name="40% - Accent5 34 2" xfId="39129"/>
    <cellStyle name="40% - Accent5 35" xfId="17010"/>
    <cellStyle name="40% - Accent5 35 2" xfId="39785"/>
    <cellStyle name="40% - Accent5 36" xfId="17666"/>
    <cellStyle name="40% - Accent5 36 2" xfId="40441"/>
    <cellStyle name="40% - Accent5 37" xfId="18322"/>
    <cellStyle name="40% - Accent5 37 2" xfId="41097"/>
    <cellStyle name="40% - Accent5 38" xfId="18978"/>
    <cellStyle name="40% - Accent5 38 2" xfId="41753"/>
    <cellStyle name="40% - Accent5 39" xfId="19634"/>
    <cellStyle name="40% - Accent5 39 2" xfId="42409"/>
    <cellStyle name="40% - Accent5 4" xfId="97"/>
    <cellStyle name="40% - Accent5 4 10" xfId="5903"/>
    <cellStyle name="40% - Accent5 4 10 2" xfId="28678"/>
    <cellStyle name="40% - Accent5 4 11" xfId="2295"/>
    <cellStyle name="40% - Accent5 4 11 2" xfId="25070"/>
    <cellStyle name="40% - Accent5 4 12" xfId="6559"/>
    <cellStyle name="40% - Accent5 4 12 2" xfId="29334"/>
    <cellStyle name="40% - Accent5 4 13" xfId="7215"/>
    <cellStyle name="40% - Accent5 4 13 2" xfId="29990"/>
    <cellStyle name="40% - Accent5 4 14" xfId="7871"/>
    <cellStyle name="40% - Accent5 4 14 2" xfId="30646"/>
    <cellStyle name="40% - Accent5 4 15" xfId="8527"/>
    <cellStyle name="40% - Accent5 4 15 2" xfId="31302"/>
    <cellStyle name="40% - Accent5 4 16" xfId="9183"/>
    <cellStyle name="40% - Accent5 4 16 2" xfId="31958"/>
    <cellStyle name="40% - Accent5 4 17" xfId="9839"/>
    <cellStyle name="40% - Accent5 4 17 2" xfId="32614"/>
    <cellStyle name="40% - Accent5 4 18" xfId="10495"/>
    <cellStyle name="40% - Accent5 4 18 2" xfId="33270"/>
    <cellStyle name="40% - Accent5 4 19" xfId="11151"/>
    <cellStyle name="40% - Accent5 4 19 2" xfId="33926"/>
    <cellStyle name="40% - Accent5 4 2" xfId="168"/>
    <cellStyle name="40% - Accent5 4 2 10" xfId="2366"/>
    <cellStyle name="40% - Accent5 4 2 10 2" xfId="25141"/>
    <cellStyle name="40% - Accent5 4 2 11" xfId="6630"/>
    <cellStyle name="40% - Accent5 4 2 11 2" xfId="29405"/>
    <cellStyle name="40% - Accent5 4 2 12" xfId="7286"/>
    <cellStyle name="40% - Accent5 4 2 12 2" xfId="30061"/>
    <cellStyle name="40% - Accent5 4 2 13" xfId="7942"/>
    <cellStyle name="40% - Accent5 4 2 13 2" xfId="30717"/>
    <cellStyle name="40% - Accent5 4 2 14" xfId="8598"/>
    <cellStyle name="40% - Accent5 4 2 14 2" xfId="31373"/>
    <cellStyle name="40% - Accent5 4 2 15" xfId="9254"/>
    <cellStyle name="40% - Accent5 4 2 15 2" xfId="32029"/>
    <cellStyle name="40% - Accent5 4 2 16" xfId="9910"/>
    <cellStyle name="40% - Accent5 4 2 16 2" xfId="32685"/>
    <cellStyle name="40% - Accent5 4 2 17" xfId="10566"/>
    <cellStyle name="40% - Accent5 4 2 17 2" xfId="33341"/>
    <cellStyle name="40% - Accent5 4 2 18" xfId="11222"/>
    <cellStyle name="40% - Accent5 4 2 18 2" xfId="33997"/>
    <cellStyle name="40% - Accent5 4 2 19" xfId="11878"/>
    <cellStyle name="40% - Accent5 4 2 19 2" xfId="34653"/>
    <cellStyle name="40% - Accent5 4 2 2" xfId="582"/>
    <cellStyle name="40% - Accent5 4 2 2 10" xfId="6815"/>
    <cellStyle name="40% - Accent5 4 2 2 10 2" xfId="29590"/>
    <cellStyle name="40% - Accent5 4 2 2 11" xfId="7471"/>
    <cellStyle name="40% - Accent5 4 2 2 11 2" xfId="30246"/>
    <cellStyle name="40% - Accent5 4 2 2 12" xfId="8127"/>
    <cellStyle name="40% - Accent5 4 2 2 12 2" xfId="30902"/>
    <cellStyle name="40% - Accent5 4 2 2 13" xfId="8783"/>
    <cellStyle name="40% - Accent5 4 2 2 13 2" xfId="31558"/>
    <cellStyle name="40% - Accent5 4 2 2 14" xfId="9439"/>
    <cellStyle name="40% - Accent5 4 2 2 14 2" xfId="32214"/>
    <cellStyle name="40% - Accent5 4 2 2 15" xfId="10095"/>
    <cellStyle name="40% - Accent5 4 2 2 15 2" xfId="32870"/>
    <cellStyle name="40% - Accent5 4 2 2 16" xfId="10751"/>
    <cellStyle name="40% - Accent5 4 2 2 16 2" xfId="33526"/>
    <cellStyle name="40% - Accent5 4 2 2 17" xfId="11407"/>
    <cellStyle name="40% - Accent5 4 2 2 17 2" xfId="34182"/>
    <cellStyle name="40% - Accent5 4 2 2 18" xfId="12063"/>
    <cellStyle name="40% - Accent5 4 2 2 18 2" xfId="34838"/>
    <cellStyle name="40% - Accent5 4 2 2 19" xfId="12719"/>
    <cellStyle name="40% - Accent5 4 2 2 19 2" xfId="35494"/>
    <cellStyle name="40% - Accent5 4 2 2 2" xfId="911"/>
    <cellStyle name="40% - Accent5 4 2 2 2 10" xfId="8455"/>
    <cellStyle name="40% - Accent5 4 2 2 2 10 2" xfId="31230"/>
    <cellStyle name="40% - Accent5 4 2 2 2 11" xfId="9111"/>
    <cellStyle name="40% - Accent5 4 2 2 2 11 2" xfId="31886"/>
    <cellStyle name="40% - Accent5 4 2 2 2 12" xfId="9767"/>
    <cellStyle name="40% - Accent5 4 2 2 2 12 2" xfId="32542"/>
    <cellStyle name="40% - Accent5 4 2 2 2 13" xfId="10423"/>
    <cellStyle name="40% - Accent5 4 2 2 2 13 2" xfId="33198"/>
    <cellStyle name="40% - Accent5 4 2 2 2 14" xfId="11079"/>
    <cellStyle name="40% - Accent5 4 2 2 2 14 2" xfId="33854"/>
    <cellStyle name="40% - Accent5 4 2 2 2 15" xfId="11735"/>
    <cellStyle name="40% - Accent5 4 2 2 2 15 2" xfId="34510"/>
    <cellStyle name="40% - Accent5 4 2 2 2 16" xfId="12391"/>
    <cellStyle name="40% - Accent5 4 2 2 2 16 2" xfId="35166"/>
    <cellStyle name="40% - Accent5 4 2 2 2 17" xfId="13047"/>
    <cellStyle name="40% - Accent5 4 2 2 2 17 2" xfId="35822"/>
    <cellStyle name="40% - Accent5 4 2 2 2 18" xfId="13703"/>
    <cellStyle name="40% - Accent5 4 2 2 2 18 2" xfId="36478"/>
    <cellStyle name="40% - Accent5 4 2 2 2 19" xfId="14359"/>
    <cellStyle name="40% - Accent5 4 2 2 2 19 2" xfId="37134"/>
    <cellStyle name="40% - Accent5 4 2 2 2 2" xfId="1567"/>
    <cellStyle name="40% - Accent5 4 2 2 2 2 2" xfId="3863"/>
    <cellStyle name="40% - Accent5 4 2 2 2 2 2 2" xfId="26638"/>
    <cellStyle name="40% - Accent5 4 2 2 2 2 3" xfId="24342"/>
    <cellStyle name="40% - Accent5 4 2 2 2 20" xfId="15015"/>
    <cellStyle name="40% - Accent5 4 2 2 2 20 2" xfId="37790"/>
    <cellStyle name="40% - Accent5 4 2 2 2 21" xfId="15671"/>
    <cellStyle name="40% - Accent5 4 2 2 2 21 2" xfId="38446"/>
    <cellStyle name="40% - Accent5 4 2 2 2 22" xfId="16327"/>
    <cellStyle name="40% - Accent5 4 2 2 2 22 2" xfId="39102"/>
    <cellStyle name="40% - Accent5 4 2 2 2 23" xfId="16983"/>
    <cellStyle name="40% - Accent5 4 2 2 2 23 2" xfId="39758"/>
    <cellStyle name="40% - Accent5 4 2 2 2 24" xfId="17639"/>
    <cellStyle name="40% - Accent5 4 2 2 2 24 2" xfId="40414"/>
    <cellStyle name="40% - Accent5 4 2 2 2 25" xfId="18295"/>
    <cellStyle name="40% - Accent5 4 2 2 2 25 2" xfId="41070"/>
    <cellStyle name="40% - Accent5 4 2 2 2 26" xfId="18951"/>
    <cellStyle name="40% - Accent5 4 2 2 2 26 2" xfId="41726"/>
    <cellStyle name="40% - Accent5 4 2 2 2 27" xfId="19607"/>
    <cellStyle name="40% - Accent5 4 2 2 2 27 2" xfId="42382"/>
    <cellStyle name="40% - Accent5 4 2 2 2 28" xfId="20263"/>
    <cellStyle name="40% - Accent5 4 2 2 2 28 2" xfId="43038"/>
    <cellStyle name="40% - Accent5 4 2 2 2 29" xfId="20919"/>
    <cellStyle name="40% - Accent5 4 2 2 2 29 2" xfId="43694"/>
    <cellStyle name="40% - Accent5 4 2 2 2 3" xfId="2223"/>
    <cellStyle name="40% - Accent5 4 2 2 2 3 2" xfId="4519"/>
    <cellStyle name="40% - Accent5 4 2 2 2 3 2 2" xfId="27294"/>
    <cellStyle name="40% - Accent5 4 2 2 2 3 3" xfId="24998"/>
    <cellStyle name="40% - Accent5 4 2 2 2 30" xfId="21575"/>
    <cellStyle name="40% - Accent5 4 2 2 2 30 2" xfId="44350"/>
    <cellStyle name="40% - Accent5 4 2 2 2 31" xfId="22231"/>
    <cellStyle name="40% - Accent5 4 2 2 2 31 2" xfId="45006"/>
    <cellStyle name="40% - Accent5 4 2 2 2 32" xfId="22887"/>
    <cellStyle name="40% - Accent5 4 2 2 2 32 2" xfId="45662"/>
    <cellStyle name="40% - Accent5 4 2 2 2 33" xfId="23686"/>
    <cellStyle name="40% - Accent5 4 2 2 2 4" xfId="5175"/>
    <cellStyle name="40% - Accent5 4 2 2 2 4 2" xfId="27950"/>
    <cellStyle name="40% - Accent5 4 2 2 2 5" xfId="5831"/>
    <cellStyle name="40% - Accent5 4 2 2 2 5 2" xfId="28606"/>
    <cellStyle name="40% - Accent5 4 2 2 2 6" xfId="6487"/>
    <cellStyle name="40% - Accent5 4 2 2 2 6 2" xfId="29262"/>
    <cellStyle name="40% - Accent5 4 2 2 2 7" xfId="3207"/>
    <cellStyle name="40% - Accent5 4 2 2 2 7 2" xfId="25982"/>
    <cellStyle name="40% - Accent5 4 2 2 2 8" xfId="7143"/>
    <cellStyle name="40% - Accent5 4 2 2 2 8 2" xfId="29918"/>
    <cellStyle name="40% - Accent5 4 2 2 2 9" xfId="7799"/>
    <cellStyle name="40% - Accent5 4 2 2 2 9 2" xfId="30574"/>
    <cellStyle name="40% - Accent5 4 2 2 20" xfId="13375"/>
    <cellStyle name="40% - Accent5 4 2 2 20 2" xfId="36150"/>
    <cellStyle name="40% - Accent5 4 2 2 21" xfId="14031"/>
    <cellStyle name="40% - Accent5 4 2 2 21 2" xfId="36806"/>
    <cellStyle name="40% - Accent5 4 2 2 22" xfId="14687"/>
    <cellStyle name="40% - Accent5 4 2 2 22 2" xfId="37462"/>
    <cellStyle name="40% - Accent5 4 2 2 23" xfId="15343"/>
    <cellStyle name="40% - Accent5 4 2 2 23 2" xfId="38118"/>
    <cellStyle name="40% - Accent5 4 2 2 24" xfId="15999"/>
    <cellStyle name="40% - Accent5 4 2 2 24 2" xfId="38774"/>
    <cellStyle name="40% - Accent5 4 2 2 25" xfId="16655"/>
    <cellStyle name="40% - Accent5 4 2 2 25 2" xfId="39430"/>
    <cellStyle name="40% - Accent5 4 2 2 26" xfId="17311"/>
    <cellStyle name="40% - Accent5 4 2 2 26 2" xfId="40086"/>
    <cellStyle name="40% - Accent5 4 2 2 27" xfId="17967"/>
    <cellStyle name="40% - Accent5 4 2 2 27 2" xfId="40742"/>
    <cellStyle name="40% - Accent5 4 2 2 28" xfId="18623"/>
    <cellStyle name="40% - Accent5 4 2 2 28 2" xfId="41398"/>
    <cellStyle name="40% - Accent5 4 2 2 29" xfId="19279"/>
    <cellStyle name="40% - Accent5 4 2 2 29 2" xfId="42054"/>
    <cellStyle name="40% - Accent5 4 2 2 3" xfId="1239"/>
    <cellStyle name="40% - Accent5 4 2 2 3 2" xfId="2879"/>
    <cellStyle name="40% - Accent5 4 2 2 3 2 2" xfId="25654"/>
    <cellStyle name="40% - Accent5 4 2 2 3 3" xfId="24014"/>
    <cellStyle name="40% - Accent5 4 2 2 30" xfId="19935"/>
    <cellStyle name="40% - Accent5 4 2 2 30 2" xfId="42710"/>
    <cellStyle name="40% - Accent5 4 2 2 31" xfId="20591"/>
    <cellStyle name="40% - Accent5 4 2 2 31 2" xfId="43366"/>
    <cellStyle name="40% - Accent5 4 2 2 32" xfId="21247"/>
    <cellStyle name="40% - Accent5 4 2 2 32 2" xfId="44022"/>
    <cellStyle name="40% - Accent5 4 2 2 33" xfId="21903"/>
    <cellStyle name="40% - Accent5 4 2 2 33 2" xfId="44678"/>
    <cellStyle name="40% - Accent5 4 2 2 34" xfId="22559"/>
    <cellStyle name="40% - Accent5 4 2 2 34 2" xfId="45334"/>
    <cellStyle name="40% - Accent5 4 2 2 35" xfId="23358"/>
    <cellStyle name="40% - Accent5 4 2 2 4" xfId="1895"/>
    <cellStyle name="40% - Accent5 4 2 2 4 2" xfId="3535"/>
    <cellStyle name="40% - Accent5 4 2 2 4 2 2" xfId="26310"/>
    <cellStyle name="40% - Accent5 4 2 2 4 3" xfId="24670"/>
    <cellStyle name="40% - Accent5 4 2 2 5" xfId="4191"/>
    <cellStyle name="40% - Accent5 4 2 2 5 2" xfId="26966"/>
    <cellStyle name="40% - Accent5 4 2 2 6" xfId="4847"/>
    <cellStyle name="40% - Accent5 4 2 2 6 2" xfId="27622"/>
    <cellStyle name="40% - Accent5 4 2 2 7" xfId="5503"/>
    <cellStyle name="40% - Accent5 4 2 2 7 2" xfId="28278"/>
    <cellStyle name="40% - Accent5 4 2 2 8" xfId="6159"/>
    <cellStyle name="40% - Accent5 4 2 2 8 2" xfId="28934"/>
    <cellStyle name="40% - Accent5 4 2 2 9" xfId="2551"/>
    <cellStyle name="40% - Accent5 4 2 2 9 2" xfId="25326"/>
    <cellStyle name="40% - Accent5 4 2 20" xfId="12534"/>
    <cellStyle name="40% - Accent5 4 2 20 2" xfId="35309"/>
    <cellStyle name="40% - Accent5 4 2 21" xfId="13190"/>
    <cellStyle name="40% - Accent5 4 2 21 2" xfId="35965"/>
    <cellStyle name="40% - Accent5 4 2 22" xfId="13846"/>
    <cellStyle name="40% - Accent5 4 2 22 2" xfId="36621"/>
    <cellStyle name="40% - Accent5 4 2 23" xfId="14502"/>
    <cellStyle name="40% - Accent5 4 2 23 2" xfId="37277"/>
    <cellStyle name="40% - Accent5 4 2 24" xfId="15158"/>
    <cellStyle name="40% - Accent5 4 2 24 2" xfId="37933"/>
    <cellStyle name="40% - Accent5 4 2 25" xfId="15814"/>
    <cellStyle name="40% - Accent5 4 2 25 2" xfId="38589"/>
    <cellStyle name="40% - Accent5 4 2 26" xfId="16470"/>
    <cellStyle name="40% - Accent5 4 2 26 2" xfId="39245"/>
    <cellStyle name="40% - Accent5 4 2 27" xfId="17126"/>
    <cellStyle name="40% - Accent5 4 2 27 2" xfId="39901"/>
    <cellStyle name="40% - Accent5 4 2 28" xfId="17782"/>
    <cellStyle name="40% - Accent5 4 2 28 2" xfId="40557"/>
    <cellStyle name="40% - Accent5 4 2 29" xfId="18438"/>
    <cellStyle name="40% - Accent5 4 2 29 2" xfId="41213"/>
    <cellStyle name="40% - Accent5 4 2 3" xfId="726"/>
    <cellStyle name="40% - Accent5 4 2 3 10" xfId="8270"/>
    <cellStyle name="40% - Accent5 4 2 3 10 2" xfId="31045"/>
    <cellStyle name="40% - Accent5 4 2 3 11" xfId="8926"/>
    <cellStyle name="40% - Accent5 4 2 3 11 2" xfId="31701"/>
    <cellStyle name="40% - Accent5 4 2 3 12" xfId="9582"/>
    <cellStyle name="40% - Accent5 4 2 3 12 2" xfId="32357"/>
    <cellStyle name="40% - Accent5 4 2 3 13" xfId="10238"/>
    <cellStyle name="40% - Accent5 4 2 3 13 2" xfId="33013"/>
    <cellStyle name="40% - Accent5 4 2 3 14" xfId="10894"/>
    <cellStyle name="40% - Accent5 4 2 3 14 2" xfId="33669"/>
    <cellStyle name="40% - Accent5 4 2 3 15" xfId="11550"/>
    <cellStyle name="40% - Accent5 4 2 3 15 2" xfId="34325"/>
    <cellStyle name="40% - Accent5 4 2 3 16" xfId="12206"/>
    <cellStyle name="40% - Accent5 4 2 3 16 2" xfId="34981"/>
    <cellStyle name="40% - Accent5 4 2 3 17" xfId="12862"/>
    <cellStyle name="40% - Accent5 4 2 3 17 2" xfId="35637"/>
    <cellStyle name="40% - Accent5 4 2 3 18" xfId="13518"/>
    <cellStyle name="40% - Accent5 4 2 3 18 2" xfId="36293"/>
    <cellStyle name="40% - Accent5 4 2 3 19" xfId="14174"/>
    <cellStyle name="40% - Accent5 4 2 3 19 2" xfId="36949"/>
    <cellStyle name="40% - Accent5 4 2 3 2" xfId="1382"/>
    <cellStyle name="40% - Accent5 4 2 3 2 2" xfId="3678"/>
    <cellStyle name="40% - Accent5 4 2 3 2 2 2" xfId="26453"/>
    <cellStyle name="40% - Accent5 4 2 3 2 3" xfId="24157"/>
    <cellStyle name="40% - Accent5 4 2 3 20" xfId="14830"/>
    <cellStyle name="40% - Accent5 4 2 3 20 2" xfId="37605"/>
    <cellStyle name="40% - Accent5 4 2 3 21" xfId="15486"/>
    <cellStyle name="40% - Accent5 4 2 3 21 2" xfId="38261"/>
    <cellStyle name="40% - Accent5 4 2 3 22" xfId="16142"/>
    <cellStyle name="40% - Accent5 4 2 3 22 2" xfId="38917"/>
    <cellStyle name="40% - Accent5 4 2 3 23" xfId="16798"/>
    <cellStyle name="40% - Accent5 4 2 3 23 2" xfId="39573"/>
    <cellStyle name="40% - Accent5 4 2 3 24" xfId="17454"/>
    <cellStyle name="40% - Accent5 4 2 3 24 2" xfId="40229"/>
    <cellStyle name="40% - Accent5 4 2 3 25" xfId="18110"/>
    <cellStyle name="40% - Accent5 4 2 3 25 2" xfId="40885"/>
    <cellStyle name="40% - Accent5 4 2 3 26" xfId="18766"/>
    <cellStyle name="40% - Accent5 4 2 3 26 2" xfId="41541"/>
    <cellStyle name="40% - Accent5 4 2 3 27" xfId="19422"/>
    <cellStyle name="40% - Accent5 4 2 3 27 2" xfId="42197"/>
    <cellStyle name="40% - Accent5 4 2 3 28" xfId="20078"/>
    <cellStyle name="40% - Accent5 4 2 3 28 2" xfId="42853"/>
    <cellStyle name="40% - Accent5 4 2 3 29" xfId="20734"/>
    <cellStyle name="40% - Accent5 4 2 3 29 2" xfId="43509"/>
    <cellStyle name="40% - Accent5 4 2 3 3" xfId="2038"/>
    <cellStyle name="40% - Accent5 4 2 3 3 2" xfId="4334"/>
    <cellStyle name="40% - Accent5 4 2 3 3 2 2" xfId="27109"/>
    <cellStyle name="40% - Accent5 4 2 3 3 3" xfId="24813"/>
    <cellStyle name="40% - Accent5 4 2 3 30" xfId="21390"/>
    <cellStyle name="40% - Accent5 4 2 3 30 2" xfId="44165"/>
    <cellStyle name="40% - Accent5 4 2 3 31" xfId="22046"/>
    <cellStyle name="40% - Accent5 4 2 3 31 2" xfId="44821"/>
    <cellStyle name="40% - Accent5 4 2 3 32" xfId="22702"/>
    <cellStyle name="40% - Accent5 4 2 3 32 2" xfId="45477"/>
    <cellStyle name="40% - Accent5 4 2 3 33" xfId="23501"/>
    <cellStyle name="40% - Accent5 4 2 3 4" xfId="4990"/>
    <cellStyle name="40% - Accent5 4 2 3 4 2" xfId="27765"/>
    <cellStyle name="40% - Accent5 4 2 3 5" xfId="5646"/>
    <cellStyle name="40% - Accent5 4 2 3 5 2" xfId="28421"/>
    <cellStyle name="40% - Accent5 4 2 3 6" xfId="6302"/>
    <cellStyle name="40% - Accent5 4 2 3 6 2" xfId="29077"/>
    <cellStyle name="40% - Accent5 4 2 3 7" xfId="3022"/>
    <cellStyle name="40% - Accent5 4 2 3 7 2" xfId="25797"/>
    <cellStyle name="40% - Accent5 4 2 3 8" xfId="6958"/>
    <cellStyle name="40% - Accent5 4 2 3 8 2" xfId="29733"/>
    <cellStyle name="40% - Accent5 4 2 3 9" xfId="7614"/>
    <cellStyle name="40% - Accent5 4 2 3 9 2" xfId="30389"/>
    <cellStyle name="40% - Accent5 4 2 30" xfId="19094"/>
    <cellStyle name="40% - Accent5 4 2 30 2" xfId="41869"/>
    <cellStyle name="40% - Accent5 4 2 31" xfId="19750"/>
    <cellStyle name="40% - Accent5 4 2 31 2" xfId="42525"/>
    <cellStyle name="40% - Accent5 4 2 32" xfId="20406"/>
    <cellStyle name="40% - Accent5 4 2 32 2" xfId="43181"/>
    <cellStyle name="40% - Accent5 4 2 33" xfId="21062"/>
    <cellStyle name="40% - Accent5 4 2 33 2" xfId="43837"/>
    <cellStyle name="40% - Accent5 4 2 34" xfId="21718"/>
    <cellStyle name="40% - Accent5 4 2 34 2" xfId="44493"/>
    <cellStyle name="40% - Accent5 4 2 35" xfId="22374"/>
    <cellStyle name="40% - Accent5 4 2 35 2" xfId="45149"/>
    <cellStyle name="40% - Accent5 4 2 36" xfId="23030"/>
    <cellStyle name="40% - Accent5 4 2 4" xfId="399"/>
    <cellStyle name="40% - Accent5 4 2 4 2" xfId="2694"/>
    <cellStyle name="40% - Accent5 4 2 4 2 2" xfId="25469"/>
    <cellStyle name="40% - Accent5 4 2 4 3" xfId="23173"/>
    <cellStyle name="40% - Accent5 4 2 5" xfId="1054"/>
    <cellStyle name="40% - Accent5 4 2 5 2" xfId="3350"/>
    <cellStyle name="40% - Accent5 4 2 5 2 2" xfId="26125"/>
    <cellStyle name="40% - Accent5 4 2 5 3" xfId="23829"/>
    <cellStyle name="40% - Accent5 4 2 6" xfId="1710"/>
    <cellStyle name="40% - Accent5 4 2 6 2" xfId="4006"/>
    <cellStyle name="40% - Accent5 4 2 6 2 2" xfId="26781"/>
    <cellStyle name="40% - Accent5 4 2 6 3" xfId="24485"/>
    <cellStyle name="40% - Accent5 4 2 7" xfId="4662"/>
    <cellStyle name="40% - Accent5 4 2 7 2" xfId="27437"/>
    <cellStyle name="40% - Accent5 4 2 8" xfId="5318"/>
    <cellStyle name="40% - Accent5 4 2 8 2" xfId="28093"/>
    <cellStyle name="40% - Accent5 4 2 9" xfId="5974"/>
    <cellStyle name="40% - Accent5 4 2 9 2" xfId="28749"/>
    <cellStyle name="40% - Accent5 4 20" xfId="11807"/>
    <cellStyle name="40% - Accent5 4 20 2" xfId="34582"/>
    <cellStyle name="40% - Accent5 4 21" xfId="12463"/>
    <cellStyle name="40% - Accent5 4 21 2" xfId="35238"/>
    <cellStyle name="40% - Accent5 4 22" xfId="13119"/>
    <cellStyle name="40% - Accent5 4 22 2" xfId="35894"/>
    <cellStyle name="40% - Accent5 4 23" xfId="13775"/>
    <cellStyle name="40% - Accent5 4 23 2" xfId="36550"/>
    <cellStyle name="40% - Accent5 4 24" xfId="14431"/>
    <cellStyle name="40% - Accent5 4 24 2" xfId="37206"/>
    <cellStyle name="40% - Accent5 4 25" xfId="15087"/>
    <cellStyle name="40% - Accent5 4 25 2" xfId="37862"/>
    <cellStyle name="40% - Accent5 4 26" xfId="15743"/>
    <cellStyle name="40% - Accent5 4 26 2" xfId="38518"/>
    <cellStyle name="40% - Accent5 4 27" xfId="16399"/>
    <cellStyle name="40% - Accent5 4 27 2" xfId="39174"/>
    <cellStyle name="40% - Accent5 4 28" xfId="17055"/>
    <cellStyle name="40% - Accent5 4 28 2" xfId="39830"/>
    <cellStyle name="40% - Accent5 4 29" xfId="17711"/>
    <cellStyle name="40% - Accent5 4 29 2" xfId="40486"/>
    <cellStyle name="40% - Accent5 4 3" xfId="512"/>
    <cellStyle name="40% - Accent5 4 3 10" xfId="6744"/>
    <cellStyle name="40% - Accent5 4 3 10 2" xfId="29519"/>
    <cellStyle name="40% - Accent5 4 3 11" xfId="7400"/>
    <cellStyle name="40% - Accent5 4 3 11 2" xfId="30175"/>
    <cellStyle name="40% - Accent5 4 3 12" xfId="8056"/>
    <cellStyle name="40% - Accent5 4 3 12 2" xfId="30831"/>
    <cellStyle name="40% - Accent5 4 3 13" xfId="8712"/>
    <cellStyle name="40% - Accent5 4 3 13 2" xfId="31487"/>
    <cellStyle name="40% - Accent5 4 3 14" xfId="9368"/>
    <cellStyle name="40% - Accent5 4 3 14 2" xfId="32143"/>
    <cellStyle name="40% - Accent5 4 3 15" xfId="10024"/>
    <cellStyle name="40% - Accent5 4 3 15 2" xfId="32799"/>
    <cellStyle name="40% - Accent5 4 3 16" xfId="10680"/>
    <cellStyle name="40% - Accent5 4 3 16 2" xfId="33455"/>
    <cellStyle name="40% - Accent5 4 3 17" xfId="11336"/>
    <cellStyle name="40% - Accent5 4 3 17 2" xfId="34111"/>
    <cellStyle name="40% - Accent5 4 3 18" xfId="11992"/>
    <cellStyle name="40% - Accent5 4 3 18 2" xfId="34767"/>
    <cellStyle name="40% - Accent5 4 3 19" xfId="12648"/>
    <cellStyle name="40% - Accent5 4 3 19 2" xfId="35423"/>
    <cellStyle name="40% - Accent5 4 3 2" xfId="840"/>
    <cellStyle name="40% - Accent5 4 3 2 10" xfId="8384"/>
    <cellStyle name="40% - Accent5 4 3 2 10 2" xfId="31159"/>
    <cellStyle name="40% - Accent5 4 3 2 11" xfId="9040"/>
    <cellStyle name="40% - Accent5 4 3 2 11 2" xfId="31815"/>
    <cellStyle name="40% - Accent5 4 3 2 12" xfId="9696"/>
    <cellStyle name="40% - Accent5 4 3 2 12 2" xfId="32471"/>
    <cellStyle name="40% - Accent5 4 3 2 13" xfId="10352"/>
    <cellStyle name="40% - Accent5 4 3 2 13 2" xfId="33127"/>
    <cellStyle name="40% - Accent5 4 3 2 14" xfId="11008"/>
    <cellStyle name="40% - Accent5 4 3 2 14 2" xfId="33783"/>
    <cellStyle name="40% - Accent5 4 3 2 15" xfId="11664"/>
    <cellStyle name="40% - Accent5 4 3 2 15 2" xfId="34439"/>
    <cellStyle name="40% - Accent5 4 3 2 16" xfId="12320"/>
    <cellStyle name="40% - Accent5 4 3 2 16 2" xfId="35095"/>
    <cellStyle name="40% - Accent5 4 3 2 17" xfId="12976"/>
    <cellStyle name="40% - Accent5 4 3 2 17 2" xfId="35751"/>
    <cellStyle name="40% - Accent5 4 3 2 18" xfId="13632"/>
    <cellStyle name="40% - Accent5 4 3 2 18 2" xfId="36407"/>
    <cellStyle name="40% - Accent5 4 3 2 19" xfId="14288"/>
    <cellStyle name="40% - Accent5 4 3 2 19 2" xfId="37063"/>
    <cellStyle name="40% - Accent5 4 3 2 2" xfId="1496"/>
    <cellStyle name="40% - Accent5 4 3 2 2 2" xfId="3792"/>
    <cellStyle name="40% - Accent5 4 3 2 2 2 2" xfId="26567"/>
    <cellStyle name="40% - Accent5 4 3 2 2 3" xfId="24271"/>
    <cellStyle name="40% - Accent5 4 3 2 20" xfId="14944"/>
    <cellStyle name="40% - Accent5 4 3 2 20 2" xfId="37719"/>
    <cellStyle name="40% - Accent5 4 3 2 21" xfId="15600"/>
    <cellStyle name="40% - Accent5 4 3 2 21 2" xfId="38375"/>
    <cellStyle name="40% - Accent5 4 3 2 22" xfId="16256"/>
    <cellStyle name="40% - Accent5 4 3 2 22 2" xfId="39031"/>
    <cellStyle name="40% - Accent5 4 3 2 23" xfId="16912"/>
    <cellStyle name="40% - Accent5 4 3 2 23 2" xfId="39687"/>
    <cellStyle name="40% - Accent5 4 3 2 24" xfId="17568"/>
    <cellStyle name="40% - Accent5 4 3 2 24 2" xfId="40343"/>
    <cellStyle name="40% - Accent5 4 3 2 25" xfId="18224"/>
    <cellStyle name="40% - Accent5 4 3 2 25 2" xfId="40999"/>
    <cellStyle name="40% - Accent5 4 3 2 26" xfId="18880"/>
    <cellStyle name="40% - Accent5 4 3 2 26 2" xfId="41655"/>
    <cellStyle name="40% - Accent5 4 3 2 27" xfId="19536"/>
    <cellStyle name="40% - Accent5 4 3 2 27 2" xfId="42311"/>
    <cellStyle name="40% - Accent5 4 3 2 28" xfId="20192"/>
    <cellStyle name="40% - Accent5 4 3 2 28 2" xfId="42967"/>
    <cellStyle name="40% - Accent5 4 3 2 29" xfId="20848"/>
    <cellStyle name="40% - Accent5 4 3 2 29 2" xfId="43623"/>
    <cellStyle name="40% - Accent5 4 3 2 3" xfId="2152"/>
    <cellStyle name="40% - Accent5 4 3 2 3 2" xfId="4448"/>
    <cellStyle name="40% - Accent5 4 3 2 3 2 2" xfId="27223"/>
    <cellStyle name="40% - Accent5 4 3 2 3 3" xfId="24927"/>
    <cellStyle name="40% - Accent5 4 3 2 30" xfId="21504"/>
    <cellStyle name="40% - Accent5 4 3 2 30 2" xfId="44279"/>
    <cellStyle name="40% - Accent5 4 3 2 31" xfId="22160"/>
    <cellStyle name="40% - Accent5 4 3 2 31 2" xfId="44935"/>
    <cellStyle name="40% - Accent5 4 3 2 32" xfId="22816"/>
    <cellStyle name="40% - Accent5 4 3 2 32 2" xfId="45591"/>
    <cellStyle name="40% - Accent5 4 3 2 33" xfId="23615"/>
    <cellStyle name="40% - Accent5 4 3 2 4" xfId="5104"/>
    <cellStyle name="40% - Accent5 4 3 2 4 2" xfId="27879"/>
    <cellStyle name="40% - Accent5 4 3 2 5" xfId="5760"/>
    <cellStyle name="40% - Accent5 4 3 2 5 2" xfId="28535"/>
    <cellStyle name="40% - Accent5 4 3 2 6" xfId="6416"/>
    <cellStyle name="40% - Accent5 4 3 2 6 2" xfId="29191"/>
    <cellStyle name="40% - Accent5 4 3 2 7" xfId="3136"/>
    <cellStyle name="40% - Accent5 4 3 2 7 2" xfId="25911"/>
    <cellStyle name="40% - Accent5 4 3 2 8" xfId="7072"/>
    <cellStyle name="40% - Accent5 4 3 2 8 2" xfId="29847"/>
    <cellStyle name="40% - Accent5 4 3 2 9" xfId="7728"/>
    <cellStyle name="40% - Accent5 4 3 2 9 2" xfId="30503"/>
    <cellStyle name="40% - Accent5 4 3 20" xfId="13304"/>
    <cellStyle name="40% - Accent5 4 3 20 2" xfId="36079"/>
    <cellStyle name="40% - Accent5 4 3 21" xfId="13960"/>
    <cellStyle name="40% - Accent5 4 3 21 2" xfId="36735"/>
    <cellStyle name="40% - Accent5 4 3 22" xfId="14616"/>
    <cellStyle name="40% - Accent5 4 3 22 2" xfId="37391"/>
    <cellStyle name="40% - Accent5 4 3 23" xfId="15272"/>
    <cellStyle name="40% - Accent5 4 3 23 2" xfId="38047"/>
    <cellStyle name="40% - Accent5 4 3 24" xfId="15928"/>
    <cellStyle name="40% - Accent5 4 3 24 2" xfId="38703"/>
    <cellStyle name="40% - Accent5 4 3 25" xfId="16584"/>
    <cellStyle name="40% - Accent5 4 3 25 2" xfId="39359"/>
    <cellStyle name="40% - Accent5 4 3 26" xfId="17240"/>
    <cellStyle name="40% - Accent5 4 3 26 2" xfId="40015"/>
    <cellStyle name="40% - Accent5 4 3 27" xfId="17896"/>
    <cellStyle name="40% - Accent5 4 3 27 2" xfId="40671"/>
    <cellStyle name="40% - Accent5 4 3 28" xfId="18552"/>
    <cellStyle name="40% - Accent5 4 3 28 2" xfId="41327"/>
    <cellStyle name="40% - Accent5 4 3 29" xfId="19208"/>
    <cellStyle name="40% - Accent5 4 3 29 2" xfId="41983"/>
    <cellStyle name="40% - Accent5 4 3 3" xfId="1168"/>
    <cellStyle name="40% - Accent5 4 3 3 2" xfId="2808"/>
    <cellStyle name="40% - Accent5 4 3 3 2 2" xfId="25583"/>
    <cellStyle name="40% - Accent5 4 3 3 3" xfId="23943"/>
    <cellStyle name="40% - Accent5 4 3 30" xfId="19864"/>
    <cellStyle name="40% - Accent5 4 3 30 2" xfId="42639"/>
    <cellStyle name="40% - Accent5 4 3 31" xfId="20520"/>
    <cellStyle name="40% - Accent5 4 3 31 2" xfId="43295"/>
    <cellStyle name="40% - Accent5 4 3 32" xfId="21176"/>
    <cellStyle name="40% - Accent5 4 3 32 2" xfId="43951"/>
    <cellStyle name="40% - Accent5 4 3 33" xfId="21832"/>
    <cellStyle name="40% - Accent5 4 3 33 2" xfId="44607"/>
    <cellStyle name="40% - Accent5 4 3 34" xfId="22488"/>
    <cellStyle name="40% - Accent5 4 3 34 2" xfId="45263"/>
    <cellStyle name="40% - Accent5 4 3 35" xfId="23287"/>
    <cellStyle name="40% - Accent5 4 3 4" xfId="1824"/>
    <cellStyle name="40% - Accent5 4 3 4 2" xfId="3464"/>
    <cellStyle name="40% - Accent5 4 3 4 2 2" xfId="26239"/>
    <cellStyle name="40% - Accent5 4 3 4 3" xfId="24599"/>
    <cellStyle name="40% - Accent5 4 3 5" xfId="4120"/>
    <cellStyle name="40% - Accent5 4 3 5 2" xfId="26895"/>
    <cellStyle name="40% - Accent5 4 3 6" xfId="4776"/>
    <cellStyle name="40% - Accent5 4 3 6 2" xfId="27551"/>
    <cellStyle name="40% - Accent5 4 3 7" xfId="5432"/>
    <cellStyle name="40% - Accent5 4 3 7 2" xfId="28207"/>
    <cellStyle name="40% - Accent5 4 3 8" xfId="6088"/>
    <cellStyle name="40% - Accent5 4 3 8 2" xfId="28863"/>
    <cellStyle name="40% - Accent5 4 3 9" xfId="2480"/>
    <cellStyle name="40% - Accent5 4 3 9 2" xfId="25255"/>
    <cellStyle name="40% - Accent5 4 30" xfId="18367"/>
    <cellStyle name="40% - Accent5 4 30 2" xfId="41142"/>
    <cellStyle name="40% - Accent5 4 31" xfId="19023"/>
    <cellStyle name="40% - Accent5 4 31 2" xfId="41798"/>
    <cellStyle name="40% - Accent5 4 32" xfId="19679"/>
    <cellStyle name="40% - Accent5 4 32 2" xfId="42454"/>
    <cellStyle name="40% - Accent5 4 33" xfId="20335"/>
    <cellStyle name="40% - Accent5 4 33 2" xfId="43110"/>
    <cellStyle name="40% - Accent5 4 34" xfId="20991"/>
    <cellStyle name="40% - Accent5 4 34 2" xfId="43766"/>
    <cellStyle name="40% - Accent5 4 35" xfId="21647"/>
    <cellStyle name="40% - Accent5 4 35 2" xfId="44422"/>
    <cellStyle name="40% - Accent5 4 36" xfId="22303"/>
    <cellStyle name="40% - Accent5 4 36 2" xfId="45078"/>
    <cellStyle name="40% - Accent5 4 37" xfId="242"/>
    <cellStyle name="40% - Accent5 4 38" xfId="22959"/>
    <cellStyle name="40% - Accent5 4 4" xfId="655"/>
    <cellStyle name="40% - Accent5 4 4 10" xfId="8199"/>
    <cellStyle name="40% - Accent5 4 4 10 2" xfId="30974"/>
    <cellStyle name="40% - Accent5 4 4 11" xfId="8855"/>
    <cellStyle name="40% - Accent5 4 4 11 2" xfId="31630"/>
    <cellStyle name="40% - Accent5 4 4 12" xfId="9511"/>
    <cellStyle name="40% - Accent5 4 4 12 2" xfId="32286"/>
    <cellStyle name="40% - Accent5 4 4 13" xfId="10167"/>
    <cellStyle name="40% - Accent5 4 4 13 2" xfId="32942"/>
    <cellStyle name="40% - Accent5 4 4 14" xfId="10823"/>
    <cellStyle name="40% - Accent5 4 4 14 2" xfId="33598"/>
    <cellStyle name="40% - Accent5 4 4 15" xfId="11479"/>
    <cellStyle name="40% - Accent5 4 4 15 2" xfId="34254"/>
    <cellStyle name="40% - Accent5 4 4 16" xfId="12135"/>
    <cellStyle name="40% - Accent5 4 4 16 2" xfId="34910"/>
    <cellStyle name="40% - Accent5 4 4 17" xfId="12791"/>
    <cellStyle name="40% - Accent5 4 4 17 2" xfId="35566"/>
    <cellStyle name="40% - Accent5 4 4 18" xfId="13447"/>
    <cellStyle name="40% - Accent5 4 4 18 2" xfId="36222"/>
    <cellStyle name="40% - Accent5 4 4 19" xfId="14103"/>
    <cellStyle name="40% - Accent5 4 4 19 2" xfId="36878"/>
    <cellStyle name="40% - Accent5 4 4 2" xfId="1311"/>
    <cellStyle name="40% - Accent5 4 4 2 2" xfId="3607"/>
    <cellStyle name="40% - Accent5 4 4 2 2 2" xfId="26382"/>
    <cellStyle name="40% - Accent5 4 4 2 3" xfId="24086"/>
    <cellStyle name="40% - Accent5 4 4 20" xfId="14759"/>
    <cellStyle name="40% - Accent5 4 4 20 2" xfId="37534"/>
    <cellStyle name="40% - Accent5 4 4 21" xfId="15415"/>
    <cellStyle name="40% - Accent5 4 4 21 2" xfId="38190"/>
    <cellStyle name="40% - Accent5 4 4 22" xfId="16071"/>
    <cellStyle name="40% - Accent5 4 4 22 2" xfId="38846"/>
    <cellStyle name="40% - Accent5 4 4 23" xfId="16727"/>
    <cellStyle name="40% - Accent5 4 4 23 2" xfId="39502"/>
    <cellStyle name="40% - Accent5 4 4 24" xfId="17383"/>
    <cellStyle name="40% - Accent5 4 4 24 2" xfId="40158"/>
    <cellStyle name="40% - Accent5 4 4 25" xfId="18039"/>
    <cellStyle name="40% - Accent5 4 4 25 2" xfId="40814"/>
    <cellStyle name="40% - Accent5 4 4 26" xfId="18695"/>
    <cellStyle name="40% - Accent5 4 4 26 2" xfId="41470"/>
    <cellStyle name="40% - Accent5 4 4 27" xfId="19351"/>
    <cellStyle name="40% - Accent5 4 4 27 2" xfId="42126"/>
    <cellStyle name="40% - Accent5 4 4 28" xfId="20007"/>
    <cellStyle name="40% - Accent5 4 4 28 2" xfId="42782"/>
    <cellStyle name="40% - Accent5 4 4 29" xfId="20663"/>
    <cellStyle name="40% - Accent5 4 4 29 2" xfId="43438"/>
    <cellStyle name="40% - Accent5 4 4 3" xfId="1967"/>
    <cellStyle name="40% - Accent5 4 4 3 2" xfId="4263"/>
    <cellStyle name="40% - Accent5 4 4 3 2 2" xfId="27038"/>
    <cellStyle name="40% - Accent5 4 4 3 3" xfId="24742"/>
    <cellStyle name="40% - Accent5 4 4 30" xfId="21319"/>
    <cellStyle name="40% - Accent5 4 4 30 2" xfId="44094"/>
    <cellStyle name="40% - Accent5 4 4 31" xfId="21975"/>
    <cellStyle name="40% - Accent5 4 4 31 2" xfId="44750"/>
    <cellStyle name="40% - Accent5 4 4 32" xfId="22631"/>
    <cellStyle name="40% - Accent5 4 4 32 2" xfId="45406"/>
    <cellStyle name="40% - Accent5 4 4 33" xfId="23430"/>
    <cellStyle name="40% - Accent5 4 4 4" xfId="4919"/>
    <cellStyle name="40% - Accent5 4 4 4 2" xfId="27694"/>
    <cellStyle name="40% - Accent5 4 4 5" xfId="5575"/>
    <cellStyle name="40% - Accent5 4 4 5 2" xfId="28350"/>
    <cellStyle name="40% - Accent5 4 4 6" xfId="6231"/>
    <cellStyle name="40% - Accent5 4 4 6 2" xfId="29006"/>
    <cellStyle name="40% - Accent5 4 4 7" xfId="2951"/>
    <cellStyle name="40% - Accent5 4 4 7 2" xfId="25726"/>
    <cellStyle name="40% - Accent5 4 4 8" xfId="6887"/>
    <cellStyle name="40% - Accent5 4 4 8 2" xfId="29662"/>
    <cellStyle name="40% - Accent5 4 4 9" xfId="7543"/>
    <cellStyle name="40% - Accent5 4 4 9 2" xfId="30318"/>
    <cellStyle name="40% - Accent5 4 5" xfId="328"/>
    <cellStyle name="40% - Accent5 4 5 2" xfId="2623"/>
    <cellStyle name="40% - Accent5 4 5 2 2" xfId="25398"/>
    <cellStyle name="40% - Accent5 4 5 3" xfId="23102"/>
    <cellStyle name="40% - Accent5 4 6" xfId="983"/>
    <cellStyle name="40% - Accent5 4 6 2" xfId="3279"/>
    <cellStyle name="40% - Accent5 4 6 2 2" xfId="26054"/>
    <cellStyle name="40% - Accent5 4 6 3" xfId="23758"/>
    <cellStyle name="40% - Accent5 4 7" xfId="1639"/>
    <cellStyle name="40% - Accent5 4 7 2" xfId="3935"/>
    <cellStyle name="40% - Accent5 4 7 2 2" xfId="26710"/>
    <cellStyle name="40% - Accent5 4 7 3" xfId="24414"/>
    <cellStyle name="40% - Accent5 4 8" xfId="4591"/>
    <cellStyle name="40% - Accent5 4 8 2" xfId="27366"/>
    <cellStyle name="40% - Accent5 4 9" xfId="5247"/>
    <cellStyle name="40% - Accent5 4 9 2" xfId="28022"/>
    <cellStyle name="40% - Accent5 40" xfId="20290"/>
    <cellStyle name="40% - Accent5 40 2" xfId="43065"/>
    <cellStyle name="40% - Accent5 41" xfId="20946"/>
    <cellStyle name="40% - Accent5 41 2" xfId="43721"/>
    <cellStyle name="40% - Accent5 42" xfId="21602"/>
    <cellStyle name="40% - Accent5 42 2" xfId="44377"/>
    <cellStyle name="40% - Accent5 43" xfId="22258"/>
    <cellStyle name="40% - Accent5 43 2" xfId="45033"/>
    <cellStyle name="40% - Accent5 44" xfId="197"/>
    <cellStyle name="40% - Accent5 45" xfId="22914"/>
    <cellStyle name="40% - Accent5 5" xfId="111"/>
    <cellStyle name="40% - Accent5 5 10" xfId="5917"/>
    <cellStyle name="40% - Accent5 5 10 2" xfId="28692"/>
    <cellStyle name="40% - Accent5 5 11" xfId="2309"/>
    <cellStyle name="40% - Accent5 5 11 2" xfId="25084"/>
    <cellStyle name="40% - Accent5 5 12" xfId="6573"/>
    <cellStyle name="40% - Accent5 5 12 2" xfId="29348"/>
    <cellStyle name="40% - Accent5 5 13" xfId="7229"/>
    <cellStyle name="40% - Accent5 5 13 2" xfId="30004"/>
    <cellStyle name="40% - Accent5 5 14" xfId="7885"/>
    <cellStyle name="40% - Accent5 5 14 2" xfId="30660"/>
    <cellStyle name="40% - Accent5 5 15" xfId="8541"/>
    <cellStyle name="40% - Accent5 5 15 2" xfId="31316"/>
    <cellStyle name="40% - Accent5 5 16" xfId="9197"/>
    <cellStyle name="40% - Accent5 5 16 2" xfId="31972"/>
    <cellStyle name="40% - Accent5 5 17" xfId="9853"/>
    <cellStyle name="40% - Accent5 5 17 2" xfId="32628"/>
    <cellStyle name="40% - Accent5 5 18" xfId="10509"/>
    <cellStyle name="40% - Accent5 5 18 2" xfId="33284"/>
    <cellStyle name="40% - Accent5 5 19" xfId="11165"/>
    <cellStyle name="40% - Accent5 5 19 2" xfId="33940"/>
    <cellStyle name="40% - Accent5 5 2" xfId="182"/>
    <cellStyle name="40% - Accent5 5 2 10" xfId="2380"/>
    <cellStyle name="40% - Accent5 5 2 10 2" xfId="25155"/>
    <cellStyle name="40% - Accent5 5 2 11" xfId="6644"/>
    <cellStyle name="40% - Accent5 5 2 11 2" xfId="29419"/>
    <cellStyle name="40% - Accent5 5 2 12" xfId="7300"/>
    <cellStyle name="40% - Accent5 5 2 12 2" xfId="30075"/>
    <cellStyle name="40% - Accent5 5 2 13" xfId="7956"/>
    <cellStyle name="40% - Accent5 5 2 13 2" xfId="30731"/>
    <cellStyle name="40% - Accent5 5 2 14" xfId="8612"/>
    <cellStyle name="40% - Accent5 5 2 14 2" xfId="31387"/>
    <cellStyle name="40% - Accent5 5 2 15" xfId="9268"/>
    <cellStyle name="40% - Accent5 5 2 15 2" xfId="32043"/>
    <cellStyle name="40% - Accent5 5 2 16" xfId="9924"/>
    <cellStyle name="40% - Accent5 5 2 16 2" xfId="32699"/>
    <cellStyle name="40% - Accent5 5 2 17" xfId="10580"/>
    <cellStyle name="40% - Accent5 5 2 17 2" xfId="33355"/>
    <cellStyle name="40% - Accent5 5 2 18" xfId="11236"/>
    <cellStyle name="40% - Accent5 5 2 18 2" xfId="34011"/>
    <cellStyle name="40% - Accent5 5 2 19" xfId="11892"/>
    <cellStyle name="40% - Accent5 5 2 19 2" xfId="34667"/>
    <cellStyle name="40% - Accent5 5 2 2" xfId="596"/>
    <cellStyle name="40% - Accent5 5 2 2 10" xfId="6829"/>
    <cellStyle name="40% - Accent5 5 2 2 10 2" xfId="29604"/>
    <cellStyle name="40% - Accent5 5 2 2 11" xfId="7485"/>
    <cellStyle name="40% - Accent5 5 2 2 11 2" xfId="30260"/>
    <cellStyle name="40% - Accent5 5 2 2 12" xfId="8141"/>
    <cellStyle name="40% - Accent5 5 2 2 12 2" xfId="30916"/>
    <cellStyle name="40% - Accent5 5 2 2 13" xfId="8797"/>
    <cellStyle name="40% - Accent5 5 2 2 13 2" xfId="31572"/>
    <cellStyle name="40% - Accent5 5 2 2 14" xfId="9453"/>
    <cellStyle name="40% - Accent5 5 2 2 14 2" xfId="32228"/>
    <cellStyle name="40% - Accent5 5 2 2 15" xfId="10109"/>
    <cellStyle name="40% - Accent5 5 2 2 15 2" xfId="32884"/>
    <cellStyle name="40% - Accent5 5 2 2 16" xfId="10765"/>
    <cellStyle name="40% - Accent5 5 2 2 16 2" xfId="33540"/>
    <cellStyle name="40% - Accent5 5 2 2 17" xfId="11421"/>
    <cellStyle name="40% - Accent5 5 2 2 17 2" xfId="34196"/>
    <cellStyle name="40% - Accent5 5 2 2 18" xfId="12077"/>
    <cellStyle name="40% - Accent5 5 2 2 18 2" xfId="34852"/>
    <cellStyle name="40% - Accent5 5 2 2 19" xfId="12733"/>
    <cellStyle name="40% - Accent5 5 2 2 19 2" xfId="35508"/>
    <cellStyle name="40% - Accent5 5 2 2 2" xfId="925"/>
    <cellStyle name="40% - Accent5 5 2 2 2 10" xfId="8469"/>
    <cellStyle name="40% - Accent5 5 2 2 2 10 2" xfId="31244"/>
    <cellStyle name="40% - Accent5 5 2 2 2 11" xfId="9125"/>
    <cellStyle name="40% - Accent5 5 2 2 2 11 2" xfId="31900"/>
    <cellStyle name="40% - Accent5 5 2 2 2 12" xfId="9781"/>
    <cellStyle name="40% - Accent5 5 2 2 2 12 2" xfId="32556"/>
    <cellStyle name="40% - Accent5 5 2 2 2 13" xfId="10437"/>
    <cellStyle name="40% - Accent5 5 2 2 2 13 2" xfId="33212"/>
    <cellStyle name="40% - Accent5 5 2 2 2 14" xfId="11093"/>
    <cellStyle name="40% - Accent5 5 2 2 2 14 2" xfId="33868"/>
    <cellStyle name="40% - Accent5 5 2 2 2 15" xfId="11749"/>
    <cellStyle name="40% - Accent5 5 2 2 2 15 2" xfId="34524"/>
    <cellStyle name="40% - Accent5 5 2 2 2 16" xfId="12405"/>
    <cellStyle name="40% - Accent5 5 2 2 2 16 2" xfId="35180"/>
    <cellStyle name="40% - Accent5 5 2 2 2 17" xfId="13061"/>
    <cellStyle name="40% - Accent5 5 2 2 2 17 2" xfId="35836"/>
    <cellStyle name="40% - Accent5 5 2 2 2 18" xfId="13717"/>
    <cellStyle name="40% - Accent5 5 2 2 2 18 2" xfId="36492"/>
    <cellStyle name="40% - Accent5 5 2 2 2 19" xfId="14373"/>
    <cellStyle name="40% - Accent5 5 2 2 2 19 2" xfId="37148"/>
    <cellStyle name="40% - Accent5 5 2 2 2 2" xfId="1581"/>
    <cellStyle name="40% - Accent5 5 2 2 2 2 2" xfId="3877"/>
    <cellStyle name="40% - Accent5 5 2 2 2 2 2 2" xfId="26652"/>
    <cellStyle name="40% - Accent5 5 2 2 2 2 3" xfId="24356"/>
    <cellStyle name="40% - Accent5 5 2 2 2 20" xfId="15029"/>
    <cellStyle name="40% - Accent5 5 2 2 2 20 2" xfId="37804"/>
    <cellStyle name="40% - Accent5 5 2 2 2 21" xfId="15685"/>
    <cellStyle name="40% - Accent5 5 2 2 2 21 2" xfId="38460"/>
    <cellStyle name="40% - Accent5 5 2 2 2 22" xfId="16341"/>
    <cellStyle name="40% - Accent5 5 2 2 2 22 2" xfId="39116"/>
    <cellStyle name="40% - Accent5 5 2 2 2 23" xfId="16997"/>
    <cellStyle name="40% - Accent5 5 2 2 2 23 2" xfId="39772"/>
    <cellStyle name="40% - Accent5 5 2 2 2 24" xfId="17653"/>
    <cellStyle name="40% - Accent5 5 2 2 2 24 2" xfId="40428"/>
    <cellStyle name="40% - Accent5 5 2 2 2 25" xfId="18309"/>
    <cellStyle name="40% - Accent5 5 2 2 2 25 2" xfId="41084"/>
    <cellStyle name="40% - Accent5 5 2 2 2 26" xfId="18965"/>
    <cellStyle name="40% - Accent5 5 2 2 2 26 2" xfId="41740"/>
    <cellStyle name="40% - Accent5 5 2 2 2 27" xfId="19621"/>
    <cellStyle name="40% - Accent5 5 2 2 2 27 2" xfId="42396"/>
    <cellStyle name="40% - Accent5 5 2 2 2 28" xfId="20277"/>
    <cellStyle name="40% - Accent5 5 2 2 2 28 2" xfId="43052"/>
    <cellStyle name="40% - Accent5 5 2 2 2 29" xfId="20933"/>
    <cellStyle name="40% - Accent5 5 2 2 2 29 2" xfId="43708"/>
    <cellStyle name="40% - Accent5 5 2 2 2 3" xfId="2237"/>
    <cellStyle name="40% - Accent5 5 2 2 2 3 2" xfId="4533"/>
    <cellStyle name="40% - Accent5 5 2 2 2 3 2 2" xfId="27308"/>
    <cellStyle name="40% - Accent5 5 2 2 2 3 3" xfId="25012"/>
    <cellStyle name="40% - Accent5 5 2 2 2 30" xfId="21589"/>
    <cellStyle name="40% - Accent5 5 2 2 2 30 2" xfId="44364"/>
    <cellStyle name="40% - Accent5 5 2 2 2 31" xfId="22245"/>
    <cellStyle name="40% - Accent5 5 2 2 2 31 2" xfId="45020"/>
    <cellStyle name="40% - Accent5 5 2 2 2 32" xfId="22901"/>
    <cellStyle name="40% - Accent5 5 2 2 2 32 2" xfId="45676"/>
    <cellStyle name="40% - Accent5 5 2 2 2 33" xfId="23700"/>
    <cellStyle name="40% - Accent5 5 2 2 2 4" xfId="5189"/>
    <cellStyle name="40% - Accent5 5 2 2 2 4 2" xfId="27964"/>
    <cellStyle name="40% - Accent5 5 2 2 2 5" xfId="5845"/>
    <cellStyle name="40% - Accent5 5 2 2 2 5 2" xfId="28620"/>
    <cellStyle name="40% - Accent5 5 2 2 2 6" xfId="6501"/>
    <cellStyle name="40% - Accent5 5 2 2 2 6 2" xfId="29276"/>
    <cellStyle name="40% - Accent5 5 2 2 2 7" xfId="3221"/>
    <cellStyle name="40% - Accent5 5 2 2 2 7 2" xfId="25996"/>
    <cellStyle name="40% - Accent5 5 2 2 2 8" xfId="7157"/>
    <cellStyle name="40% - Accent5 5 2 2 2 8 2" xfId="29932"/>
    <cellStyle name="40% - Accent5 5 2 2 2 9" xfId="7813"/>
    <cellStyle name="40% - Accent5 5 2 2 2 9 2" xfId="30588"/>
    <cellStyle name="40% - Accent5 5 2 2 20" xfId="13389"/>
    <cellStyle name="40% - Accent5 5 2 2 20 2" xfId="36164"/>
    <cellStyle name="40% - Accent5 5 2 2 21" xfId="14045"/>
    <cellStyle name="40% - Accent5 5 2 2 21 2" xfId="36820"/>
    <cellStyle name="40% - Accent5 5 2 2 22" xfId="14701"/>
    <cellStyle name="40% - Accent5 5 2 2 22 2" xfId="37476"/>
    <cellStyle name="40% - Accent5 5 2 2 23" xfId="15357"/>
    <cellStyle name="40% - Accent5 5 2 2 23 2" xfId="38132"/>
    <cellStyle name="40% - Accent5 5 2 2 24" xfId="16013"/>
    <cellStyle name="40% - Accent5 5 2 2 24 2" xfId="38788"/>
    <cellStyle name="40% - Accent5 5 2 2 25" xfId="16669"/>
    <cellStyle name="40% - Accent5 5 2 2 25 2" xfId="39444"/>
    <cellStyle name="40% - Accent5 5 2 2 26" xfId="17325"/>
    <cellStyle name="40% - Accent5 5 2 2 26 2" xfId="40100"/>
    <cellStyle name="40% - Accent5 5 2 2 27" xfId="17981"/>
    <cellStyle name="40% - Accent5 5 2 2 27 2" xfId="40756"/>
    <cellStyle name="40% - Accent5 5 2 2 28" xfId="18637"/>
    <cellStyle name="40% - Accent5 5 2 2 28 2" xfId="41412"/>
    <cellStyle name="40% - Accent5 5 2 2 29" xfId="19293"/>
    <cellStyle name="40% - Accent5 5 2 2 29 2" xfId="42068"/>
    <cellStyle name="40% - Accent5 5 2 2 3" xfId="1253"/>
    <cellStyle name="40% - Accent5 5 2 2 3 2" xfId="2893"/>
    <cellStyle name="40% - Accent5 5 2 2 3 2 2" xfId="25668"/>
    <cellStyle name="40% - Accent5 5 2 2 3 3" xfId="24028"/>
    <cellStyle name="40% - Accent5 5 2 2 30" xfId="19949"/>
    <cellStyle name="40% - Accent5 5 2 2 30 2" xfId="42724"/>
    <cellStyle name="40% - Accent5 5 2 2 31" xfId="20605"/>
    <cellStyle name="40% - Accent5 5 2 2 31 2" xfId="43380"/>
    <cellStyle name="40% - Accent5 5 2 2 32" xfId="21261"/>
    <cellStyle name="40% - Accent5 5 2 2 32 2" xfId="44036"/>
    <cellStyle name="40% - Accent5 5 2 2 33" xfId="21917"/>
    <cellStyle name="40% - Accent5 5 2 2 33 2" xfId="44692"/>
    <cellStyle name="40% - Accent5 5 2 2 34" xfId="22573"/>
    <cellStyle name="40% - Accent5 5 2 2 34 2" xfId="45348"/>
    <cellStyle name="40% - Accent5 5 2 2 35" xfId="23372"/>
    <cellStyle name="40% - Accent5 5 2 2 4" xfId="1909"/>
    <cellStyle name="40% - Accent5 5 2 2 4 2" xfId="3549"/>
    <cellStyle name="40% - Accent5 5 2 2 4 2 2" xfId="26324"/>
    <cellStyle name="40% - Accent5 5 2 2 4 3" xfId="24684"/>
    <cellStyle name="40% - Accent5 5 2 2 5" xfId="4205"/>
    <cellStyle name="40% - Accent5 5 2 2 5 2" xfId="26980"/>
    <cellStyle name="40% - Accent5 5 2 2 6" xfId="4861"/>
    <cellStyle name="40% - Accent5 5 2 2 6 2" xfId="27636"/>
    <cellStyle name="40% - Accent5 5 2 2 7" xfId="5517"/>
    <cellStyle name="40% - Accent5 5 2 2 7 2" xfId="28292"/>
    <cellStyle name="40% - Accent5 5 2 2 8" xfId="6173"/>
    <cellStyle name="40% - Accent5 5 2 2 8 2" xfId="28948"/>
    <cellStyle name="40% - Accent5 5 2 2 9" xfId="2565"/>
    <cellStyle name="40% - Accent5 5 2 2 9 2" xfId="25340"/>
    <cellStyle name="40% - Accent5 5 2 20" xfId="12548"/>
    <cellStyle name="40% - Accent5 5 2 20 2" xfId="35323"/>
    <cellStyle name="40% - Accent5 5 2 21" xfId="13204"/>
    <cellStyle name="40% - Accent5 5 2 21 2" xfId="35979"/>
    <cellStyle name="40% - Accent5 5 2 22" xfId="13860"/>
    <cellStyle name="40% - Accent5 5 2 22 2" xfId="36635"/>
    <cellStyle name="40% - Accent5 5 2 23" xfId="14516"/>
    <cellStyle name="40% - Accent5 5 2 23 2" xfId="37291"/>
    <cellStyle name="40% - Accent5 5 2 24" xfId="15172"/>
    <cellStyle name="40% - Accent5 5 2 24 2" xfId="37947"/>
    <cellStyle name="40% - Accent5 5 2 25" xfId="15828"/>
    <cellStyle name="40% - Accent5 5 2 25 2" xfId="38603"/>
    <cellStyle name="40% - Accent5 5 2 26" xfId="16484"/>
    <cellStyle name="40% - Accent5 5 2 26 2" xfId="39259"/>
    <cellStyle name="40% - Accent5 5 2 27" xfId="17140"/>
    <cellStyle name="40% - Accent5 5 2 27 2" xfId="39915"/>
    <cellStyle name="40% - Accent5 5 2 28" xfId="17796"/>
    <cellStyle name="40% - Accent5 5 2 28 2" xfId="40571"/>
    <cellStyle name="40% - Accent5 5 2 29" xfId="18452"/>
    <cellStyle name="40% - Accent5 5 2 29 2" xfId="41227"/>
    <cellStyle name="40% - Accent5 5 2 3" xfId="740"/>
    <cellStyle name="40% - Accent5 5 2 3 10" xfId="8284"/>
    <cellStyle name="40% - Accent5 5 2 3 10 2" xfId="31059"/>
    <cellStyle name="40% - Accent5 5 2 3 11" xfId="8940"/>
    <cellStyle name="40% - Accent5 5 2 3 11 2" xfId="31715"/>
    <cellStyle name="40% - Accent5 5 2 3 12" xfId="9596"/>
    <cellStyle name="40% - Accent5 5 2 3 12 2" xfId="32371"/>
    <cellStyle name="40% - Accent5 5 2 3 13" xfId="10252"/>
    <cellStyle name="40% - Accent5 5 2 3 13 2" xfId="33027"/>
    <cellStyle name="40% - Accent5 5 2 3 14" xfId="10908"/>
    <cellStyle name="40% - Accent5 5 2 3 14 2" xfId="33683"/>
    <cellStyle name="40% - Accent5 5 2 3 15" xfId="11564"/>
    <cellStyle name="40% - Accent5 5 2 3 15 2" xfId="34339"/>
    <cellStyle name="40% - Accent5 5 2 3 16" xfId="12220"/>
    <cellStyle name="40% - Accent5 5 2 3 16 2" xfId="34995"/>
    <cellStyle name="40% - Accent5 5 2 3 17" xfId="12876"/>
    <cellStyle name="40% - Accent5 5 2 3 17 2" xfId="35651"/>
    <cellStyle name="40% - Accent5 5 2 3 18" xfId="13532"/>
    <cellStyle name="40% - Accent5 5 2 3 18 2" xfId="36307"/>
    <cellStyle name="40% - Accent5 5 2 3 19" xfId="14188"/>
    <cellStyle name="40% - Accent5 5 2 3 19 2" xfId="36963"/>
    <cellStyle name="40% - Accent5 5 2 3 2" xfId="1396"/>
    <cellStyle name="40% - Accent5 5 2 3 2 2" xfId="3692"/>
    <cellStyle name="40% - Accent5 5 2 3 2 2 2" xfId="26467"/>
    <cellStyle name="40% - Accent5 5 2 3 2 3" xfId="24171"/>
    <cellStyle name="40% - Accent5 5 2 3 20" xfId="14844"/>
    <cellStyle name="40% - Accent5 5 2 3 20 2" xfId="37619"/>
    <cellStyle name="40% - Accent5 5 2 3 21" xfId="15500"/>
    <cellStyle name="40% - Accent5 5 2 3 21 2" xfId="38275"/>
    <cellStyle name="40% - Accent5 5 2 3 22" xfId="16156"/>
    <cellStyle name="40% - Accent5 5 2 3 22 2" xfId="38931"/>
    <cellStyle name="40% - Accent5 5 2 3 23" xfId="16812"/>
    <cellStyle name="40% - Accent5 5 2 3 23 2" xfId="39587"/>
    <cellStyle name="40% - Accent5 5 2 3 24" xfId="17468"/>
    <cellStyle name="40% - Accent5 5 2 3 24 2" xfId="40243"/>
    <cellStyle name="40% - Accent5 5 2 3 25" xfId="18124"/>
    <cellStyle name="40% - Accent5 5 2 3 25 2" xfId="40899"/>
    <cellStyle name="40% - Accent5 5 2 3 26" xfId="18780"/>
    <cellStyle name="40% - Accent5 5 2 3 26 2" xfId="41555"/>
    <cellStyle name="40% - Accent5 5 2 3 27" xfId="19436"/>
    <cellStyle name="40% - Accent5 5 2 3 27 2" xfId="42211"/>
    <cellStyle name="40% - Accent5 5 2 3 28" xfId="20092"/>
    <cellStyle name="40% - Accent5 5 2 3 28 2" xfId="42867"/>
    <cellStyle name="40% - Accent5 5 2 3 29" xfId="20748"/>
    <cellStyle name="40% - Accent5 5 2 3 29 2" xfId="43523"/>
    <cellStyle name="40% - Accent5 5 2 3 3" xfId="2052"/>
    <cellStyle name="40% - Accent5 5 2 3 3 2" xfId="4348"/>
    <cellStyle name="40% - Accent5 5 2 3 3 2 2" xfId="27123"/>
    <cellStyle name="40% - Accent5 5 2 3 3 3" xfId="24827"/>
    <cellStyle name="40% - Accent5 5 2 3 30" xfId="21404"/>
    <cellStyle name="40% - Accent5 5 2 3 30 2" xfId="44179"/>
    <cellStyle name="40% - Accent5 5 2 3 31" xfId="22060"/>
    <cellStyle name="40% - Accent5 5 2 3 31 2" xfId="44835"/>
    <cellStyle name="40% - Accent5 5 2 3 32" xfId="22716"/>
    <cellStyle name="40% - Accent5 5 2 3 32 2" xfId="45491"/>
    <cellStyle name="40% - Accent5 5 2 3 33" xfId="23515"/>
    <cellStyle name="40% - Accent5 5 2 3 4" xfId="5004"/>
    <cellStyle name="40% - Accent5 5 2 3 4 2" xfId="27779"/>
    <cellStyle name="40% - Accent5 5 2 3 5" xfId="5660"/>
    <cellStyle name="40% - Accent5 5 2 3 5 2" xfId="28435"/>
    <cellStyle name="40% - Accent5 5 2 3 6" xfId="6316"/>
    <cellStyle name="40% - Accent5 5 2 3 6 2" xfId="29091"/>
    <cellStyle name="40% - Accent5 5 2 3 7" xfId="3036"/>
    <cellStyle name="40% - Accent5 5 2 3 7 2" xfId="25811"/>
    <cellStyle name="40% - Accent5 5 2 3 8" xfId="6972"/>
    <cellStyle name="40% - Accent5 5 2 3 8 2" xfId="29747"/>
    <cellStyle name="40% - Accent5 5 2 3 9" xfId="7628"/>
    <cellStyle name="40% - Accent5 5 2 3 9 2" xfId="30403"/>
    <cellStyle name="40% - Accent5 5 2 30" xfId="19108"/>
    <cellStyle name="40% - Accent5 5 2 30 2" xfId="41883"/>
    <cellStyle name="40% - Accent5 5 2 31" xfId="19764"/>
    <cellStyle name="40% - Accent5 5 2 31 2" xfId="42539"/>
    <cellStyle name="40% - Accent5 5 2 32" xfId="20420"/>
    <cellStyle name="40% - Accent5 5 2 32 2" xfId="43195"/>
    <cellStyle name="40% - Accent5 5 2 33" xfId="21076"/>
    <cellStyle name="40% - Accent5 5 2 33 2" xfId="43851"/>
    <cellStyle name="40% - Accent5 5 2 34" xfId="21732"/>
    <cellStyle name="40% - Accent5 5 2 34 2" xfId="44507"/>
    <cellStyle name="40% - Accent5 5 2 35" xfId="22388"/>
    <cellStyle name="40% - Accent5 5 2 35 2" xfId="45163"/>
    <cellStyle name="40% - Accent5 5 2 36" xfId="23044"/>
    <cellStyle name="40% - Accent5 5 2 4" xfId="413"/>
    <cellStyle name="40% - Accent5 5 2 4 2" xfId="2708"/>
    <cellStyle name="40% - Accent5 5 2 4 2 2" xfId="25483"/>
    <cellStyle name="40% - Accent5 5 2 4 3" xfId="23187"/>
    <cellStyle name="40% - Accent5 5 2 5" xfId="1068"/>
    <cellStyle name="40% - Accent5 5 2 5 2" xfId="3364"/>
    <cellStyle name="40% - Accent5 5 2 5 2 2" xfId="26139"/>
    <cellStyle name="40% - Accent5 5 2 5 3" xfId="23843"/>
    <cellStyle name="40% - Accent5 5 2 6" xfId="1724"/>
    <cellStyle name="40% - Accent5 5 2 6 2" xfId="4020"/>
    <cellStyle name="40% - Accent5 5 2 6 2 2" xfId="26795"/>
    <cellStyle name="40% - Accent5 5 2 6 3" xfId="24499"/>
    <cellStyle name="40% - Accent5 5 2 7" xfId="4676"/>
    <cellStyle name="40% - Accent5 5 2 7 2" xfId="27451"/>
    <cellStyle name="40% - Accent5 5 2 8" xfId="5332"/>
    <cellStyle name="40% - Accent5 5 2 8 2" xfId="28107"/>
    <cellStyle name="40% - Accent5 5 2 9" xfId="5988"/>
    <cellStyle name="40% - Accent5 5 2 9 2" xfId="28763"/>
    <cellStyle name="40% - Accent5 5 20" xfId="11821"/>
    <cellStyle name="40% - Accent5 5 20 2" xfId="34596"/>
    <cellStyle name="40% - Accent5 5 21" xfId="12477"/>
    <cellStyle name="40% - Accent5 5 21 2" xfId="35252"/>
    <cellStyle name="40% - Accent5 5 22" xfId="13133"/>
    <cellStyle name="40% - Accent5 5 22 2" xfId="35908"/>
    <cellStyle name="40% - Accent5 5 23" xfId="13789"/>
    <cellStyle name="40% - Accent5 5 23 2" xfId="36564"/>
    <cellStyle name="40% - Accent5 5 24" xfId="14445"/>
    <cellStyle name="40% - Accent5 5 24 2" xfId="37220"/>
    <cellStyle name="40% - Accent5 5 25" xfId="15101"/>
    <cellStyle name="40% - Accent5 5 25 2" xfId="37876"/>
    <cellStyle name="40% - Accent5 5 26" xfId="15757"/>
    <cellStyle name="40% - Accent5 5 26 2" xfId="38532"/>
    <cellStyle name="40% - Accent5 5 27" xfId="16413"/>
    <cellStyle name="40% - Accent5 5 27 2" xfId="39188"/>
    <cellStyle name="40% - Accent5 5 28" xfId="17069"/>
    <cellStyle name="40% - Accent5 5 28 2" xfId="39844"/>
    <cellStyle name="40% - Accent5 5 29" xfId="17725"/>
    <cellStyle name="40% - Accent5 5 29 2" xfId="40500"/>
    <cellStyle name="40% - Accent5 5 3" xfId="526"/>
    <cellStyle name="40% - Accent5 5 3 10" xfId="6758"/>
    <cellStyle name="40% - Accent5 5 3 10 2" xfId="29533"/>
    <cellStyle name="40% - Accent5 5 3 11" xfId="7414"/>
    <cellStyle name="40% - Accent5 5 3 11 2" xfId="30189"/>
    <cellStyle name="40% - Accent5 5 3 12" xfId="8070"/>
    <cellStyle name="40% - Accent5 5 3 12 2" xfId="30845"/>
    <cellStyle name="40% - Accent5 5 3 13" xfId="8726"/>
    <cellStyle name="40% - Accent5 5 3 13 2" xfId="31501"/>
    <cellStyle name="40% - Accent5 5 3 14" xfId="9382"/>
    <cellStyle name="40% - Accent5 5 3 14 2" xfId="32157"/>
    <cellStyle name="40% - Accent5 5 3 15" xfId="10038"/>
    <cellStyle name="40% - Accent5 5 3 15 2" xfId="32813"/>
    <cellStyle name="40% - Accent5 5 3 16" xfId="10694"/>
    <cellStyle name="40% - Accent5 5 3 16 2" xfId="33469"/>
    <cellStyle name="40% - Accent5 5 3 17" xfId="11350"/>
    <cellStyle name="40% - Accent5 5 3 17 2" xfId="34125"/>
    <cellStyle name="40% - Accent5 5 3 18" xfId="12006"/>
    <cellStyle name="40% - Accent5 5 3 18 2" xfId="34781"/>
    <cellStyle name="40% - Accent5 5 3 19" xfId="12662"/>
    <cellStyle name="40% - Accent5 5 3 19 2" xfId="35437"/>
    <cellStyle name="40% - Accent5 5 3 2" xfId="854"/>
    <cellStyle name="40% - Accent5 5 3 2 10" xfId="8398"/>
    <cellStyle name="40% - Accent5 5 3 2 10 2" xfId="31173"/>
    <cellStyle name="40% - Accent5 5 3 2 11" xfId="9054"/>
    <cellStyle name="40% - Accent5 5 3 2 11 2" xfId="31829"/>
    <cellStyle name="40% - Accent5 5 3 2 12" xfId="9710"/>
    <cellStyle name="40% - Accent5 5 3 2 12 2" xfId="32485"/>
    <cellStyle name="40% - Accent5 5 3 2 13" xfId="10366"/>
    <cellStyle name="40% - Accent5 5 3 2 13 2" xfId="33141"/>
    <cellStyle name="40% - Accent5 5 3 2 14" xfId="11022"/>
    <cellStyle name="40% - Accent5 5 3 2 14 2" xfId="33797"/>
    <cellStyle name="40% - Accent5 5 3 2 15" xfId="11678"/>
    <cellStyle name="40% - Accent5 5 3 2 15 2" xfId="34453"/>
    <cellStyle name="40% - Accent5 5 3 2 16" xfId="12334"/>
    <cellStyle name="40% - Accent5 5 3 2 16 2" xfId="35109"/>
    <cellStyle name="40% - Accent5 5 3 2 17" xfId="12990"/>
    <cellStyle name="40% - Accent5 5 3 2 17 2" xfId="35765"/>
    <cellStyle name="40% - Accent5 5 3 2 18" xfId="13646"/>
    <cellStyle name="40% - Accent5 5 3 2 18 2" xfId="36421"/>
    <cellStyle name="40% - Accent5 5 3 2 19" xfId="14302"/>
    <cellStyle name="40% - Accent5 5 3 2 19 2" xfId="37077"/>
    <cellStyle name="40% - Accent5 5 3 2 2" xfId="1510"/>
    <cellStyle name="40% - Accent5 5 3 2 2 2" xfId="3806"/>
    <cellStyle name="40% - Accent5 5 3 2 2 2 2" xfId="26581"/>
    <cellStyle name="40% - Accent5 5 3 2 2 3" xfId="24285"/>
    <cellStyle name="40% - Accent5 5 3 2 20" xfId="14958"/>
    <cellStyle name="40% - Accent5 5 3 2 20 2" xfId="37733"/>
    <cellStyle name="40% - Accent5 5 3 2 21" xfId="15614"/>
    <cellStyle name="40% - Accent5 5 3 2 21 2" xfId="38389"/>
    <cellStyle name="40% - Accent5 5 3 2 22" xfId="16270"/>
    <cellStyle name="40% - Accent5 5 3 2 22 2" xfId="39045"/>
    <cellStyle name="40% - Accent5 5 3 2 23" xfId="16926"/>
    <cellStyle name="40% - Accent5 5 3 2 23 2" xfId="39701"/>
    <cellStyle name="40% - Accent5 5 3 2 24" xfId="17582"/>
    <cellStyle name="40% - Accent5 5 3 2 24 2" xfId="40357"/>
    <cellStyle name="40% - Accent5 5 3 2 25" xfId="18238"/>
    <cellStyle name="40% - Accent5 5 3 2 25 2" xfId="41013"/>
    <cellStyle name="40% - Accent5 5 3 2 26" xfId="18894"/>
    <cellStyle name="40% - Accent5 5 3 2 26 2" xfId="41669"/>
    <cellStyle name="40% - Accent5 5 3 2 27" xfId="19550"/>
    <cellStyle name="40% - Accent5 5 3 2 27 2" xfId="42325"/>
    <cellStyle name="40% - Accent5 5 3 2 28" xfId="20206"/>
    <cellStyle name="40% - Accent5 5 3 2 28 2" xfId="42981"/>
    <cellStyle name="40% - Accent5 5 3 2 29" xfId="20862"/>
    <cellStyle name="40% - Accent5 5 3 2 29 2" xfId="43637"/>
    <cellStyle name="40% - Accent5 5 3 2 3" xfId="2166"/>
    <cellStyle name="40% - Accent5 5 3 2 3 2" xfId="4462"/>
    <cellStyle name="40% - Accent5 5 3 2 3 2 2" xfId="27237"/>
    <cellStyle name="40% - Accent5 5 3 2 3 3" xfId="24941"/>
    <cellStyle name="40% - Accent5 5 3 2 30" xfId="21518"/>
    <cellStyle name="40% - Accent5 5 3 2 30 2" xfId="44293"/>
    <cellStyle name="40% - Accent5 5 3 2 31" xfId="22174"/>
    <cellStyle name="40% - Accent5 5 3 2 31 2" xfId="44949"/>
    <cellStyle name="40% - Accent5 5 3 2 32" xfId="22830"/>
    <cellStyle name="40% - Accent5 5 3 2 32 2" xfId="45605"/>
    <cellStyle name="40% - Accent5 5 3 2 33" xfId="23629"/>
    <cellStyle name="40% - Accent5 5 3 2 4" xfId="5118"/>
    <cellStyle name="40% - Accent5 5 3 2 4 2" xfId="27893"/>
    <cellStyle name="40% - Accent5 5 3 2 5" xfId="5774"/>
    <cellStyle name="40% - Accent5 5 3 2 5 2" xfId="28549"/>
    <cellStyle name="40% - Accent5 5 3 2 6" xfId="6430"/>
    <cellStyle name="40% - Accent5 5 3 2 6 2" xfId="29205"/>
    <cellStyle name="40% - Accent5 5 3 2 7" xfId="3150"/>
    <cellStyle name="40% - Accent5 5 3 2 7 2" xfId="25925"/>
    <cellStyle name="40% - Accent5 5 3 2 8" xfId="7086"/>
    <cellStyle name="40% - Accent5 5 3 2 8 2" xfId="29861"/>
    <cellStyle name="40% - Accent5 5 3 2 9" xfId="7742"/>
    <cellStyle name="40% - Accent5 5 3 2 9 2" xfId="30517"/>
    <cellStyle name="40% - Accent5 5 3 20" xfId="13318"/>
    <cellStyle name="40% - Accent5 5 3 20 2" xfId="36093"/>
    <cellStyle name="40% - Accent5 5 3 21" xfId="13974"/>
    <cellStyle name="40% - Accent5 5 3 21 2" xfId="36749"/>
    <cellStyle name="40% - Accent5 5 3 22" xfId="14630"/>
    <cellStyle name="40% - Accent5 5 3 22 2" xfId="37405"/>
    <cellStyle name="40% - Accent5 5 3 23" xfId="15286"/>
    <cellStyle name="40% - Accent5 5 3 23 2" xfId="38061"/>
    <cellStyle name="40% - Accent5 5 3 24" xfId="15942"/>
    <cellStyle name="40% - Accent5 5 3 24 2" xfId="38717"/>
    <cellStyle name="40% - Accent5 5 3 25" xfId="16598"/>
    <cellStyle name="40% - Accent5 5 3 25 2" xfId="39373"/>
    <cellStyle name="40% - Accent5 5 3 26" xfId="17254"/>
    <cellStyle name="40% - Accent5 5 3 26 2" xfId="40029"/>
    <cellStyle name="40% - Accent5 5 3 27" xfId="17910"/>
    <cellStyle name="40% - Accent5 5 3 27 2" xfId="40685"/>
    <cellStyle name="40% - Accent5 5 3 28" xfId="18566"/>
    <cellStyle name="40% - Accent5 5 3 28 2" xfId="41341"/>
    <cellStyle name="40% - Accent5 5 3 29" xfId="19222"/>
    <cellStyle name="40% - Accent5 5 3 29 2" xfId="41997"/>
    <cellStyle name="40% - Accent5 5 3 3" xfId="1182"/>
    <cellStyle name="40% - Accent5 5 3 3 2" xfId="2822"/>
    <cellStyle name="40% - Accent5 5 3 3 2 2" xfId="25597"/>
    <cellStyle name="40% - Accent5 5 3 3 3" xfId="23957"/>
    <cellStyle name="40% - Accent5 5 3 30" xfId="19878"/>
    <cellStyle name="40% - Accent5 5 3 30 2" xfId="42653"/>
    <cellStyle name="40% - Accent5 5 3 31" xfId="20534"/>
    <cellStyle name="40% - Accent5 5 3 31 2" xfId="43309"/>
    <cellStyle name="40% - Accent5 5 3 32" xfId="21190"/>
    <cellStyle name="40% - Accent5 5 3 32 2" xfId="43965"/>
    <cellStyle name="40% - Accent5 5 3 33" xfId="21846"/>
    <cellStyle name="40% - Accent5 5 3 33 2" xfId="44621"/>
    <cellStyle name="40% - Accent5 5 3 34" xfId="22502"/>
    <cellStyle name="40% - Accent5 5 3 34 2" xfId="45277"/>
    <cellStyle name="40% - Accent5 5 3 35" xfId="23301"/>
    <cellStyle name="40% - Accent5 5 3 4" xfId="1838"/>
    <cellStyle name="40% - Accent5 5 3 4 2" xfId="3478"/>
    <cellStyle name="40% - Accent5 5 3 4 2 2" xfId="26253"/>
    <cellStyle name="40% - Accent5 5 3 4 3" xfId="24613"/>
    <cellStyle name="40% - Accent5 5 3 5" xfId="4134"/>
    <cellStyle name="40% - Accent5 5 3 5 2" xfId="26909"/>
    <cellStyle name="40% - Accent5 5 3 6" xfId="4790"/>
    <cellStyle name="40% - Accent5 5 3 6 2" xfId="27565"/>
    <cellStyle name="40% - Accent5 5 3 7" xfId="5446"/>
    <cellStyle name="40% - Accent5 5 3 7 2" xfId="28221"/>
    <cellStyle name="40% - Accent5 5 3 8" xfId="6102"/>
    <cellStyle name="40% - Accent5 5 3 8 2" xfId="28877"/>
    <cellStyle name="40% - Accent5 5 3 9" xfId="2494"/>
    <cellStyle name="40% - Accent5 5 3 9 2" xfId="25269"/>
    <cellStyle name="40% - Accent5 5 30" xfId="18381"/>
    <cellStyle name="40% - Accent5 5 30 2" xfId="41156"/>
    <cellStyle name="40% - Accent5 5 31" xfId="19037"/>
    <cellStyle name="40% - Accent5 5 31 2" xfId="41812"/>
    <cellStyle name="40% - Accent5 5 32" xfId="19693"/>
    <cellStyle name="40% - Accent5 5 32 2" xfId="42468"/>
    <cellStyle name="40% - Accent5 5 33" xfId="20349"/>
    <cellStyle name="40% - Accent5 5 33 2" xfId="43124"/>
    <cellStyle name="40% - Accent5 5 34" xfId="21005"/>
    <cellStyle name="40% - Accent5 5 34 2" xfId="43780"/>
    <cellStyle name="40% - Accent5 5 35" xfId="21661"/>
    <cellStyle name="40% - Accent5 5 35 2" xfId="44436"/>
    <cellStyle name="40% - Accent5 5 36" xfId="22317"/>
    <cellStyle name="40% - Accent5 5 36 2" xfId="45092"/>
    <cellStyle name="40% - Accent5 5 37" xfId="256"/>
    <cellStyle name="40% - Accent5 5 38" xfId="22973"/>
    <cellStyle name="40% - Accent5 5 4" xfId="669"/>
    <cellStyle name="40% - Accent5 5 4 10" xfId="8213"/>
    <cellStyle name="40% - Accent5 5 4 10 2" xfId="30988"/>
    <cellStyle name="40% - Accent5 5 4 11" xfId="8869"/>
    <cellStyle name="40% - Accent5 5 4 11 2" xfId="31644"/>
    <cellStyle name="40% - Accent5 5 4 12" xfId="9525"/>
    <cellStyle name="40% - Accent5 5 4 12 2" xfId="32300"/>
    <cellStyle name="40% - Accent5 5 4 13" xfId="10181"/>
    <cellStyle name="40% - Accent5 5 4 13 2" xfId="32956"/>
    <cellStyle name="40% - Accent5 5 4 14" xfId="10837"/>
    <cellStyle name="40% - Accent5 5 4 14 2" xfId="33612"/>
    <cellStyle name="40% - Accent5 5 4 15" xfId="11493"/>
    <cellStyle name="40% - Accent5 5 4 15 2" xfId="34268"/>
    <cellStyle name="40% - Accent5 5 4 16" xfId="12149"/>
    <cellStyle name="40% - Accent5 5 4 16 2" xfId="34924"/>
    <cellStyle name="40% - Accent5 5 4 17" xfId="12805"/>
    <cellStyle name="40% - Accent5 5 4 17 2" xfId="35580"/>
    <cellStyle name="40% - Accent5 5 4 18" xfId="13461"/>
    <cellStyle name="40% - Accent5 5 4 18 2" xfId="36236"/>
    <cellStyle name="40% - Accent5 5 4 19" xfId="14117"/>
    <cellStyle name="40% - Accent5 5 4 19 2" xfId="36892"/>
    <cellStyle name="40% - Accent5 5 4 2" xfId="1325"/>
    <cellStyle name="40% - Accent5 5 4 2 2" xfId="3621"/>
    <cellStyle name="40% - Accent5 5 4 2 2 2" xfId="26396"/>
    <cellStyle name="40% - Accent5 5 4 2 3" xfId="24100"/>
    <cellStyle name="40% - Accent5 5 4 20" xfId="14773"/>
    <cellStyle name="40% - Accent5 5 4 20 2" xfId="37548"/>
    <cellStyle name="40% - Accent5 5 4 21" xfId="15429"/>
    <cellStyle name="40% - Accent5 5 4 21 2" xfId="38204"/>
    <cellStyle name="40% - Accent5 5 4 22" xfId="16085"/>
    <cellStyle name="40% - Accent5 5 4 22 2" xfId="38860"/>
    <cellStyle name="40% - Accent5 5 4 23" xfId="16741"/>
    <cellStyle name="40% - Accent5 5 4 23 2" xfId="39516"/>
    <cellStyle name="40% - Accent5 5 4 24" xfId="17397"/>
    <cellStyle name="40% - Accent5 5 4 24 2" xfId="40172"/>
    <cellStyle name="40% - Accent5 5 4 25" xfId="18053"/>
    <cellStyle name="40% - Accent5 5 4 25 2" xfId="40828"/>
    <cellStyle name="40% - Accent5 5 4 26" xfId="18709"/>
    <cellStyle name="40% - Accent5 5 4 26 2" xfId="41484"/>
    <cellStyle name="40% - Accent5 5 4 27" xfId="19365"/>
    <cellStyle name="40% - Accent5 5 4 27 2" xfId="42140"/>
    <cellStyle name="40% - Accent5 5 4 28" xfId="20021"/>
    <cellStyle name="40% - Accent5 5 4 28 2" xfId="42796"/>
    <cellStyle name="40% - Accent5 5 4 29" xfId="20677"/>
    <cellStyle name="40% - Accent5 5 4 29 2" xfId="43452"/>
    <cellStyle name="40% - Accent5 5 4 3" xfId="1981"/>
    <cellStyle name="40% - Accent5 5 4 3 2" xfId="4277"/>
    <cellStyle name="40% - Accent5 5 4 3 2 2" xfId="27052"/>
    <cellStyle name="40% - Accent5 5 4 3 3" xfId="24756"/>
    <cellStyle name="40% - Accent5 5 4 30" xfId="21333"/>
    <cellStyle name="40% - Accent5 5 4 30 2" xfId="44108"/>
    <cellStyle name="40% - Accent5 5 4 31" xfId="21989"/>
    <cellStyle name="40% - Accent5 5 4 31 2" xfId="44764"/>
    <cellStyle name="40% - Accent5 5 4 32" xfId="22645"/>
    <cellStyle name="40% - Accent5 5 4 32 2" xfId="45420"/>
    <cellStyle name="40% - Accent5 5 4 33" xfId="23444"/>
    <cellStyle name="40% - Accent5 5 4 4" xfId="4933"/>
    <cellStyle name="40% - Accent5 5 4 4 2" xfId="27708"/>
    <cellStyle name="40% - Accent5 5 4 5" xfId="5589"/>
    <cellStyle name="40% - Accent5 5 4 5 2" xfId="28364"/>
    <cellStyle name="40% - Accent5 5 4 6" xfId="6245"/>
    <cellStyle name="40% - Accent5 5 4 6 2" xfId="29020"/>
    <cellStyle name="40% - Accent5 5 4 7" xfId="2965"/>
    <cellStyle name="40% - Accent5 5 4 7 2" xfId="25740"/>
    <cellStyle name="40% - Accent5 5 4 8" xfId="6901"/>
    <cellStyle name="40% - Accent5 5 4 8 2" xfId="29676"/>
    <cellStyle name="40% - Accent5 5 4 9" xfId="7557"/>
    <cellStyle name="40% - Accent5 5 4 9 2" xfId="30332"/>
    <cellStyle name="40% - Accent5 5 5" xfId="342"/>
    <cellStyle name="40% - Accent5 5 5 2" xfId="2637"/>
    <cellStyle name="40% - Accent5 5 5 2 2" xfId="25412"/>
    <cellStyle name="40% - Accent5 5 5 3" xfId="23116"/>
    <cellStyle name="40% - Accent5 5 6" xfId="997"/>
    <cellStyle name="40% - Accent5 5 6 2" xfId="3293"/>
    <cellStyle name="40% - Accent5 5 6 2 2" xfId="26068"/>
    <cellStyle name="40% - Accent5 5 6 3" xfId="23772"/>
    <cellStyle name="40% - Accent5 5 7" xfId="1653"/>
    <cellStyle name="40% - Accent5 5 7 2" xfId="3949"/>
    <cellStyle name="40% - Accent5 5 7 2 2" xfId="26724"/>
    <cellStyle name="40% - Accent5 5 7 3" xfId="24428"/>
    <cellStyle name="40% - Accent5 5 8" xfId="4605"/>
    <cellStyle name="40% - Accent5 5 8 2" xfId="27380"/>
    <cellStyle name="40% - Accent5 5 9" xfId="5261"/>
    <cellStyle name="40% - Accent5 5 9 2" xfId="28036"/>
    <cellStyle name="40% - Accent5 6" xfId="124"/>
    <cellStyle name="40% - Accent5 6 10" xfId="2322"/>
    <cellStyle name="40% - Accent5 6 10 2" xfId="25097"/>
    <cellStyle name="40% - Accent5 6 11" xfId="6586"/>
    <cellStyle name="40% - Accent5 6 11 2" xfId="29361"/>
    <cellStyle name="40% - Accent5 6 12" xfId="7242"/>
    <cellStyle name="40% - Accent5 6 12 2" xfId="30017"/>
    <cellStyle name="40% - Accent5 6 13" xfId="7898"/>
    <cellStyle name="40% - Accent5 6 13 2" xfId="30673"/>
    <cellStyle name="40% - Accent5 6 14" xfId="8554"/>
    <cellStyle name="40% - Accent5 6 14 2" xfId="31329"/>
    <cellStyle name="40% - Accent5 6 15" xfId="9210"/>
    <cellStyle name="40% - Accent5 6 15 2" xfId="31985"/>
    <cellStyle name="40% - Accent5 6 16" xfId="9866"/>
    <cellStyle name="40% - Accent5 6 16 2" xfId="32641"/>
    <cellStyle name="40% - Accent5 6 17" xfId="10522"/>
    <cellStyle name="40% - Accent5 6 17 2" xfId="33297"/>
    <cellStyle name="40% - Accent5 6 18" xfId="11178"/>
    <cellStyle name="40% - Accent5 6 18 2" xfId="33953"/>
    <cellStyle name="40% - Accent5 6 19" xfId="11834"/>
    <cellStyle name="40% - Accent5 6 19 2" xfId="34609"/>
    <cellStyle name="40% - Accent5 6 2" xfId="538"/>
    <cellStyle name="40% - Accent5 6 2 10" xfId="6771"/>
    <cellStyle name="40% - Accent5 6 2 10 2" xfId="29546"/>
    <cellStyle name="40% - Accent5 6 2 11" xfId="7427"/>
    <cellStyle name="40% - Accent5 6 2 11 2" xfId="30202"/>
    <cellStyle name="40% - Accent5 6 2 12" xfId="8083"/>
    <cellStyle name="40% - Accent5 6 2 12 2" xfId="30858"/>
    <cellStyle name="40% - Accent5 6 2 13" xfId="8739"/>
    <cellStyle name="40% - Accent5 6 2 13 2" xfId="31514"/>
    <cellStyle name="40% - Accent5 6 2 14" xfId="9395"/>
    <cellStyle name="40% - Accent5 6 2 14 2" xfId="32170"/>
    <cellStyle name="40% - Accent5 6 2 15" xfId="10051"/>
    <cellStyle name="40% - Accent5 6 2 15 2" xfId="32826"/>
    <cellStyle name="40% - Accent5 6 2 16" xfId="10707"/>
    <cellStyle name="40% - Accent5 6 2 16 2" xfId="33482"/>
    <cellStyle name="40% - Accent5 6 2 17" xfId="11363"/>
    <cellStyle name="40% - Accent5 6 2 17 2" xfId="34138"/>
    <cellStyle name="40% - Accent5 6 2 18" xfId="12019"/>
    <cellStyle name="40% - Accent5 6 2 18 2" xfId="34794"/>
    <cellStyle name="40% - Accent5 6 2 19" xfId="12675"/>
    <cellStyle name="40% - Accent5 6 2 19 2" xfId="35450"/>
    <cellStyle name="40% - Accent5 6 2 2" xfId="867"/>
    <cellStyle name="40% - Accent5 6 2 2 10" xfId="8411"/>
    <cellStyle name="40% - Accent5 6 2 2 10 2" xfId="31186"/>
    <cellStyle name="40% - Accent5 6 2 2 11" xfId="9067"/>
    <cellStyle name="40% - Accent5 6 2 2 11 2" xfId="31842"/>
    <cellStyle name="40% - Accent5 6 2 2 12" xfId="9723"/>
    <cellStyle name="40% - Accent5 6 2 2 12 2" xfId="32498"/>
    <cellStyle name="40% - Accent5 6 2 2 13" xfId="10379"/>
    <cellStyle name="40% - Accent5 6 2 2 13 2" xfId="33154"/>
    <cellStyle name="40% - Accent5 6 2 2 14" xfId="11035"/>
    <cellStyle name="40% - Accent5 6 2 2 14 2" xfId="33810"/>
    <cellStyle name="40% - Accent5 6 2 2 15" xfId="11691"/>
    <cellStyle name="40% - Accent5 6 2 2 15 2" xfId="34466"/>
    <cellStyle name="40% - Accent5 6 2 2 16" xfId="12347"/>
    <cellStyle name="40% - Accent5 6 2 2 16 2" xfId="35122"/>
    <cellStyle name="40% - Accent5 6 2 2 17" xfId="13003"/>
    <cellStyle name="40% - Accent5 6 2 2 17 2" xfId="35778"/>
    <cellStyle name="40% - Accent5 6 2 2 18" xfId="13659"/>
    <cellStyle name="40% - Accent5 6 2 2 18 2" xfId="36434"/>
    <cellStyle name="40% - Accent5 6 2 2 19" xfId="14315"/>
    <cellStyle name="40% - Accent5 6 2 2 19 2" xfId="37090"/>
    <cellStyle name="40% - Accent5 6 2 2 2" xfId="1523"/>
    <cellStyle name="40% - Accent5 6 2 2 2 2" xfId="3819"/>
    <cellStyle name="40% - Accent5 6 2 2 2 2 2" xfId="26594"/>
    <cellStyle name="40% - Accent5 6 2 2 2 3" xfId="24298"/>
    <cellStyle name="40% - Accent5 6 2 2 20" xfId="14971"/>
    <cellStyle name="40% - Accent5 6 2 2 20 2" xfId="37746"/>
    <cellStyle name="40% - Accent5 6 2 2 21" xfId="15627"/>
    <cellStyle name="40% - Accent5 6 2 2 21 2" xfId="38402"/>
    <cellStyle name="40% - Accent5 6 2 2 22" xfId="16283"/>
    <cellStyle name="40% - Accent5 6 2 2 22 2" xfId="39058"/>
    <cellStyle name="40% - Accent5 6 2 2 23" xfId="16939"/>
    <cellStyle name="40% - Accent5 6 2 2 23 2" xfId="39714"/>
    <cellStyle name="40% - Accent5 6 2 2 24" xfId="17595"/>
    <cellStyle name="40% - Accent5 6 2 2 24 2" xfId="40370"/>
    <cellStyle name="40% - Accent5 6 2 2 25" xfId="18251"/>
    <cellStyle name="40% - Accent5 6 2 2 25 2" xfId="41026"/>
    <cellStyle name="40% - Accent5 6 2 2 26" xfId="18907"/>
    <cellStyle name="40% - Accent5 6 2 2 26 2" xfId="41682"/>
    <cellStyle name="40% - Accent5 6 2 2 27" xfId="19563"/>
    <cellStyle name="40% - Accent5 6 2 2 27 2" xfId="42338"/>
    <cellStyle name="40% - Accent5 6 2 2 28" xfId="20219"/>
    <cellStyle name="40% - Accent5 6 2 2 28 2" xfId="42994"/>
    <cellStyle name="40% - Accent5 6 2 2 29" xfId="20875"/>
    <cellStyle name="40% - Accent5 6 2 2 29 2" xfId="43650"/>
    <cellStyle name="40% - Accent5 6 2 2 3" xfId="2179"/>
    <cellStyle name="40% - Accent5 6 2 2 3 2" xfId="4475"/>
    <cellStyle name="40% - Accent5 6 2 2 3 2 2" xfId="27250"/>
    <cellStyle name="40% - Accent5 6 2 2 3 3" xfId="24954"/>
    <cellStyle name="40% - Accent5 6 2 2 30" xfId="21531"/>
    <cellStyle name="40% - Accent5 6 2 2 30 2" xfId="44306"/>
    <cellStyle name="40% - Accent5 6 2 2 31" xfId="22187"/>
    <cellStyle name="40% - Accent5 6 2 2 31 2" xfId="44962"/>
    <cellStyle name="40% - Accent5 6 2 2 32" xfId="22843"/>
    <cellStyle name="40% - Accent5 6 2 2 32 2" xfId="45618"/>
    <cellStyle name="40% - Accent5 6 2 2 33" xfId="23642"/>
    <cellStyle name="40% - Accent5 6 2 2 4" xfId="5131"/>
    <cellStyle name="40% - Accent5 6 2 2 4 2" xfId="27906"/>
    <cellStyle name="40% - Accent5 6 2 2 5" xfId="5787"/>
    <cellStyle name="40% - Accent5 6 2 2 5 2" xfId="28562"/>
    <cellStyle name="40% - Accent5 6 2 2 6" xfId="6443"/>
    <cellStyle name="40% - Accent5 6 2 2 6 2" xfId="29218"/>
    <cellStyle name="40% - Accent5 6 2 2 7" xfId="3163"/>
    <cellStyle name="40% - Accent5 6 2 2 7 2" xfId="25938"/>
    <cellStyle name="40% - Accent5 6 2 2 8" xfId="7099"/>
    <cellStyle name="40% - Accent5 6 2 2 8 2" xfId="29874"/>
    <cellStyle name="40% - Accent5 6 2 2 9" xfId="7755"/>
    <cellStyle name="40% - Accent5 6 2 2 9 2" xfId="30530"/>
    <cellStyle name="40% - Accent5 6 2 20" xfId="13331"/>
    <cellStyle name="40% - Accent5 6 2 20 2" xfId="36106"/>
    <cellStyle name="40% - Accent5 6 2 21" xfId="13987"/>
    <cellStyle name="40% - Accent5 6 2 21 2" xfId="36762"/>
    <cellStyle name="40% - Accent5 6 2 22" xfId="14643"/>
    <cellStyle name="40% - Accent5 6 2 22 2" xfId="37418"/>
    <cellStyle name="40% - Accent5 6 2 23" xfId="15299"/>
    <cellStyle name="40% - Accent5 6 2 23 2" xfId="38074"/>
    <cellStyle name="40% - Accent5 6 2 24" xfId="15955"/>
    <cellStyle name="40% - Accent5 6 2 24 2" xfId="38730"/>
    <cellStyle name="40% - Accent5 6 2 25" xfId="16611"/>
    <cellStyle name="40% - Accent5 6 2 25 2" xfId="39386"/>
    <cellStyle name="40% - Accent5 6 2 26" xfId="17267"/>
    <cellStyle name="40% - Accent5 6 2 26 2" xfId="40042"/>
    <cellStyle name="40% - Accent5 6 2 27" xfId="17923"/>
    <cellStyle name="40% - Accent5 6 2 27 2" xfId="40698"/>
    <cellStyle name="40% - Accent5 6 2 28" xfId="18579"/>
    <cellStyle name="40% - Accent5 6 2 28 2" xfId="41354"/>
    <cellStyle name="40% - Accent5 6 2 29" xfId="19235"/>
    <cellStyle name="40% - Accent5 6 2 29 2" xfId="42010"/>
    <cellStyle name="40% - Accent5 6 2 3" xfId="1195"/>
    <cellStyle name="40% - Accent5 6 2 3 2" xfId="2835"/>
    <cellStyle name="40% - Accent5 6 2 3 2 2" xfId="25610"/>
    <cellStyle name="40% - Accent5 6 2 3 3" xfId="23970"/>
    <cellStyle name="40% - Accent5 6 2 30" xfId="19891"/>
    <cellStyle name="40% - Accent5 6 2 30 2" xfId="42666"/>
    <cellStyle name="40% - Accent5 6 2 31" xfId="20547"/>
    <cellStyle name="40% - Accent5 6 2 31 2" xfId="43322"/>
    <cellStyle name="40% - Accent5 6 2 32" xfId="21203"/>
    <cellStyle name="40% - Accent5 6 2 32 2" xfId="43978"/>
    <cellStyle name="40% - Accent5 6 2 33" xfId="21859"/>
    <cellStyle name="40% - Accent5 6 2 33 2" xfId="44634"/>
    <cellStyle name="40% - Accent5 6 2 34" xfId="22515"/>
    <cellStyle name="40% - Accent5 6 2 34 2" xfId="45290"/>
    <cellStyle name="40% - Accent5 6 2 35" xfId="23314"/>
    <cellStyle name="40% - Accent5 6 2 4" xfId="1851"/>
    <cellStyle name="40% - Accent5 6 2 4 2" xfId="3491"/>
    <cellStyle name="40% - Accent5 6 2 4 2 2" xfId="26266"/>
    <cellStyle name="40% - Accent5 6 2 4 3" xfId="24626"/>
    <cellStyle name="40% - Accent5 6 2 5" xfId="4147"/>
    <cellStyle name="40% - Accent5 6 2 5 2" xfId="26922"/>
    <cellStyle name="40% - Accent5 6 2 6" xfId="4803"/>
    <cellStyle name="40% - Accent5 6 2 6 2" xfId="27578"/>
    <cellStyle name="40% - Accent5 6 2 7" xfId="5459"/>
    <cellStyle name="40% - Accent5 6 2 7 2" xfId="28234"/>
    <cellStyle name="40% - Accent5 6 2 8" xfId="6115"/>
    <cellStyle name="40% - Accent5 6 2 8 2" xfId="28890"/>
    <cellStyle name="40% - Accent5 6 2 9" xfId="2507"/>
    <cellStyle name="40% - Accent5 6 2 9 2" xfId="25282"/>
    <cellStyle name="40% - Accent5 6 20" xfId="12490"/>
    <cellStyle name="40% - Accent5 6 20 2" xfId="35265"/>
    <cellStyle name="40% - Accent5 6 21" xfId="13146"/>
    <cellStyle name="40% - Accent5 6 21 2" xfId="35921"/>
    <cellStyle name="40% - Accent5 6 22" xfId="13802"/>
    <cellStyle name="40% - Accent5 6 22 2" xfId="36577"/>
    <cellStyle name="40% - Accent5 6 23" xfId="14458"/>
    <cellStyle name="40% - Accent5 6 23 2" xfId="37233"/>
    <cellStyle name="40% - Accent5 6 24" xfId="15114"/>
    <cellStyle name="40% - Accent5 6 24 2" xfId="37889"/>
    <cellStyle name="40% - Accent5 6 25" xfId="15770"/>
    <cellStyle name="40% - Accent5 6 25 2" xfId="38545"/>
    <cellStyle name="40% - Accent5 6 26" xfId="16426"/>
    <cellStyle name="40% - Accent5 6 26 2" xfId="39201"/>
    <cellStyle name="40% - Accent5 6 27" xfId="17082"/>
    <cellStyle name="40% - Accent5 6 27 2" xfId="39857"/>
    <cellStyle name="40% - Accent5 6 28" xfId="17738"/>
    <cellStyle name="40% - Accent5 6 28 2" xfId="40513"/>
    <cellStyle name="40% - Accent5 6 29" xfId="18394"/>
    <cellStyle name="40% - Accent5 6 29 2" xfId="41169"/>
    <cellStyle name="40% - Accent5 6 3" xfId="682"/>
    <cellStyle name="40% - Accent5 6 3 10" xfId="8226"/>
    <cellStyle name="40% - Accent5 6 3 10 2" xfId="31001"/>
    <cellStyle name="40% - Accent5 6 3 11" xfId="8882"/>
    <cellStyle name="40% - Accent5 6 3 11 2" xfId="31657"/>
    <cellStyle name="40% - Accent5 6 3 12" xfId="9538"/>
    <cellStyle name="40% - Accent5 6 3 12 2" xfId="32313"/>
    <cellStyle name="40% - Accent5 6 3 13" xfId="10194"/>
    <cellStyle name="40% - Accent5 6 3 13 2" xfId="32969"/>
    <cellStyle name="40% - Accent5 6 3 14" xfId="10850"/>
    <cellStyle name="40% - Accent5 6 3 14 2" xfId="33625"/>
    <cellStyle name="40% - Accent5 6 3 15" xfId="11506"/>
    <cellStyle name="40% - Accent5 6 3 15 2" xfId="34281"/>
    <cellStyle name="40% - Accent5 6 3 16" xfId="12162"/>
    <cellStyle name="40% - Accent5 6 3 16 2" xfId="34937"/>
    <cellStyle name="40% - Accent5 6 3 17" xfId="12818"/>
    <cellStyle name="40% - Accent5 6 3 17 2" xfId="35593"/>
    <cellStyle name="40% - Accent5 6 3 18" xfId="13474"/>
    <cellStyle name="40% - Accent5 6 3 18 2" xfId="36249"/>
    <cellStyle name="40% - Accent5 6 3 19" xfId="14130"/>
    <cellStyle name="40% - Accent5 6 3 19 2" xfId="36905"/>
    <cellStyle name="40% - Accent5 6 3 2" xfId="1338"/>
    <cellStyle name="40% - Accent5 6 3 2 2" xfId="3634"/>
    <cellStyle name="40% - Accent5 6 3 2 2 2" xfId="26409"/>
    <cellStyle name="40% - Accent5 6 3 2 3" xfId="24113"/>
    <cellStyle name="40% - Accent5 6 3 20" xfId="14786"/>
    <cellStyle name="40% - Accent5 6 3 20 2" xfId="37561"/>
    <cellStyle name="40% - Accent5 6 3 21" xfId="15442"/>
    <cellStyle name="40% - Accent5 6 3 21 2" xfId="38217"/>
    <cellStyle name="40% - Accent5 6 3 22" xfId="16098"/>
    <cellStyle name="40% - Accent5 6 3 22 2" xfId="38873"/>
    <cellStyle name="40% - Accent5 6 3 23" xfId="16754"/>
    <cellStyle name="40% - Accent5 6 3 23 2" xfId="39529"/>
    <cellStyle name="40% - Accent5 6 3 24" xfId="17410"/>
    <cellStyle name="40% - Accent5 6 3 24 2" xfId="40185"/>
    <cellStyle name="40% - Accent5 6 3 25" xfId="18066"/>
    <cellStyle name="40% - Accent5 6 3 25 2" xfId="40841"/>
    <cellStyle name="40% - Accent5 6 3 26" xfId="18722"/>
    <cellStyle name="40% - Accent5 6 3 26 2" xfId="41497"/>
    <cellStyle name="40% - Accent5 6 3 27" xfId="19378"/>
    <cellStyle name="40% - Accent5 6 3 27 2" xfId="42153"/>
    <cellStyle name="40% - Accent5 6 3 28" xfId="20034"/>
    <cellStyle name="40% - Accent5 6 3 28 2" xfId="42809"/>
    <cellStyle name="40% - Accent5 6 3 29" xfId="20690"/>
    <cellStyle name="40% - Accent5 6 3 29 2" xfId="43465"/>
    <cellStyle name="40% - Accent5 6 3 3" xfId="1994"/>
    <cellStyle name="40% - Accent5 6 3 3 2" xfId="4290"/>
    <cellStyle name="40% - Accent5 6 3 3 2 2" xfId="27065"/>
    <cellStyle name="40% - Accent5 6 3 3 3" xfId="24769"/>
    <cellStyle name="40% - Accent5 6 3 30" xfId="21346"/>
    <cellStyle name="40% - Accent5 6 3 30 2" xfId="44121"/>
    <cellStyle name="40% - Accent5 6 3 31" xfId="22002"/>
    <cellStyle name="40% - Accent5 6 3 31 2" xfId="44777"/>
    <cellStyle name="40% - Accent5 6 3 32" xfId="22658"/>
    <cellStyle name="40% - Accent5 6 3 32 2" xfId="45433"/>
    <cellStyle name="40% - Accent5 6 3 33" xfId="23457"/>
    <cellStyle name="40% - Accent5 6 3 4" xfId="4946"/>
    <cellStyle name="40% - Accent5 6 3 4 2" xfId="27721"/>
    <cellStyle name="40% - Accent5 6 3 5" xfId="5602"/>
    <cellStyle name="40% - Accent5 6 3 5 2" xfId="28377"/>
    <cellStyle name="40% - Accent5 6 3 6" xfId="6258"/>
    <cellStyle name="40% - Accent5 6 3 6 2" xfId="29033"/>
    <cellStyle name="40% - Accent5 6 3 7" xfId="2978"/>
    <cellStyle name="40% - Accent5 6 3 7 2" xfId="25753"/>
    <cellStyle name="40% - Accent5 6 3 8" xfId="6914"/>
    <cellStyle name="40% - Accent5 6 3 8 2" xfId="29689"/>
    <cellStyle name="40% - Accent5 6 3 9" xfId="7570"/>
    <cellStyle name="40% - Accent5 6 3 9 2" xfId="30345"/>
    <cellStyle name="40% - Accent5 6 30" xfId="19050"/>
    <cellStyle name="40% - Accent5 6 30 2" xfId="41825"/>
    <cellStyle name="40% - Accent5 6 31" xfId="19706"/>
    <cellStyle name="40% - Accent5 6 31 2" xfId="42481"/>
    <cellStyle name="40% - Accent5 6 32" xfId="20362"/>
    <cellStyle name="40% - Accent5 6 32 2" xfId="43137"/>
    <cellStyle name="40% - Accent5 6 33" xfId="21018"/>
    <cellStyle name="40% - Accent5 6 33 2" xfId="43793"/>
    <cellStyle name="40% - Accent5 6 34" xfId="21674"/>
    <cellStyle name="40% - Accent5 6 34 2" xfId="44449"/>
    <cellStyle name="40% - Accent5 6 35" xfId="22330"/>
    <cellStyle name="40% - Accent5 6 35 2" xfId="45105"/>
    <cellStyle name="40% - Accent5 6 36" xfId="269"/>
    <cellStyle name="40% - Accent5 6 37" xfId="22986"/>
    <cellStyle name="40% - Accent5 6 4" xfId="355"/>
    <cellStyle name="40% - Accent5 6 4 2" xfId="2650"/>
    <cellStyle name="40% - Accent5 6 4 2 2" xfId="25425"/>
    <cellStyle name="40% - Accent5 6 4 3" xfId="23129"/>
    <cellStyle name="40% - Accent5 6 5" xfId="1010"/>
    <cellStyle name="40% - Accent5 6 5 2" xfId="3306"/>
    <cellStyle name="40% - Accent5 6 5 2 2" xfId="26081"/>
    <cellStyle name="40% - Accent5 6 5 3" xfId="23785"/>
    <cellStyle name="40% - Accent5 6 6" xfId="1666"/>
    <cellStyle name="40% - Accent5 6 6 2" xfId="3962"/>
    <cellStyle name="40% - Accent5 6 6 2 2" xfId="26737"/>
    <cellStyle name="40% - Accent5 6 6 3" xfId="24441"/>
    <cellStyle name="40% - Accent5 6 7" xfId="4618"/>
    <cellStyle name="40% - Accent5 6 7 2" xfId="27393"/>
    <cellStyle name="40% - Accent5 6 8" xfId="5274"/>
    <cellStyle name="40% - Accent5 6 8 2" xfId="28049"/>
    <cellStyle name="40% - Accent5 6 9" xfId="5930"/>
    <cellStyle name="40% - Accent5 6 9 2" xfId="28705"/>
    <cellStyle name="40% - Accent5 7" xfId="428"/>
    <cellStyle name="40% - Accent5 7 10" xfId="6659"/>
    <cellStyle name="40% - Accent5 7 10 2" xfId="29434"/>
    <cellStyle name="40% - Accent5 7 11" xfId="7315"/>
    <cellStyle name="40% - Accent5 7 11 2" xfId="30090"/>
    <cellStyle name="40% - Accent5 7 12" xfId="7971"/>
    <cellStyle name="40% - Accent5 7 12 2" xfId="30746"/>
    <cellStyle name="40% - Accent5 7 13" xfId="8627"/>
    <cellStyle name="40% - Accent5 7 13 2" xfId="31402"/>
    <cellStyle name="40% - Accent5 7 14" xfId="9283"/>
    <cellStyle name="40% - Accent5 7 14 2" xfId="32058"/>
    <cellStyle name="40% - Accent5 7 15" xfId="9939"/>
    <cellStyle name="40% - Accent5 7 15 2" xfId="32714"/>
    <cellStyle name="40% - Accent5 7 16" xfId="10595"/>
    <cellStyle name="40% - Accent5 7 16 2" xfId="33370"/>
    <cellStyle name="40% - Accent5 7 17" xfId="11251"/>
    <cellStyle name="40% - Accent5 7 17 2" xfId="34026"/>
    <cellStyle name="40% - Accent5 7 18" xfId="11907"/>
    <cellStyle name="40% - Accent5 7 18 2" xfId="34682"/>
    <cellStyle name="40% - Accent5 7 19" xfId="12563"/>
    <cellStyle name="40% - Accent5 7 19 2" xfId="35338"/>
    <cellStyle name="40% - Accent5 7 2" xfId="755"/>
    <cellStyle name="40% - Accent5 7 2 10" xfId="8299"/>
    <cellStyle name="40% - Accent5 7 2 10 2" xfId="31074"/>
    <cellStyle name="40% - Accent5 7 2 11" xfId="8955"/>
    <cellStyle name="40% - Accent5 7 2 11 2" xfId="31730"/>
    <cellStyle name="40% - Accent5 7 2 12" xfId="9611"/>
    <cellStyle name="40% - Accent5 7 2 12 2" xfId="32386"/>
    <cellStyle name="40% - Accent5 7 2 13" xfId="10267"/>
    <cellStyle name="40% - Accent5 7 2 13 2" xfId="33042"/>
    <cellStyle name="40% - Accent5 7 2 14" xfId="10923"/>
    <cellStyle name="40% - Accent5 7 2 14 2" xfId="33698"/>
    <cellStyle name="40% - Accent5 7 2 15" xfId="11579"/>
    <cellStyle name="40% - Accent5 7 2 15 2" xfId="34354"/>
    <cellStyle name="40% - Accent5 7 2 16" xfId="12235"/>
    <cellStyle name="40% - Accent5 7 2 16 2" xfId="35010"/>
    <cellStyle name="40% - Accent5 7 2 17" xfId="12891"/>
    <cellStyle name="40% - Accent5 7 2 17 2" xfId="35666"/>
    <cellStyle name="40% - Accent5 7 2 18" xfId="13547"/>
    <cellStyle name="40% - Accent5 7 2 18 2" xfId="36322"/>
    <cellStyle name="40% - Accent5 7 2 19" xfId="14203"/>
    <cellStyle name="40% - Accent5 7 2 19 2" xfId="36978"/>
    <cellStyle name="40% - Accent5 7 2 2" xfId="1411"/>
    <cellStyle name="40% - Accent5 7 2 2 2" xfId="3707"/>
    <cellStyle name="40% - Accent5 7 2 2 2 2" xfId="26482"/>
    <cellStyle name="40% - Accent5 7 2 2 3" xfId="24186"/>
    <cellStyle name="40% - Accent5 7 2 20" xfId="14859"/>
    <cellStyle name="40% - Accent5 7 2 20 2" xfId="37634"/>
    <cellStyle name="40% - Accent5 7 2 21" xfId="15515"/>
    <cellStyle name="40% - Accent5 7 2 21 2" xfId="38290"/>
    <cellStyle name="40% - Accent5 7 2 22" xfId="16171"/>
    <cellStyle name="40% - Accent5 7 2 22 2" xfId="38946"/>
    <cellStyle name="40% - Accent5 7 2 23" xfId="16827"/>
    <cellStyle name="40% - Accent5 7 2 23 2" xfId="39602"/>
    <cellStyle name="40% - Accent5 7 2 24" xfId="17483"/>
    <cellStyle name="40% - Accent5 7 2 24 2" xfId="40258"/>
    <cellStyle name="40% - Accent5 7 2 25" xfId="18139"/>
    <cellStyle name="40% - Accent5 7 2 25 2" xfId="40914"/>
    <cellStyle name="40% - Accent5 7 2 26" xfId="18795"/>
    <cellStyle name="40% - Accent5 7 2 26 2" xfId="41570"/>
    <cellStyle name="40% - Accent5 7 2 27" xfId="19451"/>
    <cellStyle name="40% - Accent5 7 2 27 2" xfId="42226"/>
    <cellStyle name="40% - Accent5 7 2 28" xfId="20107"/>
    <cellStyle name="40% - Accent5 7 2 28 2" xfId="42882"/>
    <cellStyle name="40% - Accent5 7 2 29" xfId="20763"/>
    <cellStyle name="40% - Accent5 7 2 29 2" xfId="43538"/>
    <cellStyle name="40% - Accent5 7 2 3" xfId="2067"/>
    <cellStyle name="40% - Accent5 7 2 3 2" xfId="4363"/>
    <cellStyle name="40% - Accent5 7 2 3 2 2" xfId="27138"/>
    <cellStyle name="40% - Accent5 7 2 3 3" xfId="24842"/>
    <cellStyle name="40% - Accent5 7 2 30" xfId="21419"/>
    <cellStyle name="40% - Accent5 7 2 30 2" xfId="44194"/>
    <cellStyle name="40% - Accent5 7 2 31" xfId="22075"/>
    <cellStyle name="40% - Accent5 7 2 31 2" xfId="44850"/>
    <cellStyle name="40% - Accent5 7 2 32" xfId="22731"/>
    <cellStyle name="40% - Accent5 7 2 32 2" xfId="45506"/>
    <cellStyle name="40% - Accent5 7 2 33" xfId="23530"/>
    <cellStyle name="40% - Accent5 7 2 4" xfId="5019"/>
    <cellStyle name="40% - Accent5 7 2 4 2" xfId="27794"/>
    <cellStyle name="40% - Accent5 7 2 5" xfId="5675"/>
    <cellStyle name="40% - Accent5 7 2 5 2" xfId="28450"/>
    <cellStyle name="40% - Accent5 7 2 6" xfId="6331"/>
    <cellStyle name="40% - Accent5 7 2 6 2" xfId="29106"/>
    <cellStyle name="40% - Accent5 7 2 7" xfId="3051"/>
    <cellStyle name="40% - Accent5 7 2 7 2" xfId="25826"/>
    <cellStyle name="40% - Accent5 7 2 8" xfId="6987"/>
    <cellStyle name="40% - Accent5 7 2 8 2" xfId="29762"/>
    <cellStyle name="40% - Accent5 7 2 9" xfId="7643"/>
    <cellStyle name="40% - Accent5 7 2 9 2" xfId="30418"/>
    <cellStyle name="40% - Accent5 7 20" xfId="13219"/>
    <cellStyle name="40% - Accent5 7 20 2" xfId="35994"/>
    <cellStyle name="40% - Accent5 7 21" xfId="13875"/>
    <cellStyle name="40% - Accent5 7 21 2" xfId="36650"/>
    <cellStyle name="40% - Accent5 7 22" xfId="14531"/>
    <cellStyle name="40% - Accent5 7 22 2" xfId="37306"/>
    <cellStyle name="40% - Accent5 7 23" xfId="15187"/>
    <cellStyle name="40% - Accent5 7 23 2" xfId="37962"/>
    <cellStyle name="40% - Accent5 7 24" xfId="15843"/>
    <cellStyle name="40% - Accent5 7 24 2" xfId="38618"/>
    <cellStyle name="40% - Accent5 7 25" xfId="16499"/>
    <cellStyle name="40% - Accent5 7 25 2" xfId="39274"/>
    <cellStyle name="40% - Accent5 7 26" xfId="17155"/>
    <cellStyle name="40% - Accent5 7 26 2" xfId="39930"/>
    <cellStyle name="40% - Accent5 7 27" xfId="17811"/>
    <cellStyle name="40% - Accent5 7 27 2" xfId="40586"/>
    <cellStyle name="40% - Accent5 7 28" xfId="18467"/>
    <cellStyle name="40% - Accent5 7 28 2" xfId="41242"/>
    <cellStyle name="40% - Accent5 7 29" xfId="19123"/>
    <cellStyle name="40% - Accent5 7 29 2" xfId="41898"/>
    <cellStyle name="40% - Accent5 7 3" xfId="1083"/>
    <cellStyle name="40% - Accent5 7 3 2" xfId="2723"/>
    <cellStyle name="40% - Accent5 7 3 2 2" xfId="25498"/>
    <cellStyle name="40% - Accent5 7 3 3" xfId="23858"/>
    <cellStyle name="40% - Accent5 7 30" xfId="19779"/>
    <cellStyle name="40% - Accent5 7 30 2" xfId="42554"/>
    <cellStyle name="40% - Accent5 7 31" xfId="20435"/>
    <cellStyle name="40% - Accent5 7 31 2" xfId="43210"/>
    <cellStyle name="40% - Accent5 7 32" xfId="21091"/>
    <cellStyle name="40% - Accent5 7 32 2" xfId="43866"/>
    <cellStyle name="40% - Accent5 7 33" xfId="21747"/>
    <cellStyle name="40% - Accent5 7 33 2" xfId="44522"/>
    <cellStyle name="40% - Accent5 7 34" xfId="22403"/>
    <cellStyle name="40% - Accent5 7 34 2" xfId="45178"/>
    <cellStyle name="40% - Accent5 7 35" xfId="23202"/>
    <cellStyle name="40% - Accent5 7 4" xfId="1739"/>
    <cellStyle name="40% - Accent5 7 4 2" xfId="3379"/>
    <cellStyle name="40% - Accent5 7 4 2 2" xfId="26154"/>
    <cellStyle name="40% - Accent5 7 4 3" xfId="24514"/>
    <cellStyle name="40% - Accent5 7 5" xfId="4035"/>
    <cellStyle name="40% - Accent5 7 5 2" xfId="26810"/>
    <cellStyle name="40% - Accent5 7 6" xfId="4691"/>
    <cellStyle name="40% - Accent5 7 6 2" xfId="27466"/>
    <cellStyle name="40% - Accent5 7 7" xfId="5347"/>
    <cellStyle name="40% - Accent5 7 7 2" xfId="28122"/>
    <cellStyle name="40% - Accent5 7 8" xfId="6003"/>
    <cellStyle name="40% - Accent5 7 8 2" xfId="28778"/>
    <cellStyle name="40% - Accent5 7 9" xfId="2395"/>
    <cellStyle name="40% - Accent5 7 9 2" xfId="25170"/>
    <cellStyle name="40% - Accent5 8" xfId="442"/>
    <cellStyle name="40% - Accent5 8 10" xfId="6673"/>
    <cellStyle name="40% - Accent5 8 10 2" xfId="29448"/>
    <cellStyle name="40% - Accent5 8 11" xfId="7329"/>
    <cellStyle name="40% - Accent5 8 11 2" xfId="30104"/>
    <cellStyle name="40% - Accent5 8 12" xfId="7985"/>
    <cellStyle name="40% - Accent5 8 12 2" xfId="30760"/>
    <cellStyle name="40% - Accent5 8 13" xfId="8641"/>
    <cellStyle name="40% - Accent5 8 13 2" xfId="31416"/>
    <cellStyle name="40% - Accent5 8 14" xfId="9297"/>
    <cellStyle name="40% - Accent5 8 14 2" xfId="32072"/>
    <cellStyle name="40% - Accent5 8 15" xfId="9953"/>
    <cellStyle name="40% - Accent5 8 15 2" xfId="32728"/>
    <cellStyle name="40% - Accent5 8 16" xfId="10609"/>
    <cellStyle name="40% - Accent5 8 16 2" xfId="33384"/>
    <cellStyle name="40% - Accent5 8 17" xfId="11265"/>
    <cellStyle name="40% - Accent5 8 17 2" xfId="34040"/>
    <cellStyle name="40% - Accent5 8 18" xfId="11921"/>
    <cellStyle name="40% - Accent5 8 18 2" xfId="34696"/>
    <cellStyle name="40% - Accent5 8 19" xfId="12577"/>
    <cellStyle name="40% - Accent5 8 19 2" xfId="35352"/>
    <cellStyle name="40% - Accent5 8 2" xfId="769"/>
    <cellStyle name="40% - Accent5 8 2 10" xfId="8313"/>
    <cellStyle name="40% - Accent5 8 2 10 2" xfId="31088"/>
    <cellStyle name="40% - Accent5 8 2 11" xfId="8969"/>
    <cellStyle name="40% - Accent5 8 2 11 2" xfId="31744"/>
    <cellStyle name="40% - Accent5 8 2 12" xfId="9625"/>
    <cellStyle name="40% - Accent5 8 2 12 2" xfId="32400"/>
    <cellStyle name="40% - Accent5 8 2 13" xfId="10281"/>
    <cellStyle name="40% - Accent5 8 2 13 2" xfId="33056"/>
    <cellStyle name="40% - Accent5 8 2 14" xfId="10937"/>
    <cellStyle name="40% - Accent5 8 2 14 2" xfId="33712"/>
    <cellStyle name="40% - Accent5 8 2 15" xfId="11593"/>
    <cellStyle name="40% - Accent5 8 2 15 2" xfId="34368"/>
    <cellStyle name="40% - Accent5 8 2 16" xfId="12249"/>
    <cellStyle name="40% - Accent5 8 2 16 2" xfId="35024"/>
    <cellStyle name="40% - Accent5 8 2 17" xfId="12905"/>
    <cellStyle name="40% - Accent5 8 2 17 2" xfId="35680"/>
    <cellStyle name="40% - Accent5 8 2 18" xfId="13561"/>
    <cellStyle name="40% - Accent5 8 2 18 2" xfId="36336"/>
    <cellStyle name="40% - Accent5 8 2 19" xfId="14217"/>
    <cellStyle name="40% - Accent5 8 2 19 2" xfId="36992"/>
    <cellStyle name="40% - Accent5 8 2 2" xfId="1425"/>
    <cellStyle name="40% - Accent5 8 2 2 2" xfId="3721"/>
    <cellStyle name="40% - Accent5 8 2 2 2 2" xfId="26496"/>
    <cellStyle name="40% - Accent5 8 2 2 3" xfId="24200"/>
    <cellStyle name="40% - Accent5 8 2 20" xfId="14873"/>
    <cellStyle name="40% - Accent5 8 2 20 2" xfId="37648"/>
    <cellStyle name="40% - Accent5 8 2 21" xfId="15529"/>
    <cellStyle name="40% - Accent5 8 2 21 2" xfId="38304"/>
    <cellStyle name="40% - Accent5 8 2 22" xfId="16185"/>
    <cellStyle name="40% - Accent5 8 2 22 2" xfId="38960"/>
    <cellStyle name="40% - Accent5 8 2 23" xfId="16841"/>
    <cellStyle name="40% - Accent5 8 2 23 2" xfId="39616"/>
    <cellStyle name="40% - Accent5 8 2 24" xfId="17497"/>
    <cellStyle name="40% - Accent5 8 2 24 2" xfId="40272"/>
    <cellStyle name="40% - Accent5 8 2 25" xfId="18153"/>
    <cellStyle name="40% - Accent5 8 2 25 2" xfId="40928"/>
    <cellStyle name="40% - Accent5 8 2 26" xfId="18809"/>
    <cellStyle name="40% - Accent5 8 2 26 2" xfId="41584"/>
    <cellStyle name="40% - Accent5 8 2 27" xfId="19465"/>
    <cellStyle name="40% - Accent5 8 2 27 2" xfId="42240"/>
    <cellStyle name="40% - Accent5 8 2 28" xfId="20121"/>
    <cellStyle name="40% - Accent5 8 2 28 2" xfId="42896"/>
    <cellStyle name="40% - Accent5 8 2 29" xfId="20777"/>
    <cellStyle name="40% - Accent5 8 2 29 2" xfId="43552"/>
    <cellStyle name="40% - Accent5 8 2 3" xfId="2081"/>
    <cellStyle name="40% - Accent5 8 2 3 2" xfId="4377"/>
    <cellStyle name="40% - Accent5 8 2 3 2 2" xfId="27152"/>
    <cellStyle name="40% - Accent5 8 2 3 3" xfId="24856"/>
    <cellStyle name="40% - Accent5 8 2 30" xfId="21433"/>
    <cellStyle name="40% - Accent5 8 2 30 2" xfId="44208"/>
    <cellStyle name="40% - Accent5 8 2 31" xfId="22089"/>
    <cellStyle name="40% - Accent5 8 2 31 2" xfId="44864"/>
    <cellStyle name="40% - Accent5 8 2 32" xfId="22745"/>
    <cellStyle name="40% - Accent5 8 2 32 2" xfId="45520"/>
    <cellStyle name="40% - Accent5 8 2 33" xfId="23544"/>
    <cellStyle name="40% - Accent5 8 2 4" xfId="5033"/>
    <cellStyle name="40% - Accent5 8 2 4 2" xfId="27808"/>
    <cellStyle name="40% - Accent5 8 2 5" xfId="5689"/>
    <cellStyle name="40% - Accent5 8 2 5 2" xfId="28464"/>
    <cellStyle name="40% - Accent5 8 2 6" xfId="6345"/>
    <cellStyle name="40% - Accent5 8 2 6 2" xfId="29120"/>
    <cellStyle name="40% - Accent5 8 2 7" xfId="3065"/>
    <cellStyle name="40% - Accent5 8 2 7 2" xfId="25840"/>
    <cellStyle name="40% - Accent5 8 2 8" xfId="7001"/>
    <cellStyle name="40% - Accent5 8 2 8 2" xfId="29776"/>
    <cellStyle name="40% - Accent5 8 2 9" xfId="7657"/>
    <cellStyle name="40% - Accent5 8 2 9 2" xfId="30432"/>
    <cellStyle name="40% - Accent5 8 20" xfId="13233"/>
    <cellStyle name="40% - Accent5 8 20 2" xfId="36008"/>
    <cellStyle name="40% - Accent5 8 21" xfId="13889"/>
    <cellStyle name="40% - Accent5 8 21 2" xfId="36664"/>
    <cellStyle name="40% - Accent5 8 22" xfId="14545"/>
    <cellStyle name="40% - Accent5 8 22 2" xfId="37320"/>
    <cellStyle name="40% - Accent5 8 23" xfId="15201"/>
    <cellStyle name="40% - Accent5 8 23 2" xfId="37976"/>
    <cellStyle name="40% - Accent5 8 24" xfId="15857"/>
    <cellStyle name="40% - Accent5 8 24 2" xfId="38632"/>
    <cellStyle name="40% - Accent5 8 25" xfId="16513"/>
    <cellStyle name="40% - Accent5 8 25 2" xfId="39288"/>
    <cellStyle name="40% - Accent5 8 26" xfId="17169"/>
    <cellStyle name="40% - Accent5 8 26 2" xfId="39944"/>
    <cellStyle name="40% - Accent5 8 27" xfId="17825"/>
    <cellStyle name="40% - Accent5 8 27 2" xfId="40600"/>
    <cellStyle name="40% - Accent5 8 28" xfId="18481"/>
    <cellStyle name="40% - Accent5 8 28 2" xfId="41256"/>
    <cellStyle name="40% - Accent5 8 29" xfId="19137"/>
    <cellStyle name="40% - Accent5 8 29 2" xfId="41912"/>
    <cellStyle name="40% - Accent5 8 3" xfId="1097"/>
    <cellStyle name="40% - Accent5 8 3 2" xfId="2737"/>
    <cellStyle name="40% - Accent5 8 3 2 2" xfId="25512"/>
    <cellStyle name="40% - Accent5 8 3 3" xfId="23872"/>
    <cellStyle name="40% - Accent5 8 30" xfId="19793"/>
    <cellStyle name="40% - Accent5 8 30 2" xfId="42568"/>
    <cellStyle name="40% - Accent5 8 31" xfId="20449"/>
    <cellStyle name="40% - Accent5 8 31 2" xfId="43224"/>
    <cellStyle name="40% - Accent5 8 32" xfId="21105"/>
    <cellStyle name="40% - Accent5 8 32 2" xfId="43880"/>
    <cellStyle name="40% - Accent5 8 33" xfId="21761"/>
    <cellStyle name="40% - Accent5 8 33 2" xfId="44536"/>
    <cellStyle name="40% - Accent5 8 34" xfId="22417"/>
    <cellStyle name="40% - Accent5 8 34 2" xfId="45192"/>
    <cellStyle name="40% - Accent5 8 35" xfId="23216"/>
    <cellStyle name="40% - Accent5 8 4" xfId="1753"/>
    <cellStyle name="40% - Accent5 8 4 2" xfId="3393"/>
    <cellStyle name="40% - Accent5 8 4 2 2" xfId="26168"/>
    <cellStyle name="40% - Accent5 8 4 3" xfId="24528"/>
    <cellStyle name="40% - Accent5 8 5" xfId="4049"/>
    <cellStyle name="40% - Accent5 8 5 2" xfId="26824"/>
    <cellStyle name="40% - Accent5 8 6" xfId="4705"/>
    <cellStyle name="40% - Accent5 8 6 2" xfId="27480"/>
    <cellStyle name="40% - Accent5 8 7" xfId="5361"/>
    <cellStyle name="40% - Accent5 8 7 2" xfId="28136"/>
    <cellStyle name="40% - Accent5 8 8" xfId="6017"/>
    <cellStyle name="40% - Accent5 8 8 2" xfId="28792"/>
    <cellStyle name="40% - Accent5 8 9" xfId="2409"/>
    <cellStyle name="40% - Accent5 8 9 2" xfId="25184"/>
    <cellStyle name="40% - Accent5 9" xfId="456"/>
    <cellStyle name="40% - Accent5 9 10" xfId="6687"/>
    <cellStyle name="40% - Accent5 9 10 2" xfId="29462"/>
    <cellStyle name="40% - Accent5 9 11" xfId="7343"/>
    <cellStyle name="40% - Accent5 9 11 2" xfId="30118"/>
    <cellStyle name="40% - Accent5 9 12" xfId="7999"/>
    <cellStyle name="40% - Accent5 9 12 2" xfId="30774"/>
    <cellStyle name="40% - Accent5 9 13" xfId="8655"/>
    <cellStyle name="40% - Accent5 9 13 2" xfId="31430"/>
    <cellStyle name="40% - Accent5 9 14" xfId="9311"/>
    <cellStyle name="40% - Accent5 9 14 2" xfId="32086"/>
    <cellStyle name="40% - Accent5 9 15" xfId="9967"/>
    <cellStyle name="40% - Accent5 9 15 2" xfId="32742"/>
    <cellStyle name="40% - Accent5 9 16" xfId="10623"/>
    <cellStyle name="40% - Accent5 9 16 2" xfId="33398"/>
    <cellStyle name="40% - Accent5 9 17" xfId="11279"/>
    <cellStyle name="40% - Accent5 9 17 2" xfId="34054"/>
    <cellStyle name="40% - Accent5 9 18" xfId="11935"/>
    <cellStyle name="40% - Accent5 9 18 2" xfId="34710"/>
    <cellStyle name="40% - Accent5 9 19" xfId="12591"/>
    <cellStyle name="40% - Accent5 9 19 2" xfId="35366"/>
    <cellStyle name="40% - Accent5 9 2" xfId="783"/>
    <cellStyle name="40% - Accent5 9 2 10" xfId="8327"/>
    <cellStyle name="40% - Accent5 9 2 10 2" xfId="31102"/>
    <cellStyle name="40% - Accent5 9 2 11" xfId="8983"/>
    <cellStyle name="40% - Accent5 9 2 11 2" xfId="31758"/>
    <cellStyle name="40% - Accent5 9 2 12" xfId="9639"/>
    <cellStyle name="40% - Accent5 9 2 12 2" xfId="32414"/>
    <cellStyle name="40% - Accent5 9 2 13" xfId="10295"/>
    <cellStyle name="40% - Accent5 9 2 13 2" xfId="33070"/>
    <cellStyle name="40% - Accent5 9 2 14" xfId="10951"/>
    <cellStyle name="40% - Accent5 9 2 14 2" xfId="33726"/>
    <cellStyle name="40% - Accent5 9 2 15" xfId="11607"/>
    <cellStyle name="40% - Accent5 9 2 15 2" xfId="34382"/>
    <cellStyle name="40% - Accent5 9 2 16" xfId="12263"/>
    <cellStyle name="40% - Accent5 9 2 16 2" xfId="35038"/>
    <cellStyle name="40% - Accent5 9 2 17" xfId="12919"/>
    <cellStyle name="40% - Accent5 9 2 17 2" xfId="35694"/>
    <cellStyle name="40% - Accent5 9 2 18" xfId="13575"/>
    <cellStyle name="40% - Accent5 9 2 18 2" xfId="36350"/>
    <cellStyle name="40% - Accent5 9 2 19" xfId="14231"/>
    <cellStyle name="40% - Accent5 9 2 19 2" xfId="37006"/>
    <cellStyle name="40% - Accent5 9 2 2" xfId="1439"/>
    <cellStyle name="40% - Accent5 9 2 2 2" xfId="3735"/>
    <cellStyle name="40% - Accent5 9 2 2 2 2" xfId="26510"/>
    <cellStyle name="40% - Accent5 9 2 2 3" xfId="24214"/>
    <cellStyle name="40% - Accent5 9 2 20" xfId="14887"/>
    <cellStyle name="40% - Accent5 9 2 20 2" xfId="37662"/>
    <cellStyle name="40% - Accent5 9 2 21" xfId="15543"/>
    <cellStyle name="40% - Accent5 9 2 21 2" xfId="38318"/>
    <cellStyle name="40% - Accent5 9 2 22" xfId="16199"/>
    <cellStyle name="40% - Accent5 9 2 22 2" xfId="38974"/>
    <cellStyle name="40% - Accent5 9 2 23" xfId="16855"/>
    <cellStyle name="40% - Accent5 9 2 23 2" xfId="39630"/>
    <cellStyle name="40% - Accent5 9 2 24" xfId="17511"/>
    <cellStyle name="40% - Accent5 9 2 24 2" xfId="40286"/>
    <cellStyle name="40% - Accent5 9 2 25" xfId="18167"/>
    <cellStyle name="40% - Accent5 9 2 25 2" xfId="40942"/>
    <cellStyle name="40% - Accent5 9 2 26" xfId="18823"/>
    <cellStyle name="40% - Accent5 9 2 26 2" xfId="41598"/>
    <cellStyle name="40% - Accent5 9 2 27" xfId="19479"/>
    <cellStyle name="40% - Accent5 9 2 27 2" xfId="42254"/>
    <cellStyle name="40% - Accent5 9 2 28" xfId="20135"/>
    <cellStyle name="40% - Accent5 9 2 28 2" xfId="42910"/>
    <cellStyle name="40% - Accent5 9 2 29" xfId="20791"/>
    <cellStyle name="40% - Accent5 9 2 29 2" xfId="43566"/>
    <cellStyle name="40% - Accent5 9 2 3" xfId="2095"/>
    <cellStyle name="40% - Accent5 9 2 3 2" xfId="4391"/>
    <cellStyle name="40% - Accent5 9 2 3 2 2" xfId="27166"/>
    <cellStyle name="40% - Accent5 9 2 3 3" xfId="24870"/>
    <cellStyle name="40% - Accent5 9 2 30" xfId="21447"/>
    <cellStyle name="40% - Accent5 9 2 30 2" xfId="44222"/>
    <cellStyle name="40% - Accent5 9 2 31" xfId="22103"/>
    <cellStyle name="40% - Accent5 9 2 31 2" xfId="44878"/>
    <cellStyle name="40% - Accent5 9 2 32" xfId="22759"/>
    <cellStyle name="40% - Accent5 9 2 32 2" xfId="45534"/>
    <cellStyle name="40% - Accent5 9 2 33" xfId="23558"/>
    <cellStyle name="40% - Accent5 9 2 4" xfId="5047"/>
    <cellStyle name="40% - Accent5 9 2 4 2" xfId="27822"/>
    <cellStyle name="40% - Accent5 9 2 5" xfId="5703"/>
    <cellStyle name="40% - Accent5 9 2 5 2" xfId="28478"/>
    <cellStyle name="40% - Accent5 9 2 6" xfId="6359"/>
    <cellStyle name="40% - Accent5 9 2 6 2" xfId="29134"/>
    <cellStyle name="40% - Accent5 9 2 7" xfId="3079"/>
    <cellStyle name="40% - Accent5 9 2 7 2" xfId="25854"/>
    <cellStyle name="40% - Accent5 9 2 8" xfId="7015"/>
    <cellStyle name="40% - Accent5 9 2 8 2" xfId="29790"/>
    <cellStyle name="40% - Accent5 9 2 9" xfId="7671"/>
    <cellStyle name="40% - Accent5 9 2 9 2" xfId="30446"/>
    <cellStyle name="40% - Accent5 9 20" xfId="13247"/>
    <cellStyle name="40% - Accent5 9 20 2" xfId="36022"/>
    <cellStyle name="40% - Accent5 9 21" xfId="13903"/>
    <cellStyle name="40% - Accent5 9 21 2" xfId="36678"/>
    <cellStyle name="40% - Accent5 9 22" xfId="14559"/>
    <cellStyle name="40% - Accent5 9 22 2" xfId="37334"/>
    <cellStyle name="40% - Accent5 9 23" xfId="15215"/>
    <cellStyle name="40% - Accent5 9 23 2" xfId="37990"/>
    <cellStyle name="40% - Accent5 9 24" xfId="15871"/>
    <cellStyle name="40% - Accent5 9 24 2" xfId="38646"/>
    <cellStyle name="40% - Accent5 9 25" xfId="16527"/>
    <cellStyle name="40% - Accent5 9 25 2" xfId="39302"/>
    <cellStyle name="40% - Accent5 9 26" xfId="17183"/>
    <cellStyle name="40% - Accent5 9 26 2" xfId="39958"/>
    <cellStyle name="40% - Accent5 9 27" xfId="17839"/>
    <cellStyle name="40% - Accent5 9 27 2" xfId="40614"/>
    <cellStyle name="40% - Accent5 9 28" xfId="18495"/>
    <cellStyle name="40% - Accent5 9 28 2" xfId="41270"/>
    <cellStyle name="40% - Accent5 9 29" xfId="19151"/>
    <cellStyle name="40% - Accent5 9 29 2" xfId="41926"/>
    <cellStyle name="40% - Accent5 9 3" xfId="1111"/>
    <cellStyle name="40% - Accent5 9 3 2" xfId="2751"/>
    <cellStyle name="40% - Accent5 9 3 2 2" xfId="25526"/>
    <cellStyle name="40% - Accent5 9 3 3" xfId="23886"/>
    <cellStyle name="40% - Accent5 9 30" xfId="19807"/>
    <cellStyle name="40% - Accent5 9 30 2" xfId="42582"/>
    <cellStyle name="40% - Accent5 9 31" xfId="20463"/>
    <cellStyle name="40% - Accent5 9 31 2" xfId="43238"/>
    <cellStyle name="40% - Accent5 9 32" xfId="21119"/>
    <cellStyle name="40% - Accent5 9 32 2" xfId="43894"/>
    <cellStyle name="40% - Accent5 9 33" xfId="21775"/>
    <cellStyle name="40% - Accent5 9 33 2" xfId="44550"/>
    <cellStyle name="40% - Accent5 9 34" xfId="22431"/>
    <cellStyle name="40% - Accent5 9 34 2" xfId="45206"/>
    <cellStyle name="40% - Accent5 9 35" xfId="23230"/>
    <cellStyle name="40% - Accent5 9 4" xfId="1767"/>
    <cellStyle name="40% - Accent5 9 4 2" xfId="3407"/>
    <cellStyle name="40% - Accent5 9 4 2 2" xfId="26182"/>
    <cellStyle name="40% - Accent5 9 4 3" xfId="24542"/>
    <cellStyle name="40% - Accent5 9 5" xfId="4063"/>
    <cellStyle name="40% - Accent5 9 5 2" xfId="26838"/>
    <cellStyle name="40% - Accent5 9 6" xfId="4719"/>
    <cellStyle name="40% - Accent5 9 6 2" xfId="27494"/>
    <cellStyle name="40% - Accent5 9 7" xfId="5375"/>
    <cellStyle name="40% - Accent5 9 7 2" xfId="28150"/>
    <cellStyle name="40% - Accent5 9 8" xfId="6031"/>
    <cellStyle name="40% - Accent5 9 8 2" xfId="28806"/>
    <cellStyle name="40% - Accent5 9 9" xfId="2423"/>
    <cellStyle name="40% - Accent5 9 9 2" xfId="25198"/>
    <cellStyle name="40% - Accent6" xfId="43" builtinId="51" customBuiltin="1"/>
    <cellStyle name="40% - Accent6 10" xfId="470"/>
    <cellStyle name="40% - Accent6 10 10" xfId="6701"/>
    <cellStyle name="40% - Accent6 10 10 2" xfId="29476"/>
    <cellStyle name="40% - Accent6 10 11" xfId="7357"/>
    <cellStyle name="40% - Accent6 10 11 2" xfId="30132"/>
    <cellStyle name="40% - Accent6 10 12" xfId="8013"/>
    <cellStyle name="40% - Accent6 10 12 2" xfId="30788"/>
    <cellStyle name="40% - Accent6 10 13" xfId="8669"/>
    <cellStyle name="40% - Accent6 10 13 2" xfId="31444"/>
    <cellStyle name="40% - Accent6 10 14" xfId="9325"/>
    <cellStyle name="40% - Accent6 10 14 2" xfId="32100"/>
    <cellStyle name="40% - Accent6 10 15" xfId="9981"/>
    <cellStyle name="40% - Accent6 10 15 2" xfId="32756"/>
    <cellStyle name="40% - Accent6 10 16" xfId="10637"/>
    <cellStyle name="40% - Accent6 10 16 2" xfId="33412"/>
    <cellStyle name="40% - Accent6 10 17" xfId="11293"/>
    <cellStyle name="40% - Accent6 10 17 2" xfId="34068"/>
    <cellStyle name="40% - Accent6 10 18" xfId="11949"/>
    <cellStyle name="40% - Accent6 10 18 2" xfId="34724"/>
    <cellStyle name="40% - Accent6 10 19" xfId="12605"/>
    <cellStyle name="40% - Accent6 10 19 2" xfId="35380"/>
    <cellStyle name="40% - Accent6 10 2" xfId="797"/>
    <cellStyle name="40% - Accent6 10 2 10" xfId="8341"/>
    <cellStyle name="40% - Accent6 10 2 10 2" xfId="31116"/>
    <cellStyle name="40% - Accent6 10 2 11" xfId="8997"/>
    <cellStyle name="40% - Accent6 10 2 11 2" xfId="31772"/>
    <cellStyle name="40% - Accent6 10 2 12" xfId="9653"/>
    <cellStyle name="40% - Accent6 10 2 12 2" xfId="32428"/>
    <cellStyle name="40% - Accent6 10 2 13" xfId="10309"/>
    <cellStyle name="40% - Accent6 10 2 13 2" xfId="33084"/>
    <cellStyle name="40% - Accent6 10 2 14" xfId="10965"/>
    <cellStyle name="40% - Accent6 10 2 14 2" xfId="33740"/>
    <cellStyle name="40% - Accent6 10 2 15" xfId="11621"/>
    <cellStyle name="40% - Accent6 10 2 15 2" xfId="34396"/>
    <cellStyle name="40% - Accent6 10 2 16" xfId="12277"/>
    <cellStyle name="40% - Accent6 10 2 16 2" xfId="35052"/>
    <cellStyle name="40% - Accent6 10 2 17" xfId="12933"/>
    <cellStyle name="40% - Accent6 10 2 17 2" xfId="35708"/>
    <cellStyle name="40% - Accent6 10 2 18" xfId="13589"/>
    <cellStyle name="40% - Accent6 10 2 18 2" xfId="36364"/>
    <cellStyle name="40% - Accent6 10 2 19" xfId="14245"/>
    <cellStyle name="40% - Accent6 10 2 19 2" xfId="37020"/>
    <cellStyle name="40% - Accent6 10 2 2" xfId="1453"/>
    <cellStyle name="40% - Accent6 10 2 2 2" xfId="3749"/>
    <cellStyle name="40% - Accent6 10 2 2 2 2" xfId="26524"/>
    <cellStyle name="40% - Accent6 10 2 2 3" xfId="24228"/>
    <cellStyle name="40% - Accent6 10 2 20" xfId="14901"/>
    <cellStyle name="40% - Accent6 10 2 20 2" xfId="37676"/>
    <cellStyle name="40% - Accent6 10 2 21" xfId="15557"/>
    <cellStyle name="40% - Accent6 10 2 21 2" xfId="38332"/>
    <cellStyle name="40% - Accent6 10 2 22" xfId="16213"/>
    <cellStyle name="40% - Accent6 10 2 22 2" xfId="38988"/>
    <cellStyle name="40% - Accent6 10 2 23" xfId="16869"/>
    <cellStyle name="40% - Accent6 10 2 23 2" xfId="39644"/>
    <cellStyle name="40% - Accent6 10 2 24" xfId="17525"/>
    <cellStyle name="40% - Accent6 10 2 24 2" xfId="40300"/>
    <cellStyle name="40% - Accent6 10 2 25" xfId="18181"/>
    <cellStyle name="40% - Accent6 10 2 25 2" xfId="40956"/>
    <cellStyle name="40% - Accent6 10 2 26" xfId="18837"/>
    <cellStyle name="40% - Accent6 10 2 26 2" xfId="41612"/>
    <cellStyle name="40% - Accent6 10 2 27" xfId="19493"/>
    <cellStyle name="40% - Accent6 10 2 27 2" xfId="42268"/>
    <cellStyle name="40% - Accent6 10 2 28" xfId="20149"/>
    <cellStyle name="40% - Accent6 10 2 28 2" xfId="42924"/>
    <cellStyle name="40% - Accent6 10 2 29" xfId="20805"/>
    <cellStyle name="40% - Accent6 10 2 29 2" xfId="43580"/>
    <cellStyle name="40% - Accent6 10 2 3" xfId="2109"/>
    <cellStyle name="40% - Accent6 10 2 3 2" xfId="4405"/>
    <cellStyle name="40% - Accent6 10 2 3 2 2" xfId="27180"/>
    <cellStyle name="40% - Accent6 10 2 3 3" xfId="24884"/>
    <cellStyle name="40% - Accent6 10 2 30" xfId="21461"/>
    <cellStyle name="40% - Accent6 10 2 30 2" xfId="44236"/>
    <cellStyle name="40% - Accent6 10 2 31" xfId="22117"/>
    <cellStyle name="40% - Accent6 10 2 31 2" xfId="44892"/>
    <cellStyle name="40% - Accent6 10 2 32" xfId="22773"/>
    <cellStyle name="40% - Accent6 10 2 32 2" xfId="45548"/>
    <cellStyle name="40% - Accent6 10 2 33" xfId="23572"/>
    <cellStyle name="40% - Accent6 10 2 4" xfId="5061"/>
    <cellStyle name="40% - Accent6 10 2 4 2" xfId="27836"/>
    <cellStyle name="40% - Accent6 10 2 5" xfId="5717"/>
    <cellStyle name="40% - Accent6 10 2 5 2" xfId="28492"/>
    <cellStyle name="40% - Accent6 10 2 6" xfId="6373"/>
    <cellStyle name="40% - Accent6 10 2 6 2" xfId="29148"/>
    <cellStyle name="40% - Accent6 10 2 7" xfId="3093"/>
    <cellStyle name="40% - Accent6 10 2 7 2" xfId="25868"/>
    <cellStyle name="40% - Accent6 10 2 8" xfId="7029"/>
    <cellStyle name="40% - Accent6 10 2 8 2" xfId="29804"/>
    <cellStyle name="40% - Accent6 10 2 9" xfId="7685"/>
    <cellStyle name="40% - Accent6 10 2 9 2" xfId="30460"/>
    <cellStyle name="40% - Accent6 10 20" xfId="13261"/>
    <cellStyle name="40% - Accent6 10 20 2" xfId="36036"/>
    <cellStyle name="40% - Accent6 10 21" xfId="13917"/>
    <cellStyle name="40% - Accent6 10 21 2" xfId="36692"/>
    <cellStyle name="40% - Accent6 10 22" xfId="14573"/>
    <cellStyle name="40% - Accent6 10 22 2" xfId="37348"/>
    <cellStyle name="40% - Accent6 10 23" xfId="15229"/>
    <cellStyle name="40% - Accent6 10 23 2" xfId="38004"/>
    <cellStyle name="40% - Accent6 10 24" xfId="15885"/>
    <cellStyle name="40% - Accent6 10 24 2" xfId="38660"/>
    <cellStyle name="40% - Accent6 10 25" xfId="16541"/>
    <cellStyle name="40% - Accent6 10 25 2" xfId="39316"/>
    <cellStyle name="40% - Accent6 10 26" xfId="17197"/>
    <cellStyle name="40% - Accent6 10 26 2" xfId="39972"/>
    <cellStyle name="40% - Accent6 10 27" xfId="17853"/>
    <cellStyle name="40% - Accent6 10 27 2" xfId="40628"/>
    <cellStyle name="40% - Accent6 10 28" xfId="18509"/>
    <cellStyle name="40% - Accent6 10 28 2" xfId="41284"/>
    <cellStyle name="40% - Accent6 10 29" xfId="19165"/>
    <cellStyle name="40% - Accent6 10 29 2" xfId="41940"/>
    <cellStyle name="40% - Accent6 10 3" xfId="1125"/>
    <cellStyle name="40% - Accent6 10 3 2" xfId="2765"/>
    <cellStyle name="40% - Accent6 10 3 2 2" xfId="25540"/>
    <cellStyle name="40% - Accent6 10 3 3" xfId="23900"/>
    <cellStyle name="40% - Accent6 10 30" xfId="19821"/>
    <cellStyle name="40% - Accent6 10 30 2" xfId="42596"/>
    <cellStyle name="40% - Accent6 10 31" xfId="20477"/>
    <cellStyle name="40% - Accent6 10 31 2" xfId="43252"/>
    <cellStyle name="40% - Accent6 10 32" xfId="21133"/>
    <cellStyle name="40% - Accent6 10 32 2" xfId="43908"/>
    <cellStyle name="40% - Accent6 10 33" xfId="21789"/>
    <cellStyle name="40% - Accent6 10 33 2" xfId="44564"/>
    <cellStyle name="40% - Accent6 10 34" xfId="22445"/>
    <cellStyle name="40% - Accent6 10 34 2" xfId="45220"/>
    <cellStyle name="40% - Accent6 10 35" xfId="23244"/>
    <cellStyle name="40% - Accent6 10 4" xfId="1781"/>
    <cellStyle name="40% - Accent6 10 4 2" xfId="3421"/>
    <cellStyle name="40% - Accent6 10 4 2 2" xfId="26196"/>
    <cellStyle name="40% - Accent6 10 4 3" xfId="24556"/>
    <cellStyle name="40% - Accent6 10 5" xfId="4077"/>
    <cellStyle name="40% - Accent6 10 5 2" xfId="26852"/>
    <cellStyle name="40% - Accent6 10 6" xfId="4733"/>
    <cellStyle name="40% - Accent6 10 6 2" xfId="27508"/>
    <cellStyle name="40% - Accent6 10 7" xfId="5389"/>
    <cellStyle name="40% - Accent6 10 7 2" xfId="28164"/>
    <cellStyle name="40% - Accent6 10 8" xfId="6045"/>
    <cellStyle name="40% - Accent6 10 8 2" xfId="28820"/>
    <cellStyle name="40% - Accent6 10 9" xfId="2437"/>
    <cellStyle name="40% - Accent6 10 9 2" xfId="25212"/>
    <cellStyle name="40% - Accent6 11" xfId="612"/>
    <cellStyle name="40% - Accent6 11 10" xfId="8156"/>
    <cellStyle name="40% - Accent6 11 10 2" xfId="30931"/>
    <cellStyle name="40% - Accent6 11 11" xfId="8812"/>
    <cellStyle name="40% - Accent6 11 11 2" xfId="31587"/>
    <cellStyle name="40% - Accent6 11 12" xfId="9468"/>
    <cellStyle name="40% - Accent6 11 12 2" xfId="32243"/>
    <cellStyle name="40% - Accent6 11 13" xfId="10124"/>
    <cellStyle name="40% - Accent6 11 13 2" xfId="32899"/>
    <cellStyle name="40% - Accent6 11 14" xfId="10780"/>
    <cellStyle name="40% - Accent6 11 14 2" xfId="33555"/>
    <cellStyle name="40% - Accent6 11 15" xfId="11436"/>
    <cellStyle name="40% - Accent6 11 15 2" xfId="34211"/>
    <cellStyle name="40% - Accent6 11 16" xfId="12092"/>
    <cellStyle name="40% - Accent6 11 16 2" xfId="34867"/>
    <cellStyle name="40% - Accent6 11 17" xfId="12748"/>
    <cellStyle name="40% - Accent6 11 17 2" xfId="35523"/>
    <cellStyle name="40% - Accent6 11 18" xfId="13404"/>
    <cellStyle name="40% - Accent6 11 18 2" xfId="36179"/>
    <cellStyle name="40% - Accent6 11 19" xfId="14060"/>
    <cellStyle name="40% - Accent6 11 19 2" xfId="36835"/>
    <cellStyle name="40% - Accent6 11 2" xfId="1268"/>
    <cellStyle name="40% - Accent6 11 2 2" xfId="3564"/>
    <cellStyle name="40% - Accent6 11 2 2 2" xfId="26339"/>
    <cellStyle name="40% - Accent6 11 2 3" xfId="24043"/>
    <cellStyle name="40% - Accent6 11 20" xfId="14716"/>
    <cellStyle name="40% - Accent6 11 20 2" xfId="37491"/>
    <cellStyle name="40% - Accent6 11 21" xfId="15372"/>
    <cellStyle name="40% - Accent6 11 21 2" xfId="38147"/>
    <cellStyle name="40% - Accent6 11 22" xfId="16028"/>
    <cellStyle name="40% - Accent6 11 22 2" xfId="38803"/>
    <cellStyle name="40% - Accent6 11 23" xfId="16684"/>
    <cellStyle name="40% - Accent6 11 23 2" xfId="39459"/>
    <cellStyle name="40% - Accent6 11 24" xfId="17340"/>
    <cellStyle name="40% - Accent6 11 24 2" xfId="40115"/>
    <cellStyle name="40% - Accent6 11 25" xfId="17996"/>
    <cellStyle name="40% - Accent6 11 25 2" xfId="40771"/>
    <cellStyle name="40% - Accent6 11 26" xfId="18652"/>
    <cellStyle name="40% - Accent6 11 26 2" xfId="41427"/>
    <cellStyle name="40% - Accent6 11 27" xfId="19308"/>
    <cellStyle name="40% - Accent6 11 27 2" xfId="42083"/>
    <cellStyle name="40% - Accent6 11 28" xfId="19964"/>
    <cellStyle name="40% - Accent6 11 28 2" xfId="42739"/>
    <cellStyle name="40% - Accent6 11 29" xfId="20620"/>
    <cellStyle name="40% - Accent6 11 29 2" xfId="43395"/>
    <cellStyle name="40% - Accent6 11 3" xfId="1924"/>
    <cellStyle name="40% - Accent6 11 3 2" xfId="4220"/>
    <cellStyle name="40% - Accent6 11 3 2 2" xfId="26995"/>
    <cellStyle name="40% - Accent6 11 3 3" xfId="24699"/>
    <cellStyle name="40% - Accent6 11 30" xfId="21276"/>
    <cellStyle name="40% - Accent6 11 30 2" xfId="44051"/>
    <cellStyle name="40% - Accent6 11 31" xfId="21932"/>
    <cellStyle name="40% - Accent6 11 31 2" xfId="44707"/>
    <cellStyle name="40% - Accent6 11 32" xfId="22588"/>
    <cellStyle name="40% - Accent6 11 32 2" xfId="45363"/>
    <cellStyle name="40% - Accent6 11 33" xfId="23387"/>
    <cellStyle name="40% - Accent6 11 4" xfId="4876"/>
    <cellStyle name="40% - Accent6 11 4 2" xfId="27651"/>
    <cellStyle name="40% - Accent6 11 5" xfId="5532"/>
    <cellStyle name="40% - Accent6 11 5 2" xfId="28307"/>
    <cellStyle name="40% - Accent6 11 6" xfId="6188"/>
    <cellStyle name="40% - Accent6 11 6 2" xfId="28963"/>
    <cellStyle name="40% - Accent6 11 7" xfId="2908"/>
    <cellStyle name="40% - Accent6 11 7 2" xfId="25683"/>
    <cellStyle name="40% - Accent6 11 8" xfId="6844"/>
    <cellStyle name="40% - Accent6 11 8 2" xfId="29619"/>
    <cellStyle name="40% - Accent6 11 9" xfId="7500"/>
    <cellStyle name="40% - Accent6 11 9 2" xfId="30275"/>
    <cellStyle name="40% - Accent6 12" xfId="285"/>
    <cellStyle name="40% - Accent6 12 2" xfId="2580"/>
    <cellStyle name="40% - Accent6 12 2 2" xfId="25355"/>
    <cellStyle name="40% - Accent6 12 3" xfId="23059"/>
    <cellStyle name="40% - Accent6 13" xfId="940"/>
    <cellStyle name="40% - Accent6 13 2" xfId="3236"/>
    <cellStyle name="40% - Accent6 13 2 2" xfId="26011"/>
    <cellStyle name="40% - Accent6 13 3" xfId="23715"/>
    <cellStyle name="40% - Accent6 14" xfId="1596"/>
    <cellStyle name="40% - Accent6 14 2" xfId="3892"/>
    <cellStyle name="40% - Accent6 14 2 2" xfId="26667"/>
    <cellStyle name="40% - Accent6 14 3" xfId="24371"/>
    <cellStyle name="40% - Accent6 15" xfId="4548"/>
    <cellStyle name="40% - Accent6 15 2" xfId="27323"/>
    <cellStyle name="40% - Accent6 16" xfId="5204"/>
    <cellStyle name="40% - Accent6 16 2" xfId="27979"/>
    <cellStyle name="40% - Accent6 17" xfId="5860"/>
    <cellStyle name="40% - Accent6 17 2" xfId="28635"/>
    <cellStyle name="40% - Accent6 18" xfId="2252"/>
    <cellStyle name="40% - Accent6 18 2" xfId="25027"/>
    <cellStyle name="40% - Accent6 19" xfId="6516"/>
    <cellStyle name="40% - Accent6 19 2" xfId="29291"/>
    <cellStyle name="40% - Accent6 2" xfId="80"/>
    <cellStyle name="40% - Accent6 2 10" xfId="5876"/>
    <cellStyle name="40% - Accent6 2 10 2" xfId="28651"/>
    <cellStyle name="40% - Accent6 2 11" xfId="2268"/>
    <cellStyle name="40% - Accent6 2 11 2" xfId="25043"/>
    <cellStyle name="40% - Accent6 2 12" xfId="6532"/>
    <cellStyle name="40% - Accent6 2 12 2" xfId="29307"/>
    <cellStyle name="40% - Accent6 2 13" xfId="7188"/>
    <cellStyle name="40% - Accent6 2 13 2" xfId="29963"/>
    <cellStyle name="40% - Accent6 2 14" xfId="7844"/>
    <cellStyle name="40% - Accent6 2 14 2" xfId="30619"/>
    <cellStyle name="40% - Accent6 2 15" xfId="8500"/>
    <cellStyle name="40% - Accent6 2 15 2" xfId="31275"/>
    <cellStyle name="40% - Accent6 2 16" xfId="9156"/>
    <cellStyle name="40% - Accent6 2 16 2" xfId="31931"/>
    <cellStyle name="40% - Accent6 2 17" xfId="9812"/>
    <cellStyle name="40% - Accent6 2 17 2" xfId="32587"/>
    <cellStyle name="40% - Accent6 2 18" xfId="10468"/>
    <cellStyle name="40% - Accent6 2 18 2" xfId="33243"/>
    <cellStyle name="40% - Accent6 2 19" xfId="11124"/>
    <cellStyle name="40% - Accent6 2 19 2" xfId="33899"/>
    <cellStyle name="40% - Accent6 2 2" xfId="156"/>
    <cellStyle name="40% - Accent6 2 2 10" xfId="2354"/>
    <cellStyle name="40% - Accent6 2 2 10 2" xfId="25129"/>
    <cellStyle name="40% - Accent6 2 2 11" xfId="6618"/>
    <cellStyle name="40% - Accent6 2 2 11 2" xfId="29393"/>
    <cellStyle name="40% - Accent6 2 2 12" xfId="7274"/>
    <cellStyle name="40% - Accent6 2 2 12 2" xfId="30049"/>
    <cellStyle name="40% - Accent6 2 2 13" xfId="7930"/>
    <cellStyle name="40% - Accent6 2 2 13 2" xfId="30705"/>
    <cellStyle name="40% - Accent6 2 2 14" xfId="8586"/>
    <cellStyle name="40% - Accent6 2 2 14 2" xfId="31361"/>
    <cellStyle name="40% - Accent6 2 2 15" xfId="9242"/>
    <cellStyle name="40% - Accent6 2 2 15 2" xfId="32017"/>
    <cellStyle name="40% - Accent6 2 2 16" xfId="9898"/>
    <cellStyle name="40% - Accent6 2 2 16 2" xfId="32673"/>
    <cellStyle name="40% - Accent6 2 2 17" xfId="10554"/>
    <cellStyle name="40% - Accent6 2 2 17 2" xfId="33329"/>
    <cellStyle name="40% - Accent6 2 2 18" xfId="11210"/>
    <cellStyle name="40% - Accent6 2 2 18 2" xfId="33985"/>
    <cellStyle name="40% - Accent6 2 2 19" xfId="11866"/>
    <cellStyle name="40% - Accent6 2 2 19 2" xfId="34641"/>
    <cellStyle name="40% - Accent6 2 2 2" xfId="570"/>
    <cellStyle name="40% - Accent6 2 2 2 10" xfId="6803"/>
    <cellStyle name="40% - Accent6 2 2 2 10 2" xfId="29578"/>
    <cellStyle name="40% - Accent6 2 2 2 11" xfId="7459"/>
    <cellStyle name="40% - Accent6 2 2 2 11 2" xfId="30234"/>
    <cellStyle name="40% - Accent6 2 2 2 12" xfId="8115"/>
    <cellStyle name="40% - Accent6 2 2 2 12 2" xfId="30890"/>
    <cellStyle name="40% - Accent6 2 2 2 13" xfId="8771"/>
    <cellStyle name="40% - Accent6 2 2 2 13 2" xfId="31546"/>
    <cellStyle name="40% - Accent6 2 2 2 14" xfId="9427"/>
    <cellStyle name="40% - Accent6 2 2 2 14 2" xfId="32202"/>
    <cellStyle name="40% - Accent6 2 2 2 15" xfId="10083"/>
    <cellStyle name="40% - Accent6 2 2 2 15 2" xfId="32858"/>
    <cellStyle name="40% - Accent6 2 2 2 16" xfId="10739"/>
    <cellStyle name="40% - Accent6 2 2 2 16 2" xfId="33514"/>
    <cellStyle name="40% - Accent6 2 2 2 17" xfId="11395"/>
    <cellStyle name="40% - Accent6 2 2 2 17 2" xfId="34170"/>
    <cellStyle name="40% - Accent6 2 2 2 18" xfId="12051"/>
    <cellStyle name="40% - Accent6 2 2 2 18 2" xfId="34826"/>
    <cellStyle name="40% - Accent6 2 2 2 19" xfId="12707"/>
    <cellStyle name="40% - Accent6 2 2 2 19 2" xfId="35482"/>
    <cellStyle name="40% - Accent6 2 2 2 2" xfId="899"/>
    <cellStyle name="40% - Accent6 2 2 2 2 10" xfId="8443"/>
    <cellStyle name="40% - Accent6 2 2 2 2 10 2" xfId="31218"/>
    <cellStyle name="40% - Accent6 2 2 2 2 11" xfId="9099"/>
    <cellStyle name="40% - Accent6 2 2 2 2 11 2" xfId="31874"/>
    <cellStyle name="40% - Accent6 2 2 2 2 12" xfId="9755"/>
    <cellStyle name="40% - Accent6 2 2 2 2 12 2" xfId="32530"/>
    <cellStyle name="40% - Accent6 2 2 2 2 13" xfId="10411"/>
    <cellStyle name="40% - Accent6 2 2 2 2 13 2" xfId="33186"/>
    <cellStyle name="40% - Accent6 2 2 2 2 14" xfId="11067"/>
    <cellStyle name="40% - Accent6 2 2 2 2 14 2" xfId="33842"/>
    <cellStyle name="40% - Accent6 2 2 2 2 15" xfId="11723"/>
    <cellStyle name="40% - Accent6 2 2 2 2 15 2" xfId="34498"/>
    <cellStyle name="40% - Accent6 2 2 2 2 16" xfId="12379"/>
    <cellStyle name="40% - Accent6 2 2 2 2 16 2" xfId="35154"/>
    <cellStyle name="40% - Accent6 2 2 2 2 17" xfId="13035"/>
    <cellStyle name="40% - Accent6 2 2 2 2 17 2" xfId="35810"/>
    <cellStyle name="40% - Accent6 2 2 2 2 18" xfId="13691"/>
    <cellStyle name="40% - Accent6 2 2 2 2 18 2" xfId="36466"/>
    <cellStyle name="40% - Accent6 2 2 2 2 19" xfId="14347"/>
    <cellStyle name="40% - Accent6 2 2 2 2 19 2" xfId="37122"/>
    <cellStyle name="40% - Accent6 2 2 2 2 2" xfId="1555"/>
    <cellStyle name="40% - Accent6 2 2 2 2 2 2" xfId="3851"/>
    <cellStyle name="40% - Accent6 2 2 2 2 2 2 2" xfId="26626"/>
    <cellStyle name="40% - Accent6 2 2 2 2 2 3" xfId="24330"/>
    <cellStyle name="40% - Accent6 2 2 2 2 20" xfId="15003"/>
    <cellStyle name="40% - Accent6 2 2 2 2 20 2" xfId="37778"/>
    <cellStyle name="40% - Accent6 2 2 2 2 21" xfId="15659"/>
    <cellStyle name="40% - Accent6 2 2 2 2 21 2" xfId="38434"/>
    <cellStyle name="40% - Accent6 2 2 2 2 22" xfId="16315"/>
    <cellStyle name="40% - Accent6 2 2 2 2 22 2" xfId="39090"/>
    <cellStyle name="40% - Accent6 2 2 2 2 23" xfId="16971"/>
    <cellStyle name="40% - Accent6 2 2 2 2 23 2" xfId="39746"/>
    <cellStyle name="40% - Accent6 2 2 2 2 24" xfId="17627"/>
    <cellStyle name="40% - Accent6 2 2 2 2 24 2" xfId="40402"/>
    <cellStyle name="40% - Accent6 2 2 2 2 25" xfId="18283"/>
    <cellStyle name="40% - Accent6 2 2 2 2 25 2" xfId="41058"/>
    <cellStyle name="40% - Accent6 2 2 2 2 26" xfId="18939"/>
    <cellStyle name="40% - Accent6 2 2 2 2 26 2" xfId="41714"/>
    <cellStyle name="40% - Accent6 2 2 2 2 27" xfId="19595"/>
    <cellStyle name="40% - Accent6 2 2 2 2 27 2" xfId="42370"/>
    <cellStyle name="40% - Accent6 2 2 2 2 28" xfId="20251"/>
    <cellStyle name="40% - Accent6 2 2 2 2 28 2" xfId="43026"/>
    <cellStyle name="40% - Accent6 2 2 2 2 29" xfId="20907"/>
    <cellStyle name="40% - Accent6 2 2 2 2 29 2" xfId="43682"/>
    <cellStyle name="40% - Accent6 2 2 2 2 3" xfId="2211"/>
    <cellStyle name="40% - Accent6 2 2 2 2 3 2" xfId="4507"/>
    <cellStyle name="40% - Accent6 2 2 2 2 3 2 2" xfId="27282"/>
    <cellStyle name="40% - Accent6 2 2 2 2 3 3" xfId="24986"/>
    <cellStyle name="40% - Accent6 2 2 2 2 30" xfId="21563"/>
    <cellStyle name="40% - Accent6 2 2 2 2 30 2" xfId="44338"/>
    <cellStyle name="40% - Accent6 2 2 2 2 31" xfId="22219"/>
    <cellStyle name="40% - Accent6 2 2 2 2 31 2" xfId="44994"/>
    <cellStyle name="40% - Accent6 2 2 2 2 32" xfId="22875"/>
    <cellStyle name="40% - Accent6 2 2 2 2 32 2" xfId="45650"/>
    <cellStyle name="40% - Accent6 2 2 2 2 33" xfId="23674"/>
    <cellStyle name="40% - Accent6 2 2 2 2 4" xfId="5163"/>
    <cellStyle name="40% - Accent6 2 2 2 2 4 2" xfId="27938"/>
    <cellStyle name="40% - Accent6 2 2 2 2 5" xfId="5819"/>
    <cellStyle name="40% - Accent6 2 2 2 2 5 2" xfId="28594"/>
    <cellStyle name="40% - Accent6 2 2 2 2 6" xfId="6475"/>
    <cellStyle name="40% - Accent6 2 2 2 2 6 2" xfId="29250"/>
    <cellStyle name="40% - Accent6 2 2 2 2 7" xfId="3195"/>
    <cellStyle name="40% - Accent6 2 2 2 2 7 2" xfId="25970"/>
    <cellStyle name="40% - Accent6 2 2 2 2 8" xfId="7131"/>
    <cellStyle name="40% - Accent6 2 2 2 2 8 2" xfId="29906"/>
    <cellStyle name="40% - Accent6 2 2 2 2 9" xfId="7787"/>
    <cellStyle name="40% - Accent6 2 2 2 2 9 2" xfId="30562"/>
    <cellStyle name="40% - Accent6 2 2 2 20" xfId="13363"/>
    <cellStyle name="40% - Accent6 2 2 2 20 2" xfId="36138"/>
    <cellStyle name="40% - Accent6 2 2 2 21" xfId="14019"/>
    <cellStyle name="40% - Accent6 2 2 2 21 2" xfId="36794"/>
    <cellStyle name="40% - Accent6 2 2 2 22" xfId="14675"/>
    <cellStyle name="40% - Accent6 2 2 2 22 2" xfId="37450"/>
    <cellStyle name="40% - Accent6 2 2 2 23" xfId="15331"/>
    <cellStyle name="40% - Accent6 2 2 2 23 2" xfId="38106"/>
    <cellStyle name="40% - Accent6 2 2 2 24" xfId="15987"/>
    <cellStyle name="40% - Accent6 2 2 2 24 2" xfId="38762"/>
    <cellStyle name="40% - Accent6 2 2 2 25" xfId="16643"/>
    <cellStyle name="40% - Accent6 2 2 2 25 2" xfId="39418"/>
    <cellStyle name="40% - Accent6 2 2 2 26" xfId="17299"/>
    <cellStyle name="40% - Accent6 2 2 2 26 2" xfId="40074"/>
    <cellStyle name="40% - Accent6 2 2 2 27" xfId="17955"/>
    <cellStyle name="40% - Accent6 2 2 2 27 2" xfId="40730"/>
    <cellStyle name="40% - Accent6 2 2 2 28" xfId="18611"/>
    <cellStyle name="40% - Accent6 2 2 2 28 2" xfId="41386"/>
    <cellStyle name="40% - Accent6 2 2 2 29" xfId="19267"/>
    <cellStyle name="40% - Accent6 2 2 2 29 2" xfId="42042"/>
    <cellStyle name="40% - Accent6 2 2 2 3" xfId="1227"/>
    <cellStyle name="40% - Accent6 2 2 2 3 2" xfId="2867"/>
    <cellStyle name="40% - Accent6 2 2 2 3 2 2" xfId="25642"/>
    <cellStyle name="40% - Accent6 2 2 2 3 3" xfId="24002"/>
    <cellStyle name="40% - Accent6 2 2 2 30" xfId="19923"/>
    <cellStyle name="40% - Accent6 2 2 2 30 2" xfId="42698"/>
    <cellStyle name="40% - Accent6 2 2 2 31" xfId="20579"/>
    <cellStyle name="40% - Accent6 2 2 2 31 2" xfId="43354"/>
    <cellStyle name="40% - Accent6 2 2 2 32" xfId="21235"/>
    <cellStyle name="40% - Accent6 2 2 2 32 2" xfId="44010"/>
    <cellStyle name="40% - Accent6 2 2 2 33" xfId="21891"/>
    <cellStyle name="40% - Accent6 2 2 2 33 2" xfId="44666"/>
    <cellStyle name="40% - Accent6 2 2 2 34" xfId="22547"/>
    <cellStyle name="40% - Accent6 2 2 2 34 2" xfId="45322"/>
    <cellStyle name="40% - Accent6 2 2 2 35" xfId="23346"/>
    <cellStyle name="40% - Accent6 2 2 2 4" xfId="1883"/>
    <cellStyle name="40% - Accent6 2 2 2 4 2" xfId="3523"/>
    <cellStyle name="40% - Accent6 2 2 2 4 2 2" xfId="26298"/>
    <cellStyle name="40% - Accent6 2 2 2 4 3" xfId="24658"/>
    <cellStyle name="40% - Accent6 2 2 2 5" xfId="4179"/>
    <cellStyle name="40% - Accent6 2 2 2 5 2" xfId="26954"/>
    <cellStyle name="40% - Accent6 2 2 2 6" xfId="4835"/>
    <cellStyle name="40% - Accent6 2 2 2 6 2" xfId="27610"/>
    <cellStyle name="40% - Accent6 2 2 2 7" xfId="5491"/>
    <cellStyle name="40% - Accent6 2 2 2 7 2" xfId="28266"/>
    <cellStyle name="40% - Accent6 2 2 2 8" xfId="6147"/>
    <cellStyle name="40% - Accent6 2 2 2 8 2" xfId="28922"/>
    <cellStyle name="40% - Accent6 2 2 2 9" xfId="2539"/>
    <cellStyle name="40% - Accent6 2 2 2 9 2" xfId="25314"/>
    <cellStyle name="40% - Accent6 2 2 20" xfId="12522"/>
    <cellStyle name="40% - Accent6 2 2 20 2" xfId="35297"/>
    <cellStyle name="40% - Accent6 2 2 21" xfId="13178"/>
    <cellStyle name="40% - Accent6 2 2 21 2" xfId="35953"/>
    <cellStyle name="40% - Accent6 2 2 22" xfId="13834"/>
    <cellStyle name="40% - Accent6 2 2 22 2" xfId="36609"/>
    <cellStyle name="40% - Accent6 2 2 23" xfId="14490"/>
    <cellStyle name="40% - Accent6 2 2 23 2" xfId="37265"/>
    <cellStyle name="40% - Accent6 2 2 24" xfId="15146"/>
    <cellStyle name="40% - Accent6 2 2 24 2" xfId="37921"/>
    <cellStyle name="40% - Accent6 2 2 25" xfId="15802"/>
    <cellStyle name="40% - Accent6 2 2 25 2" xfId="38577"/>
    <cellStyle name="40% - Accent6 2 2 26" xfId="16458"/>
    <cellStyle name="40% - Accent6 2 2 26 2" xfId="39233"/>
    <cellStyle name="40% - Accent6 2 2 27" xfId="17114"/>
    <cellStyle name="40% - Accent6 2 2 27 2" xfId="39889"/>
    <cellStyle name="40% - Accent6 2 2 28" xfId="17770"/>
    <cellStyle name="40% - Accent6 2 2 28 2" xfId="40545"/>
    <cellStyle name="40% - Accent6 2 2 29" xfId="18426"/>
    <cellStyle name="40% - Accent6 2 2 29 2" xfId="41201"/>
    <cellStyle name="40% - Accent6 2 2 3" xfId="714"/>
    <cellStyle name="40% - Accent6 2 2 3 10" xfId="8258"/>
    <cellStyle name="40% - Accent6 2 2 3 10 2" xfId="31033"/>
    <cellStyle name="40% - Accent6 2 2 3 11" xfId="8914"/>
    <cellStyle name="40% - Accent6 2 2 3 11 2" xfId="31689"/>
    <cellStyle name="40% - Accent6 2 2 3 12" xfId="9570"/>
    <cellStyle name="40% - Accent6 2 2 3 12 2" xfId="32345"/>
    <cellStyle name="40% - Accent6 2 2 3 13" xfId="10226"/>
    <cellStyle name="40% - Accent6 2 2 3 13 2" xfId="33001"/>
    <cellStyle name="40% - Accent6 2 2 3 14" xfId="10882"/>
    <cellStyle name="40% - Accent6 2 2 3 14 2" xfId="33657"/>
    <cellStyle name="40% - Accent6 2 2 3 15" xfId="11538"/>
    <cellStyle name="40% - Accent6 2 2 3 15 2" xfId="34313"/>
    <cellStyle name="40% - Accent6 2 2 3 16" xfId="12194"/>
    <cellStyle name="40% - Accent6 2 2 3 16 2" xfId="34969"/>
    <cellStyle name="40% - Accent6 2 2 3 17" xfId="12850"/>
    <cellStyle name="40% - Accent6 2 2 3 17 2" xfId="35625"/>
    <cellStyle name="40% - Accent6 2 2 3 18" xfId="13506"/>
    <cellStyle name="40% - Accent6 2 2 3 18 2" xfId="36281"/>
    <cellStyle name="40% - Accent6 2 2 3 19" xfId="14162"/>
    <cellStyle name="40% - Accent6 2 2 3 19 2" xfId="36937"/>
    <cellStyle name="40% - Accent6 2 2 3 2" xfId="1370"/>
    <cellStyle name="40% - Accent6 2 2 3 2 2" xfId="3666"/>
    <cellStyle name="40% - Accent6 2 2 3 2 2 2" xfId="26441"/>
    <cellStyle name="40% - Accent6 2 2 3 2 3" xfId="24145"/>
    <cellStyle name="40% - Accent6 2 2 3 20" xfId="14818"/>
    <cellStyle name="40% - Accent6 2 2 3 20 2" xfId="37593"/>
    <cellStyle name="40% - Accent6 2 2 3 21" xfId="15474"/>
    <cellStyle name="40% - Accent6 2 2 3 21 2" xfId="38249"/>
    <cellStyle name="40% - Accent6 2 2 3 22" xfId="16130"/>
    <cellStyle name="40% - Accent6 2 2 3 22 2" xfId="38905"/>
    <cellStyle name="40% - Accent6 2 2 3 23" xfId="16786"/>
    <cellStyle name="40% - Accent6 2 2 3 23 2" xfId="39561"/>
    <cellStyle name="40% - Accent6 2 2 3 24" xfId="17442"/>
    <cellStyle name="40% - Accent6 2 2 3 24 2" xfId="40217"/>
    <cellStyle name="40% - Accent6 2 2 3 25" xfId="18098"/>
    <cellStyle name="40% - Accent6 2 2 3 25 2" xfId="40873"/>
    <cellStyle name="40% - Accent6 2 2 3 26" xfId="18754"/>
    <cellStyle name="40% - Accent6 2 2 3 26 2" xfId="41529"/>
    <cellStyle name="40% - Accent6 2 2 3 27" xfId="19410"/>
    <cellStyle name="40% - Accent6 2 2 3 27 2" xfId="42185"/>
    <cellStyle name="40% - Accent6 2 2 3 28" xfId="20066"/>
    <cellStyle name="40% - Accent6 2 2 3 28 2" xfId="42841"/>
    <cellStyle name="40% - Accent6 2 2 3 29" xfId="20722"/>
    <cellStyle name="40% - Accent6 2 2 3 29 2" xfId="43497"/>
    <cellStyle name="40% - Accent6 2 2 3 3" xfId="2026"/>
    <cellStyle name="40% - Accent6 2 2 3 3 2" xfId="4322"/>
    <cellStyle name="40% - Accent6 2 2 3 3 2 2" xfId="27097"/>
    <cellStyle name="40% - Accent6 2 2 3 3 3" xfId="24801"/>
    <cellStyle name="40% - Accent6 2 2 3 30" xfId="21378"/>
    <cellStyle name="40% - Accent6 2 2 3 30 2" xfId="44153"/>
    <cellStyle name="40% - Accent6 2 2 3 31" xfId="22034"/>
    <cellStyle name="40% - Accent6 2 2 3 31 2" xfId="44809"/>
    <cellStyle name="40% - Accent6 2 2 3 32" xfId="22690"/>
    <cellStyle name="40% - Accent6 2 2 3 32 2" xfId="45465"/>
    <cellStyle name="40% - Accent6 2 2 3 33" xfId="23489"/>
    <cellStyle name="40% - Accent6 2 2 3 4" xfId="4978"/>
    <cellStyle name="40% - Accent6 2 2 3 4 2" xfId="27753"/>
    <cellStyle name="40% - Accent6 2 2 3 5" xfId="5634"/>
    <cellStyle name="40% - Accent6 2 2 3 5 2" xfId="28409"/>
    <cellStyle name="40% - Accent6 2 2 3 6" xfId="6290"/>
    <cellStyle name="40% - Accent6 2 2 3 6 2" xfId="29065"/>
    <cellStyle name="40% - Accent6 2 2 3 7" xfId="3010"/>
    <cellStyle name="40% - Accent6 2 2 3 7 2" xfId="25785"/>
    <cellStyle name="40% - Accent6 2 2 3 8" xfId="6946"/>
    <cellStyle name="40% - Accent6 2 2 3 8 2" xfId="29721"/>
    <cellStyle name="40% - Accent6 2 2 3 9" xfId="7602"/>
    <cellStyle name="40% - Accent6 2 2 3 9 2" xfId="30377"/>
    <cellStyle name="40% - Accent6 2 2 30" xfId="19082"/>
    <cellStyle name="40% - Accent6 2 2 30 2" xfId="41857"/>
    <cellStyle name="40% - Accent6 2 2 31" xfId="19738"/>
    <cellStyle name="40% - Accent6 2 2 31 2" xfId="42513"/>
    <cellStyle name="40% - Accent6 2 2 32" xfId="20394"/>
    <cellStyle name="40% - Accent6 2 2 32 2" xfId="43169"/>
    <cellStyle name="40% - Accent6 2 2 33" xfId="21050"/>
    <cellStyle name="40% - Accent6 2 2 33 2" xfId="43825"/>
    <cellStyle name="40% - Accent6 2 2 34" xfId="21706"/>
    <cellStyle name="40% - Accent6 2 2 34 2" xfId="44481"/>
    <cellStyle name="40% - Accent6 2 2 35" xfId="22362"/>
    <cellStyle name="40% - Accent6 2 2 35 2" xfId="45137"/>
    <cellStyle name="40% - Accent6 2 2 36" xfId="23018"/>
    <cellStyle name="40% - Accent6 2 2 4" xfId="387"/>
    <cellStyle name="40% - Accent6 2 2 4 2" xfId="2682"/>
    <cellStyle name="40% - Accent6 2 2 4 2 2" xfId="25457"/>
    <cellStyle name="40% - Accent6 2 2 4 3" xfId="23161"/>
    <cellStyle name="40% - Accent6 2 2 5" xfId="1042"/>
    <cellStyle name="40% - Accent6 2 2 5 2" xfId="3338"/>
    <cellStyle name="40% - Accent6 2 2 5 2 2" xfId="26113"/>
    <cellStyle name="40% - Accent6 2 2 5 3" xfId="23817"/>
    <cellStyle name="40% - Accent6 2 2 6" xfId="1698"/>
    <cellStyle name="40% - Accent6 2 2 6 2" xfId="3994"/>
    <cellStyle name="40% - Accent6 2 2 6 2 2" xfId="26769"/>
    <cellStyle name="40% - Accent6 2 2 6 3" xfId="24473"/>
    <cellStyle name="40% - Accent6 2 2 7" xfId="4650"/>
    <cellStyle name="40% - Accent6 2 2 7 2" xfId="27425"/>
    <cellStyle name="40% - Accent6 2 2 8" xfId="5306"/>
    <cellStyle name="40% - Accent6 2 2 8 2" xfId="28081"/>
    <cellStyle name="40% - Accent6 2 2 9" xfId="5962"/>
    <cellStyle name="40% - Accent6 2 2 9 2" xfId="28737"/>
    <cellStyle name="40% - Accent6 2 20" xfId="11780"/>
    <cellStyle name="40% - Accent6 2 20 2" xfId="34555"/>
    <cellStyle name="40% - Accent6 2 21" xfId="12436"/>
    <cellStyle name="40% - Accent6 2 21 2" xfId="35211"/>
    <cellStyle name="40% - Accent6 2 22" xfId="13092"/>
    <cellStyle name="40% - Accent6 2 22 2" xfId="35867"/>
    <cellStyle name="40% - Accent6 2 23" xfId="13748"/>
    <cellStyle name="40% - Accent6 2 23 2" xfId="36523"/>
    <cellStyle name="40% - Accent6 2 24" xfId="14404"/>
    <cellStyle name="40% - Accent6 2 24 2" xfId="37179"/>
    <cellStyle name="40% - Accent6 2 25" xfId="15060"/>
    <cellStyle name="40% - Accent6 2 25 2" xfId="37835"/>
    <cellStyle name="40% - Accent6 2 26" xfId="15716"/>
    <cellStyle name="40% - Accent6 2 26 2" xfId="38491"/>
    <cellStyle name="40% - Accent6 2 27" xfId="16372"/>
    <cellStyle name="40% - Accent6 2 27 2" xfId="39147"/>
    <cellStyle name="40% - Accent6 2 28" xfId="17028"/>
    <cellStyle name="40% - Accent6 2 28 2" xfId="39803"/>
    <cellStyle name="40% - Accent6 2 29" xfId="17684"/>
    <cellStyle name="40% - Accent6 2 29 2" xfId="40459"/>
    <cellStyle name="40% - Accent6 2 3" xfId="486"/>
    <cellStyle name="40% - Accent6 2 3 10" xfId="6717"/>
    <cellStyle name="40% - Accent6 2 3 10 2" xfId="29492"/>
    <cellStyle name="40% - Accent6 2 3 11" xfId="7373"/>
    <cellStyle name="40% - Accent6 2 3 11 2" xfId="30148"/>
    <cellStyle name="40% - Accent6 2 3 12" xfId="8029"/>
    <cellStyle name="40% - Accent6 2 3 12 2" xfId="30804"/>
    <cellStyle name="40% - Accent6 2 3 13" xfId="8685"/>
    <cellStyle name="40% - Accent6 2 3 13 2" xfId="31460"/>
    <cellStyle name="40% - Accent6 2 3 14" xfId="9341"/>
    <cellStyle name="40% - Accent6 2 3 14 2" xfId="32116"/>
    <cellStyle name="40% - Accent6 2 3 15" xfId="9997"/>
    <cellStyle name="40% - Accent6 2 3 15 2" xfId="32772"/>
    <cellStyle name="40% - Accent6 2 3 16" xfId="10653"/>
    <cellStyle name="40% - Accent6 2 3 16 2" xfId="33428"/>
    <cellStyle name="40% - Accent6 2 3 17" xfId="11309"/>
    <cellStyle name="40% - Accent6 2 3 17 2" xfId="34084"/>
    <cellStyle name="40% - Accent6 2 3 18" xfId="11965"/>
    <cellStyle name="40% - Accent6 2 3 18 2" xfId="34740"/>
    <cellStyle name="40% - Accent6 2 3 19" xfId="12621"/>
    <cellStyle name="40% - Accent6 2 3 19 2" xfId="35396"/>
    <cellStyle name="40% - Accent6 2 3 2" xfId="813"/>
    <cellStyle name="40% - Accent6 2 3 2 10" xfId="8357"/>
    <cellStyle name="40% - Accent6 2 3 2 10 2" xfId="31132"/>
    <cellStyle name="40% - Accent6 2 3 2 11" xfId="9013"/>
    <cellStyle name="40% - Accent6 2 3 2 11 2" xfId="31788"/>
    <cellStyle name="40% - Accent6 2 3 2 12" xfId="9669"/>
    <cellStyle name="40% - Accent6 2 3 2 12 2" xfId="32444"/>
    <cellStyle name="40% - Accent6 2 3 2 13" xfId="10325"/>
    <cellStyle name="40% - Accent6 2 3 2 13 2" xfId="33100"/>
    <cellStyle name="40% - Accent6 2 3 2 14" xfId="10981"/>
    <cellStyle name="40% - Accent6 2 3 2 14 2" xfId="33756"/>
    <cellStyle name="40% - Accent6 2 3 2 15" xfId="11637"/>
    <cellStyle name="40% - Accent6 2 3 2 15 2" xfId="34412"/>
    <cellStyle name="40% - Accent6 2 3 2 16" xfId="12293"/>
    <cellStyle name="40% - Accent6 2 3 2 16 2" xfId="35068"/>
    <cellStyle name="40% - Accent6 2 3 2 17" xfId="12949"/>
    <cellStyle name="40% - Accent6 2 3 2 17 2" xfId="35724"/>
    <cellStyle name="40% - Accent6 2 3 2 18" xfId="13605"/>
    <cellStyle name="40% - Accent6 2 3 2 18 2" xfId="36380"/>
    <cellStyle name="40% - Accent6 2 3 2 19" xfId="14261"/>
    <cellStyle name="40% - Accent6 2 3 2 19 2" xfId="37036"/>
    <cellStyle name="40% - Accent6 2 3 2 2" xfId="1469"/>
    <cellStyle name="40% - Accent6 2 3 2 2 2" xfId="3765"/>
    <cellStyle name="40% - Accent6 2 3 2 2 2 2" xfId="26540"/>
    <cellStyle name="40% - Accent6 2 3 2 2 3" xfId="24244"/>
    <cellStyle name="40% - Accent6 2 3 2 20" xfId="14917"/>
    <cellStyle name="40% - Accent6 2 3 2 20 2" xfId="37692"/>
    <cellStyle name="40% - Accent6 2 3 2 21" xfId="15573"/>
    <cellStyle name="40% - Accent6 2 3 2 21 2" xfId="38348"/>
    <cellStyle name="40% - Accent6 2 3 2 22" xfId="16229"/>
    <cellStyle name="40% - Accent6 2 3 2 22 2" xfId="39004"/>
    <cellStyle name="40% - Accent6 2 3 2 23" xfId="16885"/>
    <cellStyle name="40% - Accent6 2 3 2 23 2" xfId="39660"/>
    <cellStyle name="40% - Accent6 2 3 2 24" xfId="17541"/>
    <cellStyle name="40% - Accent6 2 3 2 24 2" xfId="40316"/>
    <cellStyle name="40% - Accent6 2 3 2 25" xfId="18197"/>
    <cellStyle name="40% - Accent6 2 3 2 25 2" xfId="40972"/>
    <cellStyle name="40% - Accent6 2 3 2 26" xfId="18853"/>
    <cellStyle name="40% - Accent6 2 3 2 26 2" xfId="41628"/>
    <cellStyle name="40% - Accent6 2 3 2 27" xfId="19509"/>
    <cellStyle name="40% - Accent6 2 3 2 27 2" xfId="42284"/>
    <cellStyle name="40% - Accent6 2 3 2 28" xfId="20165"/>
    <cellStyle name="40% - Accent6 2 3 2 28 2" xfId="42940"/>
    <cellStyle name="40% - Accent6 2 3 2 29" xfId="20821"/>
    <cellStyle name="40% - Accent6 2 3 2 29 2" xfId="43596"/>
    <cellStyle name="40% - Accent6 2 3 2 3" xfId="2125"/>
    <cellStyle name="40% - Accent6 2 3 2 3 2" xfId="4421"/>
    <cellStyle name="40% - Accent6 2 3 2 3 2 2" xfId="27196"/>
    <cellStyle name="40% - Accent6 2 3 2 3 3" xfId="24900"/>
    <cellStyle name="40% - Accent6 2 3 2 30" xfId="21477"/>
    <cellStyle name="40% - Accent6 2 3 2 30 2" xfId="44252"/>
    <cellStyle name="40% - Accent6 2 3 2 31" xfId="22133"/>
    <cellStyle name="40% - Accent6 2 3 2 31 2" xfId="44908"/>
    <cellStyle name="40% - Accent6 2 3 2 32" xfId="22789"/>
    <cellStyle name="40% - Accent6 2 3 2 32 2" xfId="45564"/>
    <cellStyle name="40% - Accent6 2 3 2 33" xfId="23588"/>
    <cellStyle name="40% - Accent6 2 3 2 4" xfId="5077"/>
    <cellStyle name="40% - Accent6 2 3 2 4 2" xfId="27852"/>
    <cellStyle name="40% - Accent6 2 3 2 5" xfId="5733"/>
    <cellStyle name="40% - Accent6 2 3 2 5 2" xfId="28508"/>
    <cellStyle name="40% - Accent6 2 3 2 6" xfId="6389"/>
    <cellStyle name="40% - Accent6 2 3 2 6 2" xfId="29164"/>
    <cellStyle name="40% - Accent6 2 3 2 7" xfId="3109"/>
    <cellStyle name="40% - Accent6 2 3 2 7 2" xfId="25884"/>
    <cellStyle name="40% - Accent6 2 3 2 8" xfId="7045"/>
    <cellStyle name="40% - Accent6 2 3 2 8 2" xfId="29820"/>
    <cellStyle name="40% - Accent6 2 3 2 9" xfId="7701"/>
    <cellStyle name="40% - Accent6 2 3 2 9 2" xfId="30476"/>
    <cellStyle name="40% - Accent6 2 3 20" xfId="13277"/>
    <cellStyle name="40% - Accent6 2 3 20 2" xfId="36052"/>
    <cellStyle name="40% - Accent6 2 3 21" xfId="13933"/>
    <cellStyle name="40% - Accent6 2 3 21 2" xfId="36708"/>
    <cellStyle name="40% - Accent6 2 3 22" xfId="14589"/>
    <cellStyle name="40% - Accent6 2 3 22 2" xfId="37364"/>
    <cellStyle name="40% - Accent6 2 3 23" xfId="15245"/>
    <cellStyle name="40% - Accent6 2 3 23 2" xfId="38020"/>
    <cellStyle name="40% - Accent6 2 3 24" xfId="15901"/>
    <cellStyle name="40% - Accent6 2 3 24 2" xfId="38676"/>
    <cellStyle name="40% - Accent6 2 3 25" xfId="16557"/>
    <cellStyle name="40% - Accent6 2 3 25 2" xfId="39332"/>
    <cellStyle name="40% - Accent6 2 3 26" xfId="17213"/>
    <cellStyle name="40% - Accent6 2 3 26 2" xfId="39988"/>
    <cellStyle name="40% - Accent6 2 3 27" xfId="17869"/>
    <cellStyle name="40% - Accent6 2 3 27 2" xfId="40644"/>
    <cellStyle name="40% - Accent6 2 3 28" xfId="18525"/>
    <cellStyle name="40% - Accent6 2 3 28 2" xfId="41300"/>
    <cellStyle name="40% - Accent6 2 3 29" xfId="19181"/>
    <cellStyle name="40% - Accent6 2 3 29 2" xfId="41956"/>
    <cellStyle name="40% - Accent6 2 3 3" xfId="1141"/>
    <cellStyle name="40% - Accent6 2 3 3 2" xfId="2781"/>
    <cellStyle name="40% - Accent6 2 3 3 2 2" xfId="25556"/>
    <cellStyle name="40% - Accent6 2 3 3 3" xfId="23916"/>
    <cellStyle name="40% - Accent6 2 3 30" xfId="19837"/>
    <cellStyle name="40% - Accent6 2 3 30 2" xfId="42612"/>
    <cellStyle name="40% - Accent6 2 3 31" xfId="20493"/>
    <cellStyle name="40% - Accent6 2 3 31 2" xfId="43268"/>
    <cellStyle name="40% - Accent6 2 3 32" xfId="21149"/>
    <cellStyle name="40% - Accent6 2 3 32 2" xfId="43924"/>
    <cellStyle name="40% - Accent6 2 3 33" xfId="21805"/>
    <cellStyle name="40% - Accent6 2 3 33 2" xfId="44580"/>
    <cellStyle name="40% - Accent6 2 3 34" xfId="22461"/>
    <cellStyle name="40% - Accent6 2 3 34 2" xfId="45236"/>
    <cellStyle name="40% - Accent6 2 3 35" xfId="23260"/>
    <cellStyle name="40% - Accent6 2 3 4" xfId="1797"/>
    <cellStyle name="40% - Accent6 2 3 4 2" xfId="3437"/>
    <cellStyle name="40% - Accent6 2 3 4 2 2" xfId="26212"/>
    <cellStyle name="40% - Accent6 2 3 4 3" xfId="24572"/>
    <cellStyle name="40% - Accent6 2 3 5" xfId="4093"/>
    <cellStyle name="40% - Accent6 2 3 5 2" xfId="26868"/>
    <cellStyle name="40% - Accent6 2 3 6" xfId="4749"/>
    <cellStyle name="40% - Accent6 2 3 6 2" xfId="27524"/>
    <cellStyle name="40% - Accent6 2 3 7" xfId="5405"/>
    <cellStyle name="40% - Accent6 2 3 7 2" xfId="28180"/>
    <cellStyle name="40% - Accent6 2 3 8" xfId="6061"/>
    <cellStyle name="40% - Accent6 2 3 8 2" xfId="28836"/>
    <cellStyle name="40% - Accent6 2 3 9" xfId="2453"/>
    <cellStyle name="40% - Accent6 2 3 9 2" xfId="25228"/>
    <cellStyle name="40% - Accent6 2 30" xfId="18340"/>
    <cellStyle name="40% - Accent6 2 30 2" xfId="41115"/>
    <cellStyle name="40% - Accent6 2 31" xfId="18996"/>
    <cellStyle name="40% - Accent6 2 31 2" xfId="41771"/>
    <cellStyle name="40% - Accent6 2 32" xfId="19652"/>
    <cellStyle name="40% - Accent6 2 32 2" xfId="42427"/>
    <cellStyle name="40% - Accent6 2 33" xfId="20308"/>
    <cellStyle name="40% - Accent6 2 33 2" xfId="43083"/>
    <cellStyle name="40% - Accent6 2 34" xfId="20964"/>
    <cellStyle name="40% - Accent6 2 34 2" xfId="43739"/>
    <cellStyle name="40% - Accent6 2 35" xfId="21620"/>
    <cellStyle name="40% - Accent6 2 35 2" xfId="44395"/>
    <cellStyle name="40% - Accent6 2 36" xfId="22276"/>
    <cellStyle name="40% - Accent6 2 36 2" xfId="45051"/>
    <cellStyle name="40% - Accent6 2 37" xfId="215"/>
    <cellStyle name="40% - Accent6 2 38" xfId="22932"/>
    <cellStyle name="40% - Accent6 2 4" xfId="628"/>
    <cellStyle name="40% - Accent6 2 4 10" xfId="8172"/>
    <cellStyle name="40% - Accent6 2 4 10 2" xfId="30947"/>
    <cellStyle name="40% - Accent6 2 4 11" xfId="8828"/>
    <cellStyle name="40% - Accent6 2 4 11 2" xfId="31603"/>
    <cellStyle name="40% - Accent6 2 4 12" xfId="9484"/>
    <cellStyle name="40% - Accent6 2 4 12 2" xfId="32259"/>
    <cellStyle name="40% - Accent6 2 4 13" xfId="10140"/>
    <cellStyle name="40% - Accent6 2 4 13 2" xfId="32915"/>
    <cellStyle name="40% - Accent6 2 4 14" xfId="10796"/>
    <cellStyle name="40% - Accent6 2 4 14 2" xfId="33571"/>
    <cellStyle name="40% - Accent6 2 4 15" xfId="11452"/>
    <cellStyle name="40% - Accent6 2 4 15 2" xfId="34227"/>
    <cellStyle name="40% - Accent6 2 4 16" xfId="12108"/>
    <cellStyle name="40% - Accent6 2 4 16 2" xfId="34883"/>
    <cellStyle name="40% - Accent6 2 4 17" xfId="12764"/>
    <cellStyle name="40% - Accent6 2 4 17 2" xfId="35539"/>
    <cellStyle name="40% - Accent6 2 4 18" xfId="13420"/>
    <cellStyle name="40% - Accent6 2 4 18 2" xfId="36195"/>
    <cellStyle name="40% - Accent6 2 4 19" xfId="14076"/>
    <cellStyle name="40% - Accent6 2 4 19 2" xfId="36851"/>
    <cellStyle name="40% - Accent6 2 4 2" xfId="1284"/>
    <cellStyle name="40% - Accent6 2 4 2 2" xfId="3580"/>
    <cellStyle name="40% - Accent6 2 4 2 2 2" xfId="26355"/>
    <cellStyle name="40% - Accent6 2 4 2 3" xfId="24059"/>
    <cellStyle name="40% - Accent6 2 4 20" xfId="14732"/>
    <cellStyle name="40% - Accent6 2 4 20 2" xfId="37507"/>
    <cellStyle name="40% - Accent6 2 4 21" xfId="15388"/>
    <cellStyle name="40% - Accent6 2 4 21 2" xfId="38163"/>
    <cellStyle name="40% - Accent6 2 4 22" xfId="16044"/>
    <cellStyle name="40% - Accent6 2 4 22 2" xfId="38819"/>
    <cellStyle name="40% - Accent6 2 4 23" xfId="16700"/>
    <cellStyle name="40% - Accent6 2 4 23 2" xfId="39475"/>
    <cellStyle name="40% - Accent6 2 4 24" xfId="17356"/>
    <cellStyle name="40% - Accent6 2 4 24 2" xfId="40131"/>
    <cellStyle name="40% - Accent6 2 4 25" xfId="18012"/>
    <cellStyle name="40% - Accent6 2 4 25 2" xfId="40787"/>
    <cellStyle name="40% - Accent6 2 4 26" xfId="18668"/>
    <cellStyle name="40% - Accent6 2 4 26 2" xfId="41443"/>
    <cellStyle name="40% - Accent6 2 4 27" xfId="19324"/>
    <cellStyle name="40% - Accent6 2 4 27 2" xfId="42099"/>
    <cellStyle name="40% - Accent6 2 4 28" xfId="19980"/>
    <cellStyle name="40% - Accent6 2 4 28 2" xfId="42755"/>
    <cellStyle name="40% - Accent6 2 4 29" xfId="20636"/>
    <cellStyle name="40% - Accent6 2 4 29 2" xfId="43411"/>
    <cellStyle name="40% - Accent6 2 4 3" xfId="1940"/>
    <cellStyle name="40% - Accent6 2 4 3 2" xfId="4236"/>
    <cellStyle name="40% - Accent6 2 4 3 2 2" xfId="27011"/>
    <cellStyle name="40% - Accent6 2 4 3 3" xfId="24715"/>
    <cellStyle name="40% - Accent6 2 4 30" xfId="21292"/>
    <cellStyle name="40% - Accent6 2 4 30 2" xfId="44067"/>
    <cellStyle name="40% - Accent6 2 4 31" xfId="21948"/>
    <cellStyle name="40% - Accent6 2 4 31 2" xfId="44723"/>
    <cellStyle name="40% - Accent6 2 4 32" xfId="22604"/>
    <cellStyle name="40% - Accent6 2 4 32 2" xfId="45379"/>
    <cellStyle name="40% - Accent6 2 4 33" xfId="23403"/>
    <cellStyle name="40% - Accent6 2 4 4" xfId="4892"/>
    <cellStyle name="40% - Accent6 2 4 4 2" xfId="27667"/>
    <cellStyle name="40% - Accent6 2 4 5" xfId="5548"/>
    <cellStyle name="40% - Accent6 2 4 5 2" xfId="28323"/>
    <cellStyle name="40% - Accent6 2 4 6" xfId="6204"/>
    <cellStyle name="40% - Accent6 2 4 6 2" xfId="28979"/>
    <cellStyle name="40% - Accent6 2 4 7" xfId="2924"/>
    <cellStyle name="40% - Accent6 2 4 7 2" xfId="25699"/>
    <cellStyle name="40% - Accent6 2 4 8" xfId="6860"/>
    <cellStyle name="40% - Accent6 2 4 8 2" xfId="29635"/>
    <cellStyle name="40% - Accent6 2 4 9" xfId="7516"/>
    <cellStyle name="40% - Accent6 2 4 9 2" xfId="30291"/>
    <cellStyle name="40% - Accent6 2 5" xfId="301"/>
    <cellStyle name="40% - Accent6 2 5 2" xfId="2596"/>
    <cellStyle name="40% - Accent6 2 5 2 2" xfId="25371"/>
    <cellStyle name="40% - Accent6 2 5 3" xfId="23075"/>
    <cellStyle name="40% - Accent6 2 6" xfId="956"/>
    <cellStyle name="40% - Accent6 2 6 2" xfId="3252"/>
    <cellStyle name="40% - Accent6 2 6 2 2" xfId="26027"/>
    <cellStyle name="40% - Accent6 2 6 3" xfId="23731"/>
    <cellStyle name="40% - Accent6 2 7" xfId="1612"/>
    <cellStyle name="40% - Accent6 2 7 2" xfId="3908"/>
    <cellStyle name="40% - Accent6 2 7 2 2" xfId="26683"/>
    <cellStyle name="40% - Accent6 2 7 3" xfId="24387"/>
    <cellStyle name="40% - Accent6 2 8" xfId="4564"/>
    <cellStyle name="40% - Accent6 2 8 2" xfId="27339"/>
    <cellStyle name="40% - Accent6 2 9" xfId="5220"/>
    <cellStyle name="40% - Accent6 2 9 2" xfId="27995"/>
    <cellStyle name="40% - Accent6 20" xfId="7172"/>
    <cellStyle name="40% - Accent6 20 2" xfId="29947"/>
    <cellStyle name="40% - Accent6 21" xfId="7828"/>
    <cellStyle name="40% - Accent6 21 2" xfId="30603"/>
    <cellStyle name="40% - Accent6 22" xfId="8484"/>
    <cellStyle name="40% - Accent6 22 2" xfId="31259"/>
    <cellStyle name="40% - Accent6 23" xfId="9140"/>
    <cellStyle name="40% - Accent6 23 2" xfId="31915"/>
    <cellStyle name="40% - Accent6 24" xfId="9796"/>
    <cellStyle name="40% - Accent6 24 2" xfId="32571"/>
    <cellStyle name="40% - Accent6 25" xfId="10452"/>
    <cellStyle name="40% - Accent6 25 2" xfId="33227"/>
    <cellStyle name="40% - Accent6 26" xfId="11108"/>
    <cellStyle name="40% - Accent6 26 2" xfId="33883"/>
    <cellStyle name="40% - Accent6 27" xfId="11764"/>
    <cellStyle name="40% - Accent6 27 2" xfId="34539"/>
    <cellStyle name="40% - Accent6 28" xfId="12420"/>
    <cellStyle name="40% - Accent6 28 2" xfId="35195"/>
    <cellStyle name="40% - Accent6 29" xfId="13076"/>
    <cellStyle name="40% - Accent6 29 2" xfId="35851"/>
    <cellStyle name="40% - Accent6 3" xfId="64"/>
    <cellStyle name="40% - Accent6 3 10" xfId="5891"/>
    <cellStyle name="40% - Accent6 3 10 2" xfId="28666"/>
    <cellStyle name="40% - Accent6 3 11" xfId="2283"/>
    <cellStyle name="40% - Accent6 3 11 2" xfId="25058"/>
    <cellStyle name="40% - Accent6 3 12" xfId="6547"/>
    <cellStyle name="40% - Accent6 3 12 2" xfId="29322"/>
    <cellStyle name="40% - Accent6 3 13" xfId="7203"/>
    <cellStyle name="40% - Accent6 3 13 2" xfId="29978"/>
    <cellStyle name="40% - Accent6 3 14" xfId="7859"/>
    <cellStyle name="40% - Accent6 3 14 2" xfId="30634"/>
    <cellStyle name="40% - Accent6 3 15" xfId="8515"/>
    <cellStyle name="40% - Accent6 3 15 2" xfId="31290"/>
    <cellStyle name="40% - Accent6 3 16" xfId="9171"/>
    <cellStyle name="40% - Accent6 3 16 2" xfId="31946"/>
    <cellStyle name="40% - Accent6 3 17" xfId="9827"/>
    <cellStyle name="40% - Accent6 3 17 2" xfId="32602"/>
    <cellStyle name="40% - Accent6 3 18" xfId="10483"/>
    <cellStyle name="40% - Accent6 3 18 2" xfId="33258"/>
    <cellStyle name="40% - Accent6 3 19" xfId="11139"/>
    <cellStyle name="40% - Accent6 3 19 2" xfId="33914"/>
    <cellStyle name="40% - Accent6 3 2" xfId="142"/>
    <cellStyle name="40% - Accent6 3 2 10" xfId="2338"/>
    <cellStyle name="40% - Accent6 3 2 10 2" xfId="25113"/>
    <cellStyle name="40% - Accent6 3 2 11" xfId="6602"/>
    <cellStyle name="40% - Accent6 3 2 11 2" xfId="29377"/>
    <cellStyle name="40% - Accent6 3 2 12" xfId="7258"/>
    <cellStyle name="40% - Accent6 3 2 12 2" xfId="30033"/>
    <cellStyle name="40% - Accent6 3 2 13" xfId="7914"/>
    <cellStyle name="40% - Accent6 3 2 13 2" xfId="30689"/>
    <cellStyle name="40% - Accent6 3 2 14" xfId="8570"/>
    <cellStyle name="40% - Accent6 3 2 14 2" xfId="31345"/>
    <cellStyle name="40% - Accent6 3 2 15" xfId="9226"/>
    <cellStyle name="40% - Accent6 3 2 15 2" xfId="32001"/>
    <cellStyle name="40% - Accent6 3 2 16" xfId="9882"/>
    <cellStyle name="40% - Accent6 3 2 16 2" xfId="32657"/>
    <cellStyle name="40% - Accent6 3 2 17" xfId="10538"/>
    <cellStyle name="40% - Accent6 3 2 17 2" xfId="33313"/>
    <cellStyle name="40% - Accent6 3 2 18" xfId="11194"/>
    <cellStyle name="40% - Accent6 3 2 18 2" xfId="33969"/>
    <cellStyle name="40% - Accent6 3 2 19" xfId="11850"/>
    <cellStyle name="40% - Accent6 3 2 19 2" xfId="34625"/>
    <cellStyle name="40% - Accent6 3 2 2" xfId="554"/>
    <cellStyle name="40% - Accent6 3 2 2 10" xfId="6787"/>
    <cellStyle name="40% - Accent6 3 2 2 10 2" xfId="29562"/>
    <cellStyle name="40% - Accent6 3 2 2 11" xfId="7443"/>
    <cellStyle name="40% - Accent6 3 2 2 11 2" xfId="30218"/>
    <cellStyle name="40% - Accent6 3 2 2 12" xfId="8099"/>
    <cellStyle name="40% - Accent6 3 2 2 12 2" xfId="30874"/>
    <cellStyle name="40% - Accent6 3 2 2 13" xfId="8755"/>
    <cellStyle name="40% - Accent6 3 2 2 13 2" xfId="31530"/>
    <cellStyle name="40% - Accent6 3 2 2 14" xfId="9411"/>
    <cellStyle name="40% - Accent6 3 2 2 14 2" xfId="32186"/>
    <cellStyle name="40% - Accent6 3 2 2 15" xfId="10067"/>
    <cellStyle name="40% - Accent6 3 2 2 15 2" xfId="32842"/>
    <cellStyle name="40% - Accent6 3 2 2 16" xfId="10723"/>
    <cellStyle name="40% - Accent6 3 2 2 16 2" xfId="33498"/>
    <cellStyle name="40% - Accent6 3 2 2 17" xfId="11379"/>
    <cellStyle name="40% - Accent6 3 2 2 17 2" xfId="34154"/>
    <cellStyle name="40% - Accent6 3 2 2 18" xfId="12035"/>
    <cellStyle name="40% - Accent6 3 2 2 18 2" xfId="34810"/>
    <cellStyle name="40% - Accent6 3 2 2 19" xfId="12691"/>
    <cellStyle name="40% - Accent6 3 2 2 19 2" xfId="35466"/>
    <cellStyle name="40% - Accent6 3 2 2 2" xfId="883"/>
    <cellStyle name="40% - Accent6 3 2 2 2 10" xfId="8427"/>
    <cellStyle name="40% - Accent6 3 2 2 2 10 2" xfId="31202"/>
    <cellStyle name="40% - Accent6 3 2 2 2 11" xfId="9083"/>
    <cellStyle name="40% - Accent6 3 2 2 2 11 2" xfId="31858"/>
    <cellStyle name="40% - Accent6 3 2 2 2 12" xfId="9739"/>
    <cellStyle name="40% - Accent6 3 2 2 2 12 2" xfId="32514"/>
    <cellStyle name="40% - Accent6 3 2 2 2 13" xfId="10395"/>
    <cellStyle name="40% - Accent6 3 2 2 2 13 2" xfId="33170"/>
    <cellStyle name="40% - Accent6 3 2 2 2 14" xfId="11051"/>
    <cellStyle name="40% - Accent6 3 2 2 2 14 2" xfId="33826"/>
    <cellStyle name="40% - Accent6 3 2 2 2 15" xfId="11707"/>
    <cellStyle name="40% - Accent6 3 2 2 2 15 2" xfId="34482"/>
    <cellStyle name="40% - Accent6 3 2 2 2 16" xfId="12363"/>
    <cellStyle name="40% - Accent6 3 2 2 2 16 2" xfId="35138"/>
    <cellStyle name="40% - Accent6 3 2 2 2 17" xfId="13019"/>
    <cellStyle name="40% - Accent6 3 2 2 2 17 2" xfId="35794"/>
    <cellStyle name="40% - Accent6 3 2 2 2 18" xfId="13675"/>
    <cellStyle name="40% - Accent6 3 2 2 2 18 2" xfId="36450"/>
    <cellStyle name="40% - Accent6 3 2 2 2 19" xfId="14331"/>
    <cellStyle name="40% - Accent6 3 2 2 2 19 2" xfId="37106"/>
    <cellStyle name="40% - Accent6 3 2 2 2 2" xfId="1539"/>
    <cellStyle name="40% - Accent6 3 2 2 2 2 2" xfId="3835"/>
    <cellStyle name="40% - Accent6 3 2 2 2 2 2 2" xfId="26610"/>
    <cellStyle name="40% - Accent6 3 2 2 2 2 3" xfId="24314"/>
    <cellStyle name="40% - Accent6 3 2 2 2 20" xfId="14987"/>
    <cellStyle name="40% - Accent6 3 2 2 2 20 2" xfId="37762"/>
    <cellStyle name="40% - Accent6 3 2 2 2 21" xfId="15643"/>
    <cellStyle name="40% - Accent6 3 2 2 2 21 2" xfId="38418"/>
    <cellStyle name="40% - Accent6 3 2 2 2 22" xfId="16299"/>
    <cellStyle name="40% - Accent6 3 2 2 2 22 2" xfId="39074"/>
    <cellStyle name="40% - Accent6 3 2 2 2 23" xfId="16955"/>
    <cellStyle name="40% - Accent6 3 2 2 2 23 2" xfId="39730"/>
    <cellStyle name="40% - Accent6 3 2 2 2 24" xfId="17611"/>
    <cellStyle name="40% - Accent6 3 2 2 2 24 2" xfId="40386"/>
    <cellStyle name="40% - Accent6 3 2 2 2 25" xfId="18267"/>
    <cellStyle name="40% - Accent6 3 2 2 2 25 2" xfId="41042"/>
    <cellStyle name="40% - Accent6 3 2 2 2 26" xfId="18923"/>
    <cellStyle name="40% - Accent6 3 2 2 2 26 2" xfId="41698"/>
    <cellStyle name="40% - Accent6 3 2 2 2 27" xfId="19579"/>
    <cellStyle name="40% - Accent6 3 2 2 2 27 2" xfId="42354"/>
    <cellStyle name="40% - Accent6 3 2 2 2 28" xfId="20235"/>
    <cellStyle name="40% - Accent6 3 2 2 2 28 2" xfId="43010"/>
    <cellStyle name="40% - Accent6 3 2 2 2 29" xfId="20891"/>
    <cellStyle name="40% - Accent6 3 2 2 2 29 2" xfId="43666"/>
    <cellStyle name="40% - Accent6 3 2 2 2 3" xfId="2195"/>
    <cellStyle name="40% - Accent6 3 2 2 2 3 2" xfId="4491"/>
    <cellStyle name="40% - Accent6 3 2 2 2 3 2 2" xfId="27266"/>
    <cellStyle name="40% - Accent6 3 2 2 2 3 3" xfId="24970"/>
    <cellStyle name="40% - Accent6 3 2 2 2 30" xfId="21547"/>
    <cellStyle name="40% - Accent6 3 2 2 2 30 2" xfId="44322"/>
    <cellStyle name="40% - Accent6 3 2 2 2 31" xfId="22203"/>
    <cellStyle name="40% - Accent6 3 2 2 2 31 2" xfId="44978"/>
    <cellStyle name="40% - Accent6 3 2 2 2 32" xfId="22859"/>
    <cellStyle name="40% - Accent6 3 2 2 2 32 2" xfId="45634"/>
    <cellStyle name="40% - Accent6 3 2 2 2 33" xfId="23658"/>
    <cellStyle name="40% - Accent6 3 2 2 2 4" xfId="5147"/>
    <cellStyle name="40% - Accent6 3 2 2 2 4 2" xfId="27922"/>
    <cellStyle name="40% - Accent6 3 2 2 2 5" xfId="5803"/>
    <cellStyle name="40% - Accent6 3 2 2 2 5 2" xfId="28578"/>
    <cellStyle name="40% - Accent6 3 2 2 2 6" xfId="6459"/>
    <cellStyle name="40% - Accent6 3 2 2 2 6 2" xfId="29234"/>
    <cellStyle name="40% - Accent6 3 2 2 2 7" xfId="3179"/>
    <cellStyle name="40% - Accent6 3 2 2 2 7 2" xfId="25954"/>
    <cellStyle name="40% - Accent6 3 2 2 2 8" xfId="7115"/>
    <cellStyle name="40% - Accent6 3 2 2 2 8 2" xfId="29890"/>
    <cellStyle name="40% - Accent6 3 2 2 2 9" xfId="7771"/>
    <cellStyle name="40% - Accent6 3 2 2 2 9 2" xfId="30546"/>
    <cellStyle name="40% - Accent6 3 2 2 20" xfId="13347"/>
    <cellStyle name="40% - Accent6 3 2 2 20 2" xfId="36122"/>
    <cellStyle name="40% - Accent6 3 2 2 21" xfId="14003"/>
    <cellStyle name="40% - Accent6 3 2 2 21 2" xfId="36778"/>
    <cellStyle name="40% - Accent6 3 2 2 22" xfId="14659"/>
    <cellStyle name="40% - Accent6 3 2 2 22 2" xfId="37434"/>
    <cellStyle name="40% - Accent6 3 2 2 23" xfId="15315"/>
    <cellStyle name="40% - Accent6 3 2 2 23 2" xfId="38090"/>
    <cellStyle name="40% - Accent6 3 2 2 24" xfId="15971"/>
    <cellStyle name="40% - Accent6 3 2 2 24 2" xfId="38746"/>
    <cellStyle name="40% - Accent6 3 2 2 25" xfId="16627"/>
    <cellStyle name="40% - Accent6 3 2 2 25 2" xfId="39402"/>
    <cellStyle name="40% - Accent6 3 2 2 26" xfId="17283"/>
    <cellStyle name="40% - Accent6 3 2 2 26 2" xfId="40058"/>
    <cellStyle name="40% - Accent6 3 2 2 27" xfId="17939"/>
    <cellStyle name="40% - Accent6 3 2 2 27 2" xfId="40714"/>
    <cellStyle name="40% - Accent6 3 2 2 28" xfId="18595"/>
    <cellStyle name="40% - Accent6 3 2 2 28 2" xfId="41370"/>
    <cellStyle name="40% - Accent6 3 2 2 29" xfId="19251"/>
    <cellStyle name="40% - Accent6 3 2 2 29 2" xfId="42026"/>
    <cellStyle name="40% - Accent6 3 2 2 3" xfId="1211"/>
    <cellStyle name="40% - Accent6 3 2 2 3 2" xfId="2851"/>
    <cellStyle name="40% - Accent6 3 2 2 3 2 2" xfId="25626"/>
    <cellStyle name="40% - Accent6 3 2 2 3 3" xfId="23986"/>
    <cellStyle name="40% - Accent6 3 2 2 30" xfId="19907"/>
    <cellStyle name="40% - Accent6 3 2 2 30 2" xfId="42682"/>
    <cellStyle name="40% - Accent6 3 2 2 31" xfId="20563"/>
    <cellStyle name="40% - Accent6 3 2 2 31 2" xfId="43338"/>
    <cellStyle name="40% - Accent6 3 2 2 32" xfId="21219"/>
    <cellStyle name="40% - Accent6 3 2 2 32 2" xfId="43994"/>
    <cellStyle name="40% - Accent6 3 2 2 33" xfId="21875"/>
    <cellStyle name="40% - Accent6 3 2 2 33 2" xfId="44650"/>
    <cellStyle name="40% - Accent6 3 2 2 34" xfId="22531"/>
    <cellStyle name="40% - Accent6 3 2 2 34 2" xfId="45306"/>
    <cellStyle name="40% - Accent6 3 2 2 35" xfId="23330"/>
    <cellStyle name="40% - Accent6 3 2 2 4" xfId="1867"/>
    <cellStyle name="40% - Accent6 3 2 2 4 2" xfId="3507"/>
    <cellStyle name="40% - Accent6 3 2 2 4 2 2" xfId="26282"/>
    <cellStyle name="40% - Accent6 3 2 2 4 3" xfId="24642"/>
    <cellStyle name="40% - Accent6 3 2 2 5" xfId="4163"/>
    <cellStyle name="40% - Accent6 3 2 2 5 2" xfId="26938"/>
    <cellStyle name="40% - Accent6 3 2 2 6" xfId="4819"/>
    <cellStyle name="40% - Accent6 3 2 2 6 2" xfId="27594"/>
    <cellStyle name="40% - Accent6 3 2 2 7" xfId="5475"/>
    <cellStyle name="40% - Accent6 3 2 2 7 2" xfId="28250"/>
    <cellStyle name="40% - Accent6 3 2 2 8" xfId="6131"/>
    <cellStyle name="40% - Accent6 3 2 2 8 2" xfId="28906"/>
    <cellStyle name="40% - Accent6 3 2 2 9" xfId="2523"/>
    <cellStyle name="40% - Accent6 3 2 2 9 2" xfId="25298"/>
    <cellStyle name="40% - Accent6 3 2 20" xfId="12506"/>
    <cellStyle name="40% - Accent6 3 2 20 2" xfId="35281"/>
    <cellStyle name="40% - Accent6 3 2 21" xfId="13162"/>
    <cellStyle name="40% - Accent6 3 2 21 2" xfId="35937"/>
    <cellStyle name="40% - Accent6 3 2 22" xfId="13818"/>
    <cellStyle name="40% - Accent6 3 2 22 2" xfId="36593"/>
    <cellStyle name="40% - Accent6 3 2 23" xfId="14474"/>
    <cellStyle name="40% - Accent6 3 2 23 2" xfId="37249"/>
    <cellStyle name="40% - Accent6 3 2 24" xfId="15130"/>
    <cellStyle name="40% - Accent6 3 2 24 2" xfId="37905"/>
    <cellStyle name="40% - Accent6 3 2 25" xfId="15786"/>
    <cellStyle name="40% - Accent6 3 2 25 2" xfId="38561"/>
    <cellStyle name="40% - Accent6 3 2 26" xfId="16442"/>
    <cellStyle name="40% - Accent6 3 2 26 2" xfId="39217"/>
    <cellStyle name="40% - Accent6 3 2 27" xfId="17098"/>
    <cellStyle name="40% - Accent6 3 2 27 2" xfId="39873"/>
    <cellStyle name="40% - Accent6 3 2 28" xfId="17754"/>
    <cellStyle name="40% - Accent6 3 2 28 2" xfId="40529"/>
    <cellStyle name="40% - Accent6 3 2 29" xfId="18410"/>
    <cellStyle name="40% - Accent6 3 2 29 2" xfId="41185"/>
    <cellStyle name="40% - Accent6 3 2 3" xfId="698"/>
    <cellStyle name="40% - Accent6 3 2 3 10" xfId="8242"/>
    <cellStyle name="40% - Accent6 3 2 3 10 2" xfId="31017"/>
    <cellStyle name="40% - Accent6 3 2 3 11" xfId="8898"/>
    <cellStyle name="40% - Accent6 3 2 3 11 2" xfId="31673"/>
    <cellStyle name="40% - Accent6 3 2 3 12" xfId="9554"/>
    <cellStyle name="40% - Accent6 3 2 3 12 2" xfId="32329"/>
    <cellStyle name="40% - Accent6 3 2 3 13" xfId="10210"/>
    <cellStyle name="40% - Accent6 3 2 3 13 2" xfId="32985"/>
    <cellStyle name="40% - Accent6 3 2 3 14" xfId="10866"/>
    <cellStyle name="40% - Accent6 3 2 3 14 2" xfId="33641"/>
    <cellStyle name="40% - Accent6 3 2 3 15" xfId="11522"/>
    <cellStyle name="40% - Accent6 3 2 3 15 2" xfId="34297"/>
    <cellStyle name="40% - Accent6 3 2 3 16" xfId="12178"/>
    <cellStyle name="40% - Accent6 3 2 3 16 2" xfId="34953"/>
    <cellStyle name="40% - Accent6 3 2 3 17" xfId="12834"/>
    <cellStyle name="40% - Accent6 3 2 3 17 2" xfId="35609"/>
    <cellStyle name="40% - Accent6 3 2 3 18" xfId="13490"/>
    <cellStyle name="40% - Accent6 3 2 3 18 2" xfId="36265"/>
    <cellStyle name="40% - Accent6 3 2 3 19" xfId="14146"/>
    <cellStyle name="40% - Accent6 3 2 3 19 2" xfId="36921"/>
    <cellStyle name="40% - Accent6 3 2 3 2" xfId="1354"/>
    <cellStyle name="40% - Accent6 3 2 3 2 2" xfId="3650"/>
    <cellStyle name="40% - Accent6 3 2 3 2 2 2" xfId="26425"/>
    <cellStyle name="40% - Accent6 3 2 3 2 3" xfId="24129"/>
    <cellStyle name="40% - Accent6 3 2 3 20" xfId="14802"/>
    <cellStyle name="40% - Accent6 3 2 3 20 2" xfId="37577"/>
    <cellStyle name="40% - Accent6 3 2 3 21" xfId="15458"/>
    <cellStyle name="40% - Accent6 3 2 3 21 2" xfId="38233"/>
    <cellStyle name="40% - Accent6 3 2 3 22" xfId="16114"/>
    <cellStyle name="40% - Accent6 3 2 3 22 2" xfId="38889"/>
    <cellStyle name="40% - Accent6 3 2 3 23" xfId="16770"/>
    <cellStyle name="40% - Accent6 3 2 3 23 2" xfId="39545"/>
    <cellStyle name="40% - Accent6 3 2 3 24" xfId="17426"/>
    <cellStyle name="40% - Accent6 3 2 3 24 2" xfId="40201"/>
    <cellStyle name="40% - Accent6 3 2 3 25" xfId="18082"/>
    <cellStyle name="40% - Accent6 3 2 3 25 2" xfId="40857"/>
    <cellStyle name="40% - Accent6 3 2 3 26" xfId="18738"/>
    <cellStyle name="40% - Accent6 3 2 3 26 2" xfId="41513"/>
    <cellStyle name="40% - Accent6 3 2 3 27" xfId="19394"/>
    <cellStyle name="40% - Accent6 3 2 3 27 2" xfId="42169"/>
    <cellStyle name="40% - Accent6 3 2 3 28" xfId="20050"/>
    <cellStyle name="40% - Accent6 3 2 3 28 2" xfId="42825"/>
    <cellStyle name="40% - Accent6 3 2 3 29" xfId="20706"/>
    <cellStyle name="40% - Accent6 3 2 3 29 2" xfId="43481"/>
    <cellStyle name="40% - Accent6 3 2 3 3" xfId="2010"/>
    <cellStyle name="40% - Accent6 3 2 3 3 2" xfId="4306"/>
    <cellStyle name="40% - Accent6 3 2 3 3 2 2" xfId="27081"/>
    <cellStyle name="40% - Accent6 3 2 3 3 3" xfId="24785"/>
    <cellStyle name="40% - Accent6 3 2 3 30" xfId="21362"/>
    <cellStyle name="40% - Accent6 3 2 3 30 2" xfId="44137"/>
    <cellStyle name="40% - Accent6 3 2 3 31" xfId="22018"/>
    <cellStyle name="40% - Accent6 3 2 3 31 2" xfId="44793"/>
    <cellStyle name="40% - Accent6 3 2 3 32" xfId="22674"/>
    <cellStyle name="40% - Accent6 3 2 3 32 2" xfId="45449"/>
    <cellStyle name="40% - Accent6 3 2 3 33" xfId="23473"/>
    <cellStyle name="40% - Accent6 3 2 3 4" xfId="4962"/>
    <cellStyle name="40% - Accent6 3 2 3 4 2" xfId="27737"/>
    <cellStyle name="40% - Accent6 3 2 3 5" xfId="5618"/>
    <cellStyle name="40% - Accent6 3 2 3 5 2" xfId="28393"/>
    <cellStyle name="40% - Accent6 3 2 3 6" xfId="6274"/>
    <cellStyle name="40% - Accent6 3 2 3 6 2" xfId="29049"/>
    <cellStyle name="40% - Accent6 3 2 3 7" xfId="2994"/>
    <cellStyle name="40% - Accent6 3 2 3 7 2" xfId="25769"/>
    <cellStyle name="40% - Accent6 3 2 3 8" xfId="6930"/>
    <cellStyle name="40% - Accent6 3 2 3 8 2" xfId="29705"/>
    <cellStyle name="40% - Accent6 3 2 3 9" xfId="7586"/>
    <cellStyle name="40% - Accent6 3 2 3 9 2" xfId="30361"/>
    <cellStyle name="40% - Accent6 3 2 30" xfId="19066"/>
    <cellStyle name="40% - Accent6 3 2 30 2" xfId="41841"/>
    <cellStyle name="40% - Accent6 3 2 31" xfId="19722"/>
    <cellStyle name="40% - Accent6 3 2 31 2" xfId="42497"/>
    <cellStyle name="40% - Accent6 3 2 32" xfId="20378"/>
    <cellStyle name="40% - Accent6 3 2 32 2" xfId="43153"/>
    <cellStyle name="40% - Accent6 3 2 33" xfId="21034"/>
    <cellStyle name="40% - Accent6 3 2 33 2" xfId="43809"/>
    <cellStyle name="40% - Accent6 3 2 34" xfId="21690"/>
    <cellStyle name="40% - Accent6 3 2 34 2" xfId="44465"/>
    <cellStyle name="40% - Accent6 3 2 35" xfId="22346"/>
    <cellStyle name="40% - Accent6 3 2 35 2" xfId="45121"/>
    <cellStyle name="40% - Accent6 3 2 36" xfId="23002"/>
    <cellStyle name="40% - Accent6 3 2 4" xfId="371"/>
    <cellStyle name="40% - Accent6 3 2 4 2" xfId="2666"/>
    <cellStyle name="40% - Accent6 3 2 4 2 2" xfId="25441"/>
    <cellStyle name="40% - Accent6 3 2 4 3" xfId="23145"/>
    <cellStyle name="40% - Accent6 3 2 5" xfId="1026"/>
    <cellStyle name="40% - Accent6 3 2 5 2" xfId="3322"/>
    <cellStyle name="40% - Accent6 3 2 5 2 2" xfId="26097"/>
    <cellStyle name="40% - Accent6 3 2 5 3" xfId="23801"/>
    <cellStyle name="40% - Accent6 3 2 6" xfId="1682"/>
    <cellStyle name="40% - Accent6 3 2 6 2" xfId="3978"/>
    <cellStyle name="40% - Accent6 3 2 6 2 2" xfId="26753"/>
    <cellStyle name="40% - Accent6 3 2 6 3" xfId="24457"/>
    <cellStyle name="40% - Accent6 3 2 7" xfId="4634"/>
    <cellStyle name="40% - Accent6 3 2 7 2" xfId="27409"/>
    <cellStyle name="40% - Accent6 3 2 8" xfId="5290"/>
    <cellStyle name="40% - Accent6 3 2 8 2" xfId="28065"/>
    <cellStyle name="40% - Accent6 3 2 9" xfId="5946"/>
    <cellStyle name="40% - Accent6 3 2 9 2" xfId="28721"/>
    <cellStyle name="40% - Accent6 3 20" xfId="11795"/>
    <cellStyle name="40% - Accent6 3 20 2" xfId="34570"/>
    <cellStyle name="40% - Accent6 3 21" xfId="12451"/>
    <cellStyle name="40% - Accent6 3 21 2" xfId="35226"/>
    <cellStyle name="40% - Accent6 3 22" xfId="13107"/>
    <cellStyle name="40% - Accent6 3 22 2" xfId="35882"/>
    <cellStyle name="40% - Accent6 3 23" xfId="13763"/>
    <cellStyle name="40% - Accent6 3 23 2" xfId="36538"/>
    <cellStyle name="40% - Accent6 3 24" xfId="14419"/>
    <cellStyle name="40% - Accent6 3 24 2" xfId="37194"/>
    <cellStyle name="40% - Accent6 3 25" xfId="15075"/>
    <cellStyle name="40% - Accent6 3 25 2" xfId="37850"/>
    <cellStyle name="40% - Accent6 3 26" xfId="15731"/>
    <cellStyle name="40% - Accent6 3 26 2" xfId="38506"/>
    <cellStyle name="40% - Accent6 3 27" xfId="16387"/>
    <cellStyle name="40% - Accent6 3 27 2" xfId="39162"/>
    <cellStyle name="40% - Accent6 3 28" xfId="17043"/>
    <cellStyle name="40% - Accent6 3 28 2" xfId="39818"/>
    <cellStyle name="40% - Accent6 3 29" xfId="17699"/>
    <cellStyle name="40% - Accent6 3 29 2" xfId="40474"/>
    <cellStyle name="40% - Accent6 3 3" xfId="500"/>
    <cellStyle name="40% - Accent6 3 3 10" xfId="6732"/>
    <cellStyle name="40% - Accent6 3 3 10 2" xfId="29507"/>
    <cellStyle name="40% - Accent6 3 3 11" xfId="7388"/>
    <cellStyle name="40% - Accent6 3 3 11 2" xfId="30163"/>
    <cellStyle name="40% - Accent6 3 3 12" xfId="8044"/>
    <cellStyle name="40% - Accent6 3 3 12 2" xfId="30819"/>
    <cellStyle name="40% - Accent6 3 3 13" xfId="8700"/>
    <cellStyle name="40% - Accent6 3 3 13 2" xfId="31475"/>
    <cellStyle name="40% - Accent6 3 3 14" xfId="9356"/>
    <cellStyle name="40% - Accent6 3 3 14 2" xfId="32131"/>
    <cellStyle name="40% - Accent6 3 3 15" xfId="10012"/>
    <cellStyle name="40% - Accent6 3 3 15 2" xfId="32787"/>
    <cellStyle name="40% - Accent6 3 3 16" xfId="10668"/>
    <cellStyle name="40% - Accent6 3 3 16 2" xfId="33443"/>
    <cellStyle name="40% - Accent6 3 3 17" xfId="11324"/>
    <cellStyle name="40% - Accent6 3 3 17 2" xfId="34099"/>
    <cellStyle name="40% - Accent6 3 3 18" xfId="11980"/>
    <cellStyle name="40% - Accent6 3 3 18 2" xfId="34755"/>
    <cellStyle name="40% - Accent6 3 3 19" xfId="12636"/>
    <cellStyle name="40% - Accent6 3 3 19 2" xfId="35411"/>
    <cellStyle name="40% - Accent6 3 3 2" xfId="828"/>
    <cellStyle name="40% - Accent6 3 3 2 10" xfId="8372"/>
    <cellStyle name="40% - Accent6 3 3 2 10 2" xfId="31147"/>
    <cellStyle name="40% - Accent6 3 3 2 11" xfId="9028"/>
    <cellStyle name="40% - Accent6 3 3 2 11 2" xfId="31803"/>
    <cellStyle name="40% - Accent6 3 3 2 12" xfId="9684"/>
    <cellStyle name="40% - Accent6 3 3 2 12 2" xfId="32459"/>
    <cellStyle name="40% - Accent6 3 3 2 13" xfId="10340"/>
    <cellStyle name="40% - Accent6 3 3 2 13 2" xfId="33115"/>
    <cellStyle name="40% - Accent6 3 3 2 14" xfId="10996"/>
    <cellStyle name="40% - Accent6 3 3 2 14 2" xfId="33771"/>
    <cellStyle name="40% - Accent6 3 3 2 15" xfId="11652"/>
    <cellStyle name="40% - Accent6 3 3 2 15 2" xfId="34427"/>
    <cellStyle name="40% - Accent6 3 3 2 16" xfId="12308"/>
    <cellStyle name="40% - Accent6 3 3 2 16 2" xfId="35083"/>
    <cellStyle name="40% - Accent6 3 3 2 17" xfId="12964"/>
    <cellStyle name="40% - Accent6 3 3 2 17 2" xfId="35739"/>
    <cellStyle name="40% - Accent6 3 3 2 18" xfId="13620"/>
    <cellStyle name="40% - Accent6 3 3 2 18 2" xfId="36395"/>
    <cellStyle name="40% - Accent6 3 3 2 19" xfId="14276"/>
    <cellStyle name="40% - Accent6 3 3 2 19 2" xfId="37051"/>
    <cellStyle name="40% - Accent6 3 3 2 2" xfId="1484"/>
    <cellStyle name="40% - Accent6 3 3 2 2 2" xfId="3780"/>
    <cellStyle name="40% - Accent6 3 3 2 2 2 2" xfId="26555"/>
    <cellStyle name="40% - Accent6 3 3 2 2 3" xfId="24259"/>
    <cellStyle name="40% - Accent6 3 3 2 20" xfId="14932"/>
    <cellStyle name="40% - Accent6 3 3 2 20 2" xfId="37707"/>
    <cellStyle name="40% - Accent6 3 3 2 21" xfId="15588"/>
    <cellStyle name="40% - Accent6 3 3 2 21 2" xfId="38363"/>
    <cellStyle name="40% - Accent6 3 3 2 22" xfId="16244"/>
    <cellStyle name="40% - Accent6 3 3 2 22 2" xfId="39019"/>
    <cellStyle name="40% - Accent6 3 3 2 23" xfId="16900"/>
    <cellStyle name="40% - Accent6 3 3 2 23 2" xfId="39675"/>
    <cellStyle name="40% - Accent6 3 3 2 24" xfId="17556"/>
    <cellStyle name="40% - Accent6 3 3 2 24 2" xfId="40331"/>
    <cellStyle name="40% - Accent6 3 3 2 25" xfId="18212"/>
    <cellStyle name="40% - Accent6 3 3 2 25 2" xfId="40987"/>
    <cellStyle name="40% - Accent6 3 3 2 26" xfId="18868"/>
    <cellStyle name="40% - Accent6 3 3 2 26 2" xfId="41643"/>
    <cellStyle name="40% - Accent6 3 3 2 27" xfId="19524"/>
    <cellStyle name="40% - Accent6 3 3 2 27 2" xfId="42299"/>
    <cellStyle name="40% - Accent6 3 3 2 28" xfId="20180"/>
    <cellStyle name="40% - Accent6 3 3 2 28 2" xfId="42955"/>
    <cellStyle name="40% - Accent6 3 3 2 29" xfId="20836"/>
    <cellStyle name="40% - Accent6 3 3 2 29 2" xfId="43611"/>
    <cellStyle name="40% - Accent6 3 3 2 3" xfId="2140"/>
    <cellStyle name="40% - Accent6 3 3 2 3 2" xfId="4436"/>
    <cellStyle name="40% - Accent6 3 3 2 3 2 2" xfId="27211"/>
    <cellStyle name="40% - Accent6 3 3 2 3 3" xfId="24915"/>
    <cellStyle name="40% - Accent6 3 3 2 30" xfId="21492"/>
    <cellStyle name="40% - Accent6 3 3 2 30 2" xfId="44267"/>
    <cellStyle name="40% - Accent6 3 3 2 31" xfId="22148"/>
    <cellStyle name="40% - Accent6 3 3 2 31 2" xfId="44923"/>
    <cellStyle name="40% - Accent6 3 3 2 32" xfId="22804"/>
    <cellStyle name="40% - Accent6 3 3 2 32 2" xfId="45579"/>
    <cellStyle name="40% - Accent6 3 3 2 33" xfId="23603"/>
    <cellStyle name="40% - Accent6 3 3 2 4" xfId="5092"/>
    <cellStyle name="40% - Accent6 3 3 2 4 2" xfId="27867"/>
    <cellStyle name="40% - Accent6 3 3 2 5" xfId="5748"/>
    <cellStyle name="40% - Accent6 3 3 2 5 2" xfId="28523"/>
    <cellStyle name="40% - Accent6 3 3 2 6" xfId="6404"/>
    <cellStyle name="40% - Accent6 3 3 2 6 2" xfId="29179"/>
    <cellStyle name="40% - Accent6 3 3 2 7" xfId="3124"/>
    <cellStyle name="40% - Accent6 3 3 2 7 2" xfId="25899"/>
    <cellStyle name="40% - Accent6 3 3 2 8" xfId="7060"/>
    <cellStyle name="40% - Accent6 3 3 2 8 2" xfId="29835"/>
    <cellStyle name="40% - Accent6 3 3 2 9" xfId="7716"/>
    <cellStyle name="40% - Accent6 3 3 2 9 2" xfId="30491"/>
    <cellStyle name="40% - Accent6 3 3 20" xfId="13292"/>
    <cellStyle name="40% - Accent6 3 3 20 2" xfId="36067"/>
    <cellStyle name="40% - Accent6 3 3 21" xfId="13948"/>
    <cellStyle name="40% - Accent6 3 3 21 2" xfId="36723"/>
    <cellStyle name="40% - Accent6 3 3 22" xfId="14604"/>
    <cellStyle name="40% - Accent6 3 3 22 2" xfId="37379"/>
    <cellStyle name="40% - Accent6 3 3 23" xfId="15260"/>
    <cellStyle name="40% - Accent6 3 3 23 2" xfId="38035"/>
    <cellStyle name="40% - Accent6 3 3 24" xfId="15916"/>
    <cellStyle name="40% - Accent6 3 3 24 2" xfId="38691"/>
    <cellStyle name="40% - Accent6 3 3 25" xfId="16572"/>
    <cellStyle name="40% - Accent6 3 3 25 2" xfId="39347"/>
    <cellStyle name="40% - Accent6 3 3 26" xfId="17228"/>
    <cellStyle name="40% - Accent6 3 3 26 2" xfId="40003"/>
    <cellStyle name="40% - Accent6 3 3 27" xfId="17884"/>
    <cellStyle name="40% - Accent6 3 3 27 2" xfId="40659"/>
    <cellStyle name="40% - Accent6 3 3 28" xfId="18540"/>
    <cellStyle name="40% - Accent6 3 3 28 2" xfId="41315"/>
    <cellStyle name="40% - Accent6 3 3 29" xfId="19196"/>
    <cellStyle name="40% - Accent6 3 3 29 2" xfId="41971"/>
    <cellStyle name="40% - Accent6 3 3 3" xfId="1156"/>
    <cellStyle name="40% - Accent6 3 3 3 2" xfId="2796"/>
    <cellStyle name="40% - Accent6 3 3 3 2 2" xfId="25571"/>
    <cellStyle name="40% - Accent6 3 3 3 3" xfId="23931"/>
    <cellStyle name="40% - Accent6 3 3 30" xfId="19852"/>
    <cellStyle name="40% - Accent6 3 3 30 2" xfId="42627"/>
    <cellStyle name="40% - Accent6 3 3 31" xfId="20508"/>
    <cellStyle name="40% - Accent6 3 3 31 2" xfId="43283"/>
    <cellStyle name="40% - Accent6 3 3 32" xfId="21164"/>
    <cellStyle name="40% - Accent6 3 3 32 2" xfId="43939"/>
    <cellStyle name="40% - Accent6 3 3 33" xfId="21820"/>
    <cellStyle name="40% - Accent6 3 3 33 2" xfId="44595"/>
    <cellStyle name="40% - Accent6 3 3 34" xfId="22476"/>
    <cellStyle name="40% - Accent6 3 3 34 2" xfId="45251"/>
    <cellStyle name="40% - Accent6 3 3 35" xfId="23275"/>
    <cellStyle name="40% - Accent6 3 3 4" xfId="1812"/>
    <cellStyle name="40% - Accent6 3 3 4 2" xfId="3452"/>
    <cellStyle name="40% - Accent6 3 3 4 2 2" xfId="26227"/>
    <cellStyle name="40% - Accent6 3 3 4 3" xfId="24587"/>
    <cellStyle name="40% - Accent6 3 3 5" xfId="4108"/>
    <cellStyle name="40% - Accent6 3 3 5 2" xfId="26883"/>
    <cellStyle name="40% - Accent6 3 3 6" xfId="4764"/>
    <cellStyle name="40% - Accent6 3 3 6 2" xfId="27539"/>
    <cellStyle name="40% - Accent6 3 3 7" xfId="5420"/>
    <cellStyle name="40% - Accent6 3 3 7 2" xfId="28195"/>
    <cellStyle name="40% - Accent6 3 3 8" xfId="6076"/>
    <cellStyle name="40% - Accent6 3 3 8 2" xfId="28851"/>
    <cellStyle name="40% - Accent6 3 3 9" xfId="2468"/>
    <cellStyle name="40% - Accent6 3 3 9 2" xfId="25243"/>
    <cellStyle name="40% - Accent6 3 30" xfId="18355"/>
    <cellStyle name="40% - Accent6 3 30 2" xfId="41130"/>
    <cellStyle name="40% - Accent6 3 31" xfId="19011"/>
    <cellStyle name="40% - Accent6 3 31 2" xfId="41786"/>
    <cellStyle name="40% - Accent6 3 32" xfId="19667"/>
    <cellStyle name="40% - Accent6 3 32 2" xfId="42442"/>
    <cellStyle name="40% - Accent6 3 33" xfId="20323"/>
    <cellStyle name="40% - Accent6 3 33 2" xfId="43098"/>
    <cellStyle name="40% - Accent6 3 34" xfId="20979"/>
    <cellStyle name="40% - Accent6 3 34 2" xfId="43754"/>
    <cellStyle name="40% - Accent6 3 35" xfId="21635"/>
    <cellStyle name="40% - Accent6 3 35 2" xfId="44410"/>
    <cellStyle name="40% - Accent6 3 36" xfId="22291"/>
    <cellStyle name="40% - Accent6 3 36 2" xfId="45066"/>
    <cellStyle name="40% - Accent6 3 37" xfId="230"/>
    <cellStyle name="40% - Accent6 3 38" xfId="22947"/>
    <cellStyle name="40% - Accent6 3 4" xfId="643"/>
    <cellStyle name="40% - Accent6 3 4 10" xfId="8187"/>
    <cellStyle name="40% - Accent6 3 4 10 2" xfId="30962"/>
    <cellStyle name="40% - Accent6 3 4 11" xfId="8843"/>
    <cellStyle name="40% - Accent6 3 4 11 2" xfId="31618"/>
    <cellStyle name="40% - Accent6 3 4 12" xfId="9499"/>
    <cellStyle name="40% - Accent6 3 4 12 2" xfId="32274"/>
    <cellStyle name="40% - Accent6 3 4 13" xfId="10155"/>
    <cellStyle name="40% - Accent6 3 4 13 2" xfId="32930"/>
    <cellStyle name="40% - Accent6 3 4 14" xfId="10811"/>
    <cellStyle name="40% - Accent6 3 4 14 2" xfId="33586"/>
    <cellStyle name="40% - Accent6 3 4 15" xfId="11467"/>
    <cellStyle name="40% - Accent6 3 4 15 2" xfId="34242"/>
    <cellStyle name="40% - Accent6 3 4 16" xfId="12123"/>
    <cellStyle name="40% - Accent6 3 4 16 2" xfId="34898"/>
    <cellStyle name="40% - Accent6 3 4 17" xfId="12779"/>
    <cellStyle name="40% - Accent6 3 4 17 2" xfId="35554"/>
    <cellStyle name="40% - Accent6 3 4 18" xfId="13435"/>
    <cellStyle name="40% - Accent6 3 4 18 2" xfId="36210"/>
    <cellStyle name="40% - Accent6 3 4 19" xfId="14091"/>
    <cellStyle name="40% - Accent6 3 4 19 2" xfId="36866"/>
    <cellStyle name="40% - Accent6 3 4 2" xfId="1299"/>
    <cellStyle name="40% - Accent6 3 4 2 2" xfId="3595"/>
    <cellStyle name="40% - Accent6 3 4 2 2 2" xfId="26370"/>
    <cellStyle name="40% - Accent6 3 4 2 3" xfId="24074"/>
    <cellStyle name="40% - Accent6 3 4 20" xfId="14747"/>
    <cellStyle name="40% - Accent6 3 4 20 2" xfId="37522"/>
    <cellStyle name="40% - Accent6 3 4 21" xfId="15403"/>
    <cellStyle name="40% - Accent6 3 4 21 2" xfId="38178"/>
    <cellStyle name="40% - Accent6 3 4 22" xfId="16059"/>
    <cellStyle name="40% - Accent6 3 4 22 2" xfId="38834"/>
    <cellStyle name="40% - Accent6 3 4 23" xfId="16715"/>
    <cellStyle name="40% - Accent6 3 4 23 2" xfId="39490"/>
    <cellStyle name="40% - Accent6 3 4 24" xfId="17371"/>
    <cellStyle name="40% - Accent6 3 4 24 2" xfId="40146"/>
    <cellStyle name="40% - Accent6 3 4 25" xfId="18027"/>
    <cellStyle name="40% - Accent6 3 4 25 2" xfId="40802"/>
    <cellStyle name="40% - Accent6 3 4 26" xfId="18683"/>
    <cellStyle name="40% - Accent6 3 4 26 2" xfId="41458"/>
    <cellStyle name="40% - Accent6 3 4 27" xfId="19339"/>
    <cellStyle name="40% - Accent6 3 4 27 2" xfId="42114"/>
    <cellStyle name="40% - Accent6 3 4 28" xfId="19995"/>
    <cellStyle name="40% - Accent6 3 4 28 2" xfId="42770"/>
    <cellStyle name="40% - Accent6 3 4 29" xfId="20651"/>
    <cellStyle name="40% - Accent6 3 4 29 2" xfId="43426"/>
    <cellStyle name="40% - Accent6 3 4 3" xfId="1955"/>
    <cellStyle name="40% - Accent6 3 4 3 2" xfId="4251"/>
    <cellStyle name="40% - Accent6 3 4 3 2 2" xfId="27026"/>
    <cellStyle name="40% - Accent6 3 4 3 3" xfId="24730"/>
    <cellStyle name="40% - Accent6 3 4 30" xfId="21307"/>
    <cellStyle name="40% - Accent6 3 4 30 2" xfId="44082"/>
    <cellStyle name="40% - Accent6 3 4 31" xfId="21963"/>
    <cellStyle name="40% - Accent6 3 4 31 2" xfId="44738"/>
    <cellStyle name="40% - Accent6 3 4 32" xfId="22619"/>
    <cellStyle name="40% - Accent6 3 4 32 2" xfId="45394"/>
    <cellStyle name="40% - Accent6 3 4 33" xfId="23418"/>
    <cellStyle name="40% - Accent6 3 4 4" xfId="4907"/>
    <cellStyle name="40% - Accent6 3 4 4 2" xfId="27682"/>
    <cellStyle name="40% - Accent6 3 4 5" xfId="5563"/>
    <cellStyle name="40% - Accent6 3 4 5 2" xfId="28338"/>
    <cellStyle name="40% - Accent6 3 4 6" xfId="6219"/>
    <cellStyle name="40% - Accent6 3 4 6 2" xfId="28994"/>
    <cellStyle name="40% - Accent6 3 4 7" xfId="2939"/>
    <cellStyle name="40% - Accent6 3 4 7 2" xfId="25714"/>
    <cellStyle name="40% - Accent6 3 4 8" xfId="6875"/>
    <cellStyle name="40% - Accent6 3 4 8 2" xfId="29650"/>
    <cellStyle name="40% - Accent6 3 4 9" xfId="7531"/>
    <cellStyle name="40% - Accent6 3 4 9 2" xfId="30306"/>
    <cellStyle name="40% - Accent6 3 5" xfId="316"/>
    <cellStyle name="40% - Accent6 3 5 2" xfId="2611"/>
    <cellStyle name="40% - Accent6 3 5 2 2" xfId="25386"/>
    <cellStyle name="40% - Accent6 3 5 3" xfId="23090"/>
    <cellStyle name="40% - Accent6 3 6" xfId="971"/>
    <cellStyle name="40% - Accent6 3 6 2" xfId="3267"/>
    <cellStyle name="40% - Accent6 3 6 2 2" xfId="26042"/>
    <cellStyle name="40% - Accent6 3 6 3" xfId="23746"/>
    <cellStyle name="40% - Accent6 3 7" xfId="1627"/>
    <cellStyle name="40% - Accent6 3 7 2" xfId="3923"/>
    <cellStyle name="40% - Accent6 3 7 2 2" xfId="26698"/>
    <cellStyle name="40% - Accent6 3 7 3" xfId="24402"/>
    <cellStyle name="40% - Accent6 3 8" xfId="4579"/>
    <cellStyle name="40% - Accent6 3 8 2" xfId="27354"/>
    <cellStyle name="40% - Accent6 3 9" xfId="5235"/>
    <cellStyle name="40% - Accent6 3 9 2" xfId="28010"/>
    <cellStyle name="40% - Accent6 30" xfId="13732"/>
    <cellStyle name="40% - Accent6 30 2" xfId="36507"/>
    <cellStyle name="40% - Accent6 31" xfId="14388"/>
    <cellStyle name="40% - Accent6 31 2" xfId="37163"/>
    <cellStyle name="40% - Accent6 32" xfId="15044"/>
    <cellStyle name="40% - Accent6 32 2" xfId="37819"/>
    <cellStyle name="40% - Accent6 33" xfId="15700"/>
    <cellStyle name="40% - Accent6 33 2" xfId="38475"/>
    <cellStyle name="40% - Accent6 34" xfId="16356"/>
    <cellStyle name="40% - Accent6 34 2" xfId="39131"/>
    <cellStyle name="40% - Accent6 35" xfId="17012"/>
    <cellStyle name="40% - Accent6 35 2" xfId="39787"/>
    <cellStyle name="40% - Accent6 36" xfId="17668"/>
    <cellStyle name="40% - Accent6 36 2" xfId="40443"/>
    <cellStyle name="40% - Accent6 37" xfId="18324"/>
    <cellStyle name="40% - Accent6 37 2" xfId="41099"/>
    <cellStyle name="40% - Accent6 38" xfId="18980"/>
    <cellStyle name="40% - Accent6 38 2" xfId="41755"/>
    <cellStyle name="40% - Accent6 39" xfId="19636"/>
    <cellStyle name="40% - Accent6 39 2" xfId="42411"/>
    <cellStyle name="40% - Accent6 4" xfId="99"/>
    <cellStyle name="40% - Accent6 4 10" xfId="5905"/>
    <cellStyle name="40% - Accent6 4 10 2" xfId="28680"/>
    <cellStyle name="40% - Accent6 4 11" xfId="2297"/>
    <cellStyle name="40% - Accent6 4 11 2" xfId="25072"/>
    <cellStyle name="40% - Accent6 4 12" xfId="6561"/>
    <cellStyle name="40% - Accent6 4 12 2" xfId="29336"/>
    <cellStyle name="40% - Accent6 4 13" xfId="7217"/>
    <cellStyle name="40% - Accent6 4 13 2" xfId="29992"/>
    <cellStyle name="40% - Accent6 4 14" xfId="7873"/>
    <cellStyle name="40% - Accent6 4 14 2" xfId="30648"/>
    <cellStyle name="40% - Accent6 4 15" xfId="8529"/>
    <cellStyle name="40% - Accent6 4 15 2" xfId="31304"/>
    <cellStyle name="40% - Accent6 4 16" xfId="9185"/>
    <cellStyle name="40% - Accent6 4 16 2" xfId="31960"/>
    <cellStyle name="40% - Accent6 4 17" xfId="9841"/>
    <cellStyle name="40% - Accent6 4 17 2" xfId="32616"/>
    <cellStyle name="40% - Accent6 4 18" xfId="10497"/>
    <cellStyle name="40% - Accent6 4 18 2" xfId="33272"/>
    <cellStyle name="40% - Accent6 4 19" xfId="11153"/>
    <cellStyle name="40% - Accent6 4 19 2" xfId="33928"/>
    <cellStyle name="40% - Accent6 4 2" xfId="170"/>
    <cellStyle name="40% - Accent6 4 2 10" xfId="2368"/>
    <cellStyle name="40% - Accent6 4 2 10 2" xfId="25143"/>
    <cellStyle name="40% - Accent6 4 2 11" xfId="6632"/>
    <cellStyle name="40% - Accent6 4 2 11 2" xfId="29407"/>
    <cellStyle name="40% - Accent6 4 2 12" xfId="7288"/>
    <cellStyle name="40% - Accent6 4 2 12 2" xfId="30063"/>
    <cellStyle name="40% - Accent6 4 2 13" xfId="7944"/>
    <cellStyle name="40% - Accent6 4 2 13 2" xfId="30719"/>
    <cellStyle name="40% - Accent6 4 2 14" xfId="8600"/>
    <cellStyle name="40% - Accent6 4 2 14 2" xfId="31375"/>
    <cellStyle name="40% - Accent6 4 2 15" xfId="9256"/>
    <cellStyle name="40% - Accent6 4 2 15 2" xfId="32031"/>
    <cellStyle name="40% - Accent6 4 2 16" xfId="9912"/>
    <cellStyle name="40% - Accent6 4 2 16 2" xfId="32687"/>
    <cellStyle name="40% - Accent6 4 2 17" xfId="10568"/>
    <cellStyle name="40% - Accent6 4 2 17 2" xfId="33343"/>
    <cellStyle name="40% - Accent6 4 2 18" xfId="11224"/>
    <cellStyle name="40% - Accent6 4 2 18 2" xfId="33999"/>
    <cellStyle name="40% - Accent6 4 2 19" xfId="11880"/>
    <cellStyle name="40% - Accent6 4 2 19 2" xfId="34655"/>
    <cellStyle name="40% - Accent6 4 2 2" xfId="584"/>
    <cellStyle name="40% - Accent6 4 2 2 10" xfId="6817"/>
    <cellStyle name="40% - Accent6 4 2 2 10 2" xfId="29592"/>
    <cellStyle name="40% - Accent6 4 2 2 11" xfId="7473"/>
    <cellStyle name="40% - Accent6 4 2 2 11 2" xfId="30248"/>
    <cellStyle name="40% - Accent6 4 2 2 12" xfId="8129"/>
    <cellStyle name="40% - Accent6 4 2 2 12 2" xfId="30904"/>
    <cellStyle name="40% - Accent6 4 2 2 13" xfId="8785"/>
    <cellStyle name="40% - Accent6 4 2 2 13 2" xfId="31560"/>
    <cellStyle name="40% - Accent6 4 2 2 14" xfId="9441"/>
    <cellStyle name="40% - Accent6 4 2 2 14 2" xfId="32216"/>
    <cellStyle name="40% - Accent6 4 2 2 15" xfId="10097"/>
    <cellStyle name="40% - Accent6 4 2 2 15 2" xfId="32872"/>
    <cellStyle name="40% - Accent6 4 2 2 16" xfId="10753"/>
    <cellStyle name="40% - Accent6 4 2 2 16 2" xfId="33528"/>
    <cellStyle name="40% - Accent6 4 2 2 17" xfId="11409"/>
    <cellStyle name="40% - Accent6 4 2 2 17 2" xfId="34184"/>
    <cellStyle name="40% - Accent6 4 2 2 18" xfId="12065"/>
    <cellStyle name="40% - Accent6 4 2 2 18 2" xfId="34840"/>
    <cellStyle name="40% - Accent6 4 2 2 19" xfId="12721"/>
    <cellStyle name="40% - Accent6 4 2 2 19 2" xfId="35496"/>
    <cellStyle name="40% - Accent6 4 2 2 2" xfId="913"/>
    <cellStyle name="40% - Accent6 4 2 2 2 10" xfId="8457"/>
    <cellStyle name="40% - Accent6 4 2 2 2 10 2" xfId="31232"/>
    <cellStyle name="40% - Accent6 4 2 2 2 11" xfId="9113"/>
    <cellStyle name="40% - Accent6 4 2 2 2 11 2" xfId="31888"/>
    <cellStyle name="40% - Accent6 4 2 2 2 12" xfId="9769"/>
    <cellStyle name="40% - Accent6 4 2 2 2 12 2" xfId="32544"/>
    <cellStyle name="40% - Accent6 4 2 2 2 13" xfId="10425"/>
    <cellStyle name="40% - Accent6 4 2 2 2 13 2" xfId="33200"/>
    <cellStyle name="40% - Accent6 4 2 2 2 14" xfId="11081"/>
    <cellStyle name="40% - Accent6 4 2 2 2 14 2" xfId="33856"/>
    <cellStyle name="40% - Accent6 4 2 2 2 15" xfId="11737"/>
    <cellStyle name="40% - Accent6 4 2 2 2 15 2" xfId="34512"/>
    <cellStyle name="40% - Accent6 4 2 2 2 16" xfId="12393"/>
    <cellStyle name="40% - Accent6 4 2 2 2 16 2" xfId="35168"/>
    <cellStyle name="40% - Accent6 4 2 2 2 17" xfId="13049"/>
    <cellStyle name="40% - Accent6 4 2 2 2 17 2" xfId="35824"/>
    <cellStyle name="40% - Accent6 4 2 2 2 18" xfId="13705"/>
    <cellStyle name="40% - Accent6 4 2 2 2 18 2" xfId="36480"/>
    <cellStyle name="40% - Accent6 4 2 2 2 19" xfId="14361"/>
    <cellStyle name="40% - Accent6 4 2 2 2 19 2" xfId="37136"/>
    <cellStyle name="40% - Accent6 4 2 2 2 2" xfId="1569"/>
    <cellStyle name="40% - Accent6 4 2 2 2 2 2" xfId="3865"/>
    <cellStyle name="40% - Accent6 4 2 2 2 2 2 2" xfId="26640"/>
    <cellStyle name="40% - Accent6 4 2 2 2 2 3" xfId="24344"/>
    <cellStyle name="40% - Accent6 4 2 2 2 20" xfId="15017"/>
    <cellStyle name="40% - Accent6 4 2 2 2 20 2" xfId="37792"/>
    <cellStyle name="40% - Accent6 4 2 2 2 21" xfId="15673"/>
    <cellStyle name="40% - Accent6 4 2 2 2 21 2" xfId="38448"/>
    <cellStyle name="40% - Accent6 4 2 2 2 22" xfId="16329"/>
    <cellStyle name="40% - Accent6 4 2 2 2 22 2" xfId="39104"/>
    <cellStyle name="40% - Accent6 4 2 2 2 23" xfId="16985"/>
    <cellStyle name="40% - Accent6 4 2 2 2 23 2" xfId="39760"/>
    <cellStyle name="40% - Accent6 4 2 2 2 24" xfId="17641"/>
    <cellStyle name="40% - Accent6 4 2 2 2 24 2" xfId="40416"/>
    <cellStyle name="40% - Accent6 4 2 2 2 25" xfId="18297"/>
    <cellStyle name="40% - Accent6 4 2 2 2 25 2" xfId="41072"/>
    <cellStyle name="40% - Accent6 4 2 2 2 26" xfId="18953"/>
    <cellStyle name="40% - Accent6 4 2 2 2 26 2" xfId="41728"/>
    <cellStyle name="40% - Accent6 4 2 2 2 27" xfId="19609"/>
    <cellStyle name="40% - Accent6 4 2 2 2 27 2" xfId="42384"/>
    <cellStyle name="40% - Accent6 4 2 2 2 28" xfId="20265"/>
    <cellStyle name="40% - Accent6 4 2 2 2 28 2" xfId="43040"/>
    <cellStyle name="40% - Accent6 4 2 2 2 29" xfId="20921"/>
    <cellStyle name="40% - Accent6 4 2 2 2 29 2" xfId="43696"/>
    <cellStyle name="40% - Accent6 4 2 2 2 3" xfId="2225"/>
    <cellStyle name="40% - Accent6 4 2 2 2 3 2" xfId="4521"/>
    <cellStyle name="40% - Accent6 4 2 2 2 3 2 2" xfId="27296"/>
    <cellStyle name="40% - Accent6 4 2 2 2 3 3" xfId="25000"/>
    <cellStyle name="40% - Accent6 4 2 2 2 30" xfId="21577"/>
    <cellStyle name="40% - Accent6 4 2 2 2 30 2" xfId="44352"/>
    <cellStyle name="40% - Accent6 4 2 2 2 31" xfId="22233"/>
    <cellStyle name="40% - Accent6 4 2 2 2 31 2" xfId="45008"/>
    <cellStyle name="40% - Accent6 4 2 2 2 32" xfId="22889"/>
    <cellStyle name="40% - Accent6 4 2 2 2 32 2" xfId="45664"/>
    <cellStyle name="40% - Accent6 4 2 2 2 33" xfId="23688"/>
    <cellStyle name="40% - Accent6 4 2 2 2 4" xfId="5177"/>
    <cellStyle name="40% - Accent6 4 2 2 2 4 2" xfId="27952"/>
    <cellStyle name="40% - Accent6 4 2 2 2 5" xfId="5833"/>
    <cellStyle name="40% - Accent6 4 2 2 2 5 2" xfId="28608"/>
    <cellStyle name="40% - Accent6 4 2 2 2 6" xfId="6489"/>
    <cellStyle name="40% - Accent6 4 2 2 2 6 2" xfId="29264"/>
    <cellStyle name="40% - Accent6 4 2 2 2 7" xfId="3209"/>
    <cellStyle name="40% - Accent6 4 2 2 2 7 2" xfId="25984"/>
    <cellStyle name="40% - Accent6 4 2 2 2 8" xfId="7145"/>
    <cellStyle name="40% - Accent6 4 2 2 2 8 2" xfId="29920"/>
    <cellStyle name="40% - Accent6 4 2 2 2 9" xfId="7801"/>
    <cellStyle name="40% - Accent6 4 2 2 2 9 2" xfId="30576"/>
    <cellStyle name="40% - Accent6 4 2 2 20" xfId="13377"/>
    <cellStyle name="40% - Accent6 4 2 2 20 2" xfId="36152"/>
    <cellStyle name="40% - Accent6 4 2 2 21" xfId="14033"/>
    <cellStyle name="40% - Accent6 4 2 2 21 2" xfId="36808"/>
    <cellStyle name="40% - Accent6 4 2 2 22" xfId="14689"/>
    <cellStyle name="40% - Accent6 4 2 2 22 2" xfId="37464"/>
    <cellStyle name="40% - Accent6 4 2 2 23" xfId="15345"/>
    <cellStyle name="40% - Accent6 4 2 2 23 2" xfId="38120"/>
    <cellStyle name="40% - Accent6 4 2 2 24" xfId="16001"/>
    <cellStyle name="40% - Accent6 4 2 2 24 2" xfId="38776"/>
    <cellStyle name="40% - Accent6 4 2 2 25" xfId="16657"/>
    <cellStyle name="40% - Accent6 4 2 2 25 2" xfId="39432"/>
    <cellStyle name="40% - Accent6 4 2 2 26" xfId="17313"/>
    <cellStyle name="40% - Accent6 4 2 2 26 2" xfId="40088"/>
    <cellStyle name="40% - Accent6 4 2 2 27" xfId="17969"/>
    <cellStyle name="40% - Accent6 4 2 2 27 2" xfId="40744"/>
    <cellStyle name="40% - Accent6 4 2 2 28" xfId="18625"/>
    <cellStyle name="40% - Accent6 4 2 2 28 2" xfId="41400"/>
    <cellStyle name="40% - Accent6 4 2 2 29" xfId="19281"/>
    <cellStyle name="40% - Accent6 4 2 2 29 2" xfId="42056"/>
    <cellStyle name="40% - Accent6 4 2 2 3" xfId="1241"/>
    <cellStyle name="40% - Accent6 4 2 2 3 2" xfId="2881"/>
    <cellStyle name="40% - Accent6 4 2 2 3 2 2" xfId="25656"/>
    <cellStyle name="40% - Accent6 4 2 2 3 3" xfId="24016"/>
    <cellStyle name="40% - Accent6 4 2 2 30" xfId="19937"/>
    <cellStyle name="40% - Accent6 4 2 2 30 2" xfId="42712"/>
    <cellStyle name="40% - Accent6 4 2 2 31" xfId="20593"/>
    <cellStyle name="40% - Accent6 4 2 2 31 2" xfId="43368"/>
    <cellStyle name="40% - Accent6 4 2 2 32" xfId="21249"/>
    <cellStyle name="40% - Accent6 4 2 2 32 2" xfId="44024"/>
    <cellStyle name="40% - Accent6 4 2 2 33" xfId="21905"/>
    <cellStyle name="40% - Accent6 4 2 2 33 2" xfId="44680"/>
    <cellStyle name="40% - Accent6 4 2 2 34" xfId="22561"/>
    <cellStyle name="40% - Accent6 4 2 2 34 2" xfId="45336"/>
    <cellStyle name="40% - Accent6 4 2 2 35" xfId="23360"/>
    <cellStyle name="40% - Accent6 4 2 2 4" xfId="1897"/>
    <cellStyle name="40% - Accent6 4 2 2 4 2" xfId="3537"/>
    <cellStyle name="40% - Accent6 4 2 2 4 2 2" xfId="26312"/>
    <cellStyle name="40% - Accent6 4 2 2 4 3" xfId="24672"/>
    <cellStyle name="40% - Accent6 4 2 2 5" xfId="4193"/>
    <cellStyle name="40% - Accent6 4 2 2 5 2" xfId="26968"/>
    <cellStyle name="40% - Accent6 4 2 2 6" xfId="4849"/>
    <cellStyle name="40% - Accent6 4 2 2 6 2" xfId="27624"/>
    <cellStyle name="40% - Accent6 4 2 2 7" xfId="5505"/>
    <cellStyle name="40% - Accent6 4 2 2 7 2" xfId="28280"/>
    <cellStyle name="40% - Accent6 4 2 2 8" xfId="6161"/>
    <cellStyle name="40% - Accent6 4 2 2 8 2" xfId="28936"/>
    <cellStyle name="40% - Accent6 4 2 2 9" xfId="2553"/>
    <cellStyle name="40% - Accent6 4 2 2 9 2" xfId="25328"/>
    <cellStyle name="40% - Accent6 4 2 20" xfId="12536"/>
    <cellStyle name="40% - Accent6 4 2 20 2" xfId="35311"/>
    <cellStyle name="40% - Accent6 4 2 21" xfId="13192"/>
    <cellStyle name="40% - Accent6 4 2 21 2" xfId="35967"/>
    <cellStyle name="40% - Accent6 4 2 22" xfId="13848"/>
    <cellStyle name="40% - Accent6 4 2 22 2" xfId="36623"/>
    <cellStyle name="40% - Accent6 4 2 23" xfId="14504"/>
    <cellStyle name="40% - Accent6 4 2 23 2" xfId="37279"/>
    <cellStyle name="40% - Accent6 4 2 24" xfId="15160"/>
    <cellStyle name="40% - Accent6 4 2 24 2" xfId="37935"/>
    <cellStyle name="40% - Accent6 4 2 25" xfId="15816"/>
    <cellStyle name="40% - Accent6 4 2 25 2" xfId="38591"/>
    <cellStyle name="40% - Accent6 4 2 26" xfId="16472"/>
    <cellStyle name="40% - Accent6 4 2 26 2" xfId="39247"/>
    <cellStyle name="40% - Accent6 4 2 27" xfId="17128"/>
    <cellStyle name="40% - Accent6 4 2 27 2" xfId="39903"/>
    <cellStyle name="40% - Accent6 4 2 28" xfId="17784"/>
    <cellStyle name="40% - Accent6 4 2 28 2" xfId="40559"/>
    <cellStyle name="40% - Accent6 4 2 29" xfId="18440"/>
    <cellStyle name="40% - Accent6 4 2 29 2" xfId="41215"/>
    <cellStyle name="40% - Accent6 4 2 3" xfId="728"/>
    <cellStyle name="40% - Accent6 4 2 3 10" xfId="8272"/>
    <cellStyle name="40% - Accent6 4 2 3 10 2" xfId="31047"/>
    <cellStyle name="40% - Accent6 4 2 3 11" xfId="8928"/>
    <cellStyle name="40% - Accent6 4 2 3 11 2" xfId="31703"/>
    <cellStyle name="40% - Accent6 4 2 3 12" xfId="9584"/>
    <cellStyle name="40% - Accent6 4 2 3 12 2" xfId="32359"/>
    <cellStyle name="40% - Accent6 4 2 3 13" xfId="10240"/>
    <cellStyle name="40% - Accent6 4 2 3 13 2" xfId="33015"/>
    <cellStyle name="40% - Accent6 4 2 3 14" xfId="10896"/>
    <cellStyle name="40% - Accent6 4 2 3 14 2" xfId="33671"/>
    <cellStyle name="40% - Accent6 4 2 3 15" xfId="11552"/>
    <cellStyle name="40% - Accent6 4 2 3 15 2" xfId="34327"/>
    <cellStyle name="40% - Accent6 4 2 3 16" xfId="12208"/>
    <cellStyle name="40% - Accent6 4 2 3 16 2" xfId="34983"/>
    <cellStyle name="40% - Accent6 4 2 3 17" xfId="12864"/>
    <cellStyle name="40% - Accent6 4 2 3 17 2" xfId="35639"/>
    <cellStyle name="40% - Accent6 4 2 3 18" xfId="13520"/>
    <cellStyle name="40% - Accent6 4 2 3 18 2" xfId="36295"/>
    <cellStyle name="40% - Accent6 4 2 3 19" xfId="14176"/>
    <cellStyle name="40% - Accent6 4 2 3 19 2" xfId="36951"/>
    <cellStyle name="40% - Accent6 4 2 3 2" xfId="1384"/>
    <cellStyle name="40% - Accent6 4 2 3 2 2" xfId="3680"/>
    <cellStyle name="40% - Accent6 4 2 3 2 2 2" xfId="26455"/>
    <cellStyle name="40% - Accent6 4 2 3 2 3" xfId="24159"/>
    <cellStyle name="40% - Accent6 4 2 3 20" xfId="14832"/>
    <cellStyle name="40% - Accent6 4 2 3 20 2" xfId="37607"/>
    <cellStyle name="40% - Accent6 4 2 3 21" xfId="15488"/>
    <cellStyle name="40% - Accent6 4 2 3 21 2" xfId="38263"/>
    <cellStyle name="40% - Accent6 4 2 3 22" xfId="16144"/>
    <cellStyle name="40% - Accent6 4 2 3 22 2" xfId="38919"/>
    <cellStyle name="40% - Accent6 4 2 3 23" xfId="16800"/>
    <cellStyle name="40% - Accent6 4 2 3 23 2" xfId="39575"/>
    <cellStyle name="40% - Accent6 4 2 3 24" xfId="17456"/>
    <cellStyle name="40% - Accent6 4 2 3 24 2" xfId="40231"/>
    <cellStyle name="40% - Accent6 4 2 3 25" xfId="18112"/>
    <cellStyle name="40% - Accent6 4 2 3 25 2" xfId="40887"/>
    <cellStyle name="40% - Accent6 4 2 3 26" xfId="18768"/>
    <cellStyle name="40% - Accent6 4 2 3 26 2" xfId="41543"/>
    <cellStyle name="40% - Accent6 4 2 3 27" xfId="19424"/>
    <cellStyle name="40% - Accent6 4 2 3 27 2" xfId="42199"/>
    <cellStyle name="40% - Accent6 4 2 3 28" xfId="20080"/>
    <cellStyle name="40% - Accent6 4 2 3 28 2" xfId="42855"/>
    <cellStyle name="40% - Accent6 4 2 3 29" xfId="20736"/>
    <cellStyle name="40% - Accent6 4 2 3 29 2" xfId="43511"/>
    <cellStyle name="40% - Accent6 4 2 3 3" xfId="2040"/>
    <cellStyle name="40% - Accent6 4 2 3 3 2" xfId="4336"/>
    <cellStyle name="40% - Accent6 4 2 3 3 2 2" xfId="27111"/>
    <cellStyle name="40% - Accent6 4 2 3 3 3" xfId="24815"/>
    <cellStyle name="40% - Accent6 4 2 3 30" xfId="21392"/>
    <cellStyle name="40% - Accent6 4 2 3 30 2" xfId="44167"/>
    <cellStyle name="40% - Accent6 4 2 3 31" xfId="22048"/>
    <cellStyle name="40% - Accent6 4 2 3 31 2" xfId="44823"/>
    <cellStyle name="40% - Accent6 4 2 3 32" xfId="22704"/>
    <cellStyle name="40% - Accent6 4 2 3 32 2" xfId="45479"/>
    <cellStyle name="40% - Accent6 4 2 3 33" xfId="23503"/>
    <cellStyle name="40% - Accent6 4 2 3 4" xfId="4992"/>
    <cellStyle name="40% - Accent6 4 2 3 4 2" xfId="27767"/>
    <cellStyle name="40% - Accent6 4 2 3 5" xfId="5648"/>
    <cellStyle name="40% - Accent6 4 2 3 5 2" xfId="28423"/>
    <cellStyle name="40% - Accent6 4 2 3 6" xfId="6304"/>
    <cellStyle name="40% - Accent6 4 2 3 6 2" xfId="29079"/>
    <cellStyle name="40% - Accent6 4 2 3 7" xfId="3024"/>
    <cellStyle name="40% - Accent6 4 2 3 7 2" xfId="25799"/>
    <cellStyle name="40% - Accent6 4 2 3 8" xfId="6960"/>
    <cellStyle name="40% - Accent6 4 2 3 8 2" xfId="29735"/>
    <cellStyle name="40% - Accent6 4 2 3 9" xfId="7616"/>
    <cellStyle name="40% - Accent6 4 2 3 9 2" xfId="30391"/>
    <cellStyle name="40% - Accent6 4 2 30" xfId="19096"/>
    <cellStyle name="40% - Accent6 4 2 30 2" xfId="41871"/>
    <cellStyle name="40% - Accent6 4 2 31" xfId="19752"/>
    <cellStyle name="40% - Accent6 4 2 31 2" xfId="42527"/>
    <cellStyle name="40% - Accent6 4 2 32" xfId="20408"/>
    <cellStyle name="40% - Accent6 4 2 32 2" xfId="43183"/>
    <cellStyle name="40% - Accent6 4 2 33" xfId="21064"/>
    <cellStyle name="40% - Accent6 4 2 33 2" xfId="43839"/>
    <cellStyle name="40% - Accent6 4 2 34" xfId="21720"/>
    <cellStyle name="40% - Accent6 4 2 34 2" xfId="44495"/>
    <cellStyle name="40% - Accent6 4 2 35" xfId="22376"/>
    <cellStyle name="40% - Accent6 4 2 35 2" xfId="45151"/>
    <cellStyle name="40% - Accent6 4 2 36" xfId="23032"/>
    <cellStyle name="40% - Accent6 4 2 4" xfId="401"/>
    <cellStyle name="40% - Accent6 4 2 4 2" xfId="2696"/>
    <cellStyle name="40% - Accent6 4 2 4 2 2" xfId="25471"/>
    <cellStyle name="40% - Accent6 4 2 4 3" xfId="23175"/>
    <cellStyle name="40% - Accent6 4 2 5" xfId="1056"/>
    <cellStyle name="40% - Accent6 4 2 5 2" xfId="3352"/>
    <cellStyle name="40% - Accent6 4 2 5 2 2" xfId="26127"/>
    <cellStyle name="40% - Accent6 4 2 5 3" xfId="23831"/>
    <cellStyle name="40% - Accent6 4 2 6" xfId="1712"/>
    <cellStyle name="40% - Accent6 4 2 6 2" xfId="4008"/>
    <cellStyle name="40% - Accent6 4 2 6 2 2" xfId="26783"/>
    <cellStyle name="40% - Accent6 4 2 6 3" xfId="24487"/>
    <cellStyle name="40% - Accent6 4 2 7" xfId="4664"/>
    <cellStyle name="40% - Accent6 4 2 7 2" xfId="27439"/>
    <cellStyle name="40% - Accent6 4 2 8" xfId="5320"/>
    <cellStyle name="40% - Accent6 4 2 8 2" xfId="28095"/>
    <cellStyle name="40% - Accent6 4 2 9" xfId="5976"/>
    <cellStyle name="40% - Accent6 4 2 9 2" xfId="28751"/>
    <cellStyle name="40% - Accent6 4 20" xfId="11809"/>
    <cellStyle name="40% - Accent6 4 20 2" xfId="34584"/>
    <cellStyle name="40% - Accent6 4 21" xfId="12465"/>
    <cellStyle name="40% - Accent6 4 21 2" xfId="35240"/>
    <cellStyle name="40% - Accent6 4 22" xfId="13121"/>
    <cellStyle name="40% - Accent6 4 22 2" xfId="35896"/>
    <cellStyle name="40% - Accent6 4 23" xfId="13777"/>
    <cellStyle name="40% - Accent6 4 23 2" xfId="36552"/>
    <cellStyle name="40% - Accent6 4 24" xfId="14433"/>
    <cellStyle name="40% - Accent6 4 24 2" xfId="37208"/>
    <cellStyle name="40% - Accent6 4 25" xfId="15089"/>
    <cellStyle name="40% - Accent6 4 25 2" xfId="37864"/>
    <cellStyle name="40% - Accent6 4 26" xfId="15745"/>
    <cellStyle name="40% - Accent6 4 26 2" xfId="38520"/>
    <cellStyle name="40% - Accent6 4 27" xfId="16401"/>
    <cellStyle name="40% - Accent6 4 27 2" xfId="39176"/>
    <cellStyle name="40% - Accent6 4 28" xfId="17057"/>
    <cellStyle name="40% - Accent6 4 28 2" xfId="39832"/>
    <cellStyle name="40% - Accent6 4 29" xfId="17713"/>
    <cellStyle name="40% - Accent6 4 29 2" xfId="40488"/>
    <cellStyle name="40% - Accent6 4 3" xfId="514"/>
    <cellStyle name="40% - Accent6 4 3 10" xfId="6746"/>
    <cellStyle name="40% - Accent6 4 3 10 2" xfId="29521"/>
    <cellStyle name="40% - Accent6 4 3 11" xfId="7402"/>
    <cellStyle name="40% - Accent6 4 3 11 2" xfId="30177"/>
    <cellStyle name="40% - Accent6 4 3 12" xfId="8058"/>
    <cellStyle name="40% - Accent6 4 3 12 2" xfId="30833"/>
    <cellStyle name="40% - Accent6 4 3 13" xfId="8714"/>
    <cellStyle name="40% - Accent6 4 3 13 2" xfId="31489"/>
    <cellStyle name="40% - Accent6 4 3 14" xfId="9370"/>
    <cellStyle name="40% - Accent6 4 3 14 2" xfId="32145"/>
    <cellStyle name="40% - Accent6 4 3 15" xfId="10026"/>
    <cellStyle name="40% - Accent6 4 3 15 2" xfId="32801"/>
    <cellStyle name="40% - Accent6 4 3 16" xfId="10682"/>
    <cellStyle name="40% - Accent6 4 3 16 2" xfId="33457"/>
    <cellStyle name="40% - Accent6 4 3 17" xfId="11338"/>
    <cellStyle name="40% - Accent6 4 3 17 2" xfId="34113"/>
    <cellStyle name="40% - Accent6 4 3 18" xfId="11994"/>
    <cellStyle name="40% - Accent6 4 3 18 2" xfId="34769"/>
    <cellStyle name="40% - Accent6 4 3 19" xfId="12650"/>
    <cellStyle name="40% - Accent6 4 3 19 2" xfId="35425"/>
    <cellStyle name="40% - Accent6 4 3 2" xfId="842"/>
    <cellStyle name="40% - Accent6 4 3 2 10" xfId="8386"/>
    <cellStyle name="40% - Accent6 4 3 2 10 2" xfId="31161"/>
    <cellStyle name="40% - Accent6 4 3 2 11" xfId="9042"/>
    <cellStyle name="40% - Accent6 4 3 2 11 2" xfId="31817"/>
    <cellStyle name="40% - Accent6 4 3 2 12" xfId="9698"/>
    <cellStyle name="40% - Accent6 4 3 2 12 2" xfId="32473"/>
    <cellStyle name="40% - Accent6 4 3 2 13" xfId="10354"/>
    <cellStyle name="40% - Accent6 4 3 2 13 2" xfId="33129"/>
    <cellStyle name="40% - Accent6 4 3 2 14" xfId="11010"/>
    <cellStyle name="40% - Accent6 4 3 2 14 2" xfId="33785"/>
    <cellStyle name="40% - Accent6 4 3 2 15" xfId="11666"/>
    <cellStyle name="40% - Accent6 4 3 2 15 2" xfId="34441"/>
    <cellStyle name="40% - Accent6 4 3 2 16" xfId="12322"/>
    <cellStyle name="40% - Accent6 4 3 2 16 2" xfId="35097"/>
    <cellStyle name="40% - Accent6 4 3 2 17" xfId="12978"/>
    <cellStyle name="40% - Accent6 4 3 2 17 2" xfId="35753"/>
    <cellStyle name="40% - Accent6 4 3 2 18" xfId="13634"/>
    <cellStyle name="40% - Accent6 4 3 2 18 2" xfId="36409"/>
    <cellStyle name="40% - Accent6 4 3 2 19" xfId="14290"/>
    <cellStyle name="40% - Accent6 4 3 2 19 2" xfId="37065"/>
    <cellStyle name="40% - Accent6 4 3 2 2" xfId="1498"/>
    <cellStyle name="40% - Accent6 4 3 2 2 2" xfId="3794"/>
    <cellStyle name="40% - Accent6 4 3 2 2 2 2" xfId="26569"/>
    <cellStyle name="40% - Accent6 4 3 2 2 3" xfId="24273"/>
    <cellStyle name="40% - Accent6 4 3 2 20" xfId="14946"/>
    <cellStyle name="40% - Accent6 4 3 2 20 2" xfId="37721"/>
    <cellStyle name="40% - Accent6 4 3 2 21" xfId="15602"/>
    <cellStyle name="40% - Accent6 4 3 2 21 2" xfId="38377"/>
    <cellStyle name="40% - Accent6 4 3 2 22" xfId="16258"/>
    <cellStyle name="40% - Accent6 4 3 2 22 2" xfId="39033"/>
    <cellStyle name="40% - Accent6 4 3 2 23" xfId="16914"/>
    <cellStyle name="40% - Accent6 4 3 2 23 2" xfId="39689"/>
    <cellStyle name="40% - Accent6 4 3 2 24" xfId="17570"/>
    <cellStyle name="40% - Accent6 4 3 2 24 2" xfId="40345"/>
    <cellStyle name="40% - Accent6 4 3 2 25" xfId="18226"/>
    <cellStyle name="40% - Accent6 4 3 2 25 2" xfId="41001"/>
    <cellStyle name="40% - Accent6 4 3 2 26" xfId="18882"/>
    <cellStyle name="40% - Accent6 4 3 2 26 2" xfId="41657"/>
    <cellStyle name="40% - Accent6 4 3 2 27" xfId="19538"/>
    <cellStyle name="40% - Accent6 4 3 2 27 2" xfId="42313"/>
    <cellStyle name="40% - Accent6 4 3 2 28" xfId="20194"/>
    <cellStyle name="40% - Accent6 4 3 2 28 2" xfId="42969"/>
    <cellStyle name="40% - Accent6 4 3 2 29" xfId="20850"/>
    <cellStyle name="40% - Accent6 4 3 2 29 2" xfId="43625"/>
    <cellStyle name="40% - Accent6 4 3 2 3" xfId="2154"/>
    <cellStyle name="40% - Accent6 4 3 2 3 2" xfId="4450"/>
    <cellStyle name="40% - Accent6 4 3 2 3 2 2" xfId="27225"/>
    <cellStyle name="40% - Accent6 4 3 2 3 3" xfId="24929"/>
    <cellStyle name="40% - Accent6 4 3 2 30" xfId="21506"/>
    <cellStyle name="40% - Accent6 4 3 2 30 2" xfId="44281"/>
    <cellStyle name="40% - Accent6 4 3 2 31" xfId="22162"/>
    <cellStyle name="40% - Accent6 4 3 2 31 2" xfId="44937"/>
    <cellStyle name="40% - Accent6 4 3 2 32" xfId="22818"/>
    <cellStyle name="40% - Accent6 4 3 2 32 2" xfId="45593"/>
    <cellStyle name="40% - Accent6 4 3 2 33" xfId="23617"/>
    <cellStyle name="40% - Accent6 4 3 2 4" xfId="5106"/>
    <cellStyle name="40% - Accent6 4 3 2 4 2" xfId="27881"/>
    <cellStyle name="40% - Accent6 4 3 2 5" xfId="5762"/>
    <cellStyle name="40% - Accent6 4 3 2 5 2" xfId="28537"/>
    <cellStyle name="40% - Accent6 4 3 2 6" xfId="6418"/>
    <cellStyle name="40% - Accent6 4 3 2 6 2" xfId="29193"/>
    <cellStyle name="40% - Accent6 4 3 2 7" xfId="3138"/>
    <cellStyle name="40% - Accent6 4 3 2 7 2" xfId="25913"/>
    <cellStyle name="40% - Accent6 4 3 2 8" xfId="7074"/>
    <cellStyle name="40% - Accent6 4 3 2 8 2" xfId="29849"/>
    <cellStyle name="40% - Accent6 4 3 2 9" xfId="7730"/>
    <cellStyle name="40% - Accent6 4 3 2 9 2" xfId="30505"/>
    <cellStyle name="40% - Accent6 4 3 20" xfId="13306"/>
    <cellStyle name="40% - Accent6 4 3 20 2" xfId="36081"/>
    <cellStyle name="40% - Accent6 4 3 21" xfId="13962"/>
    <cellStyle name="40% - Accent6 4 3 21 2" xfId="36737"/>
    <cellStyle name="40% - Accent6 4 3 22" xfId="14618"/>
    <cellStyle name="40% - Accent6 4 3 22 2" xfId="37393"/>
    <cellStyle name="40% - Accent6 4 3 23" xfId="15274"/>
    <cellStyle name="40% - Accent6 4 3 23 2" xfId="38049"/>
    <cellStyle name="40% - Accent6 4 3 24" xfId="15930"/>
    <cellStyle name="40% - Accent6 4 3 24 2" xfId="38705"/>
    <cellStyle name="40% - Accent6 4 3 25" xfId="16586"/>
    <cellStyle name="40% - Accent6 4 3 25 2" xfId="39361"/>
    <cellStyle name="40% - Accent6 4 3 26" xfId="17242"/>
    <cellStyle name="40% - Accent6 4 3 26 2" xfId="40017"/>
    <cellStyle name="40% - Accent6 4 3 27" xfId="17898"/>
    <cellStyle name="40% - Accent6 4 3 27 2" xfId="40673"/>
    <cellStyle name="40% - Accent6 4 3 28" xfId="18554"/>
    <cellStyle name="40% - Accent6 4 3 28 2" xfId="41329"/>
    <cellStyle name="40% - Accent6 4 3 29" xfId="19210"/>
    <cellStyle name="40% - Accent6 4 3 29 2" xfId="41985"/>
    <cellStyle name="40% - Accent6 4 3 3" xfId="1170"/>
    <cellStyle name="40% - Accent6 4 3 3 2" xfId="2810"/>
    <cellStyle name="40% - Accent6 4 3 3 2 2" xfId="25585"/>
    <cellStyle name="40% - Accent6 4 3 3 3" xfId="23945"/>
    <cellStyle name="40% - Accent6 4 3 30" xfId="19866"/>
    <cellStyle name="40% - Accent6 4 3 30 2" xfId="42641"/>
    <cellStyle name="40% - Accent6 4 3 31" xfId="20522"/>
    <cellStyle name="40% - Accent6 4 3 31 2" xfId="43297"/>
    <cellStyle name="40% - Accent6 4 3 32" xfId="21178"/>
    <cellStyle name="40% - Accent6 4 3 32 2" xfId="43953"/>
    <cellStyle name="40% - Accent6 4 3 33" xfId="21834"/>
    <cellStyle name="40% - Accent6 4 3 33 2" xfId="44609"/>
    <cellStyle name="40% - Accent6 4 3 34" xfId="22490"/>
    <cellStyle name="40% - Accent6 4 3 34 2" xfId="45265"/>
    <cellStyle name="40% - Accent6 4 3 35" xfId="23289"/>
    <cellStyle name="40% - Accent6 4 3 4" xfId="1826"/>
    <cellStyle name="40% - Accent6 4 3 4 2" xfId="3466"/>
    <cellStyle name="40% - Accent6 4 3 4 2 2" xfId="26241"/>
    <cellStyle name="40% - Accent6 4 3 4 3" xfId="24601"/>
    <cellStyle name="40% - Accent6 4 3 5" xfId="4122"/>
    <cellStyle name="40% - Accent6 4 3 5 2" xfId="26897"/>
    <cellStyle name="40% - Accent6 4 3 6" xfId="4778"/>
    <cellStyle name="40% - Accent6 4 3 6 2" xfId="27553"/>
    <cellStyle name="40% - Accent6 4 3 7" xfId="5434"/>
    <cellStyle name="40% - Accent6 4 3 7 2" xfId="28209"/>
    <cellStyle name="40% - Accent6 4 3 8" xfId="6090"/>
    <cellStyle name="40% - Accent6 4 3 8 2" xfId="28865"/>
    <cellStyle name="40% - Accent6 4 3 9" xfId="2482"/>
    <cellStyle name="40% - Accent6 4 3 9 2" xfId="25257"/>
    <cellStyle name="40% - Accent6 4 30" xfId="18369"/>
    <cellStyle name="40% - Accent6 4 30 2" xfId="41144"/>
    <cellStyle name="40% - Accent6 4 31" xfId="19025"/>
    <cellStyle name="40% - Accent6 4 31 2" xfId="41800"/>
    <cellStyle name="40% - Accent6 4 32" xfId="19681"/>
    <cellStyle name="40% - Accent6 4 32 2" xfId="42456"/>
    <cellStyle name="40% - Accent6 4 33" xfId="20337"/>
    <cellStyle name="40% - Accent6 4 33 2" xfId="43112"/>
    <cellStyle name="40% - Accent6 4 34" xfId="20993"/>
    <cellStyle name="40% - Accent6 4 34 2" xfId="43768"/>
    <cellStyle name="40% - Accent6 4 35" xfId="21649"/>
    <cellStyle name="40% - Accent6 4 35 2" xfId="44424"/>
    <cellStyle name="40% - Accent6 4 36" xfId="22305"/>
    <cellStyle name="40% - Accent6 4 36 2" xfId="45080"/>
    <cellStyle name="40% - Accent6 4 37" xfId="244"/>
    <cellStyle name="40% - Accent6 4 38" xfId="22961"/>
    <cellStyle name="40% - Accent6 4 4" xfId="657"/>
    <cellStyle name="40% - Accent6 4 4 10" xfId="8201"/>
    <cellStyle name="40% - Accent6 4 4 10 2" xfId="30976"/>
    <cellStyle name="40% - Accent6 4 4 11" xfId="8857"/>
    <cellStyle name="40% - Accent6 4 4 11 2" xfId="31632"/>
    <cellStyle name="40% - Accent6 4 4 12" xfId="9513"/>
    <cellStyle name="40% - Accent6 4 4 12 2" xfId="32288"/>
    <cellStyle name="40% - Accent6 4 4 13" xfId="10169"/>
    <cellStyle name="40% - Accent6 4 4 13 2" xfId="32944"/>
    <cellStyle name="40% - Accent6 4 4 14" xfId="10825"/>
    <cellStyle name="40% - Accent6 4 4 14 2" xfId="33600"/>
    <cellStyle name="40% - Accent6 4 4 15" xfId="11481"/>
    <cellStyle name="40% - Accent6 4 4 15 2" xfId="34256"/>
    <cellStyle name="40% - Accent6 4 4 16" xfId="12137"/>
    <cellStyle name="40% - Accent6 4 4 16 2" xfId="34912"/>
    <cellStyle name="40% - Accent6 4 4 17" xfId="12793"/>
    <cellStyle name="40% - Accent6 4 4 17 2" xfId="35568"/>
    <cellStyle name="40% - Accent6 4 4 18" xfId="13449"/>
    <cellStyle name="40% - Accent6 4 4 18 2" xfId="36224"/>
    <cellStyle name="40% - Accent6 4 4 19" xfId="14105"/>
    <cellStyle name="40% - Accent6 4 4 19 2" xfId="36880"/>
    <cellStyle name="40% - Accent6 4 4 2" xfId="1313"/>
    <cellStyle name="40% - Accent6 4 4 2 2" xfId="3609"/>
    <cellStyle name="40% - Accent6 4 4 2 2 2" xfId="26384"/>
    <cellStyle name="40% - Accent6 4 4 2 3" xfId="24088"/>
    <cellStyle name="40% - Accent6 4 4 20" xfId="14761"/>
    <cellStyle name="40% - Accent6 4 4 20 2" xfId="37536"/>
    <cellStyle name="40% - Accent6 4 4 21" xfId="15417"/>
    <cellStyle name="40% - Accent6 4 4 21 2" xfId="38192"/>
    <cellStyle name="40% - Accent6 4 4 22" xfId="16073"/>
    <cellStyle name="40% - Accent6 4 4 22 2" xfId="38848"/>
    <cellStyle name="40% - Accent6 4 4 23" xfId="16729"/>
    <cellStyle name="40% - Accent6 4 4 23 2" xfId="39504"/>
    <cellStyle name="40% - Accent6 4 4 24" xfId="17385"/>
    <cellStyle name="40% - Accent6 4 4 24 2" xfId="40160"/>
    <cellStyle name="40% - Accent6 4 4 25" xfId="18041"/>
    <cellStyle name="40% - Accent6 4 4 25 2" xfId="40816"/>
    <cellStyle name="40% - Accent6 4 4 26" xfId="18697"/>
    <cellStyle name="40% - Accent6 4 4 26 2" xfId="41472"/>
    <cellStyle name="40% - Accent6 4 4 27" xfId="19353"/>
    <cellStyle name="40% - Accent6 4 4 27 2" xfId="42128"/>
    <cellStyle name="40% - Accent6 4 4 28" xfId="20009"/>
    <cellStyle name="40% - Accent6 4 4 28 2" xfId="42784"/>
    <cellStyle name="40% - Accent6 4 4 29" xfId="20665"/>
    <cellStyle name="40% - Accent6 4 4 29 2" xfId="43440"/>
    <cellStyle name="40% - Accent6 4 4 3" xfId="1969"/>
    <cellStyle name="40% - Accent6 4 4 3 2" xfId="4265"/>
    <cellStyle name="40% - Accent6 4 4 3 2 2" xfId="27040"/>
    <cellStyle name="40% - Accent6 4 4 3 3" xfId="24744"/>
    <cellStyle name="40% - Accent6 4 4 30" xfId="21321"/>
    <cellStyle name="40% - Accent6 4 4 30 2" xfId="44096"/>
    <cellStyle name="40% - Accent6 4 4 31" xfId="21977"/>
    <cellStyle name="40% - Accent6 4 4 31 2" xfId="44752"/>
    <cellStyle name="40% - Accent6 4 4 32" xfId="22633"/>
    <cellStyle name="40% - Accent6 4 4 32 2" xfId="45408"/>
    <cellStyle name="40% - Accent6 4 4 33" xfId="23432"/>
    <cellStyle name="40% - Accent6 4 4 4" xfId="4921"/>
    <cellStyle name="40% - Accent6 4 4 4 2" xfId="27696"/>
    <cellStyle name="40% - Accent6 4 4 5" xfId="5577"/>
    <cellStyle name="40% - Accent6 4 4 5 2" xfId="28352"/>
    <cellStyle name="40% - Accent6 4 4 6" xfId="6233"/>
    <cellStyle name="40% - Accent6 4 4 6 2" xfId="29008"/>
    <cellStyle name="40% - Accent6 4 4 7" xfId="2953"/>
    <cellStyle name="40% - Accent6 4 4 7 2" xfId="25728"/>
    <cellStyle name="40% - Accent6 4 4 8" xfId="6889"/>
    <cellStyle name="40% - Accent6 4 4 8 2" xfId="29664"/>
    <cellStyle name="40% - Accent6 4 4 9" xfId="7545"/>
    <cellStyle name="40% - Accent6 4 4 9 2" xfId="30320"/>
    <cellStyle name="40% - Accent6 4 5" xfId="330"/>
    <cellStyle name="40% - Accent6 4 5 2" xfId="2625"/>
    <cellStyle name="40% - Accent6 4 5 2 2" xfId="25400"/>
    <cellStyle name="40% - Accent6 4 5 3" xfId="23104"/>
    <cellStyle name="40% - Accent6 4 6" xfId="985"/>
    <cellStyle name="40% - Accent6 4 6 2" xfId="3281"/>
    <cellStyle name="40% - Accent6 4 6 2 2" xfId="26056"/>
    <cellStyle name="40% - Accent6 4 6 3" xfId="23760"/>
    <cellStyle name="40% - Accent6 4 7" xfId="1641"/>
    <cellStyle name="40% - Accent6 4 7 2" xfId="3937"/>
    <cellStyle name="40% - Accent6 4 7 2 2" xfId="26712"/>
    <cellStyle name="40% - Accent6 4 7 3" xfId="24416"/>
    <cellStyle name="40% - Accent6 4 8" xfId="4593"/>
    <cellStyle name="40% - Accent6 4 8 2" xfId="27368"/>
    <cellStyle name="40% - Accent6 4 9" xfId="5249"/>
    <cellStyle name="40% - Accent6 4 9 2" xfId="28024"/>
    <cellStyle name="40% - Accent6 40" xfId="20292"/>
    <cellStyle name="40% - Accent6 40 2" xfId="43067"/>
    <cellStyle name="40% - Accent6 41" xfId="20948"/>
    <cellStyle name="40% - Accent6 41 2" xfId="43723"/>
    <cellStyle name="40% - Accent6 42" xfId="21604"/>
    <cellStyle name="40% - Accent6 42 2" xfId="44379"/>
    <cellStyle name="40% - Accent6 43" xfId="22260"/>
    <cellStyle name="40% - Accent6 43 2" xfId="45035"/>
    <cellStyle name="40% - Accent6 44" xfId="199"/>
    <cellStyle name="40% - Accent6 45" xfId="22916"/>
    <cellStyle name="40% - Accent6 5" xfId="113"/>
    <cellStyle name="40% - Accent6 5 10" xfId="5919"/>
    <cellStyle name="40% - Accent6 5 10 2" xfId="28694"/>
    <cellStyle name="40% - Accent6 5 11" xfId="2311"/>
    <cellStyle name="40% - Accent6 5 11 2" xfId="25086"/>
    <cellStyle name="40% - Accent6 5 12" xfId="6575"/>
    <cellStyle name="40% - Accent6 5 12 2" xfId="29350"/>
    <cellStyle name="40% - Accent6 5 13" xfId="7231"/>
    <cellStyle name="40% - Accent6 5 13 2" xfId="30006"/>
    <cellStyle name="40% - Accent6 5 14" xfId="7887"/>
    <cellStyle name="40% - Accent6 5 14 2" xfId="30662"/>
    <cellStyle name="40% - Accent6 5 15" xfId="8543"/>
    <cellStyle name="40% - Accent6 5 15 2" xfId="31318"/>
    <cellStyle name="40% - Accent6 5 16" xfId="9199"/>
    <cellStyle name="40% - Accent6 5 16 2" xfId="31974"/>
    <cellStyle name="40% - Accent6 5 17" xfId="9855"/>
    <cellStyle name="40% - Accent6 5 17 2" xfId="32630"/>
    <cellStyle name="40% - Accent6 5 18" xfId="10511"/>
    <cellStyle name="40% - Accent6 5 18 2" xfId="33286"/>
    <cellStyle name="40% - Accent6 5 19" xfId="11167"/>
    <cellStyle name="40% - Accent6 5 19 2" xfId="33942"/>
    <cellStyle name="40% - Accent6 5 2" xfId="184"/>
    <cellStyle name="40% - Accent6 5 2 10" xfId="2382"/>
    <cellStyle name="40% - Accent6 5 2 10 2" xfId="25157"/>
    <cellStyle name="40% - Accent6 5 2 11" xfId="6646"/>
    <cellStyle name="40% - Accent6 5 2 11 2" xfId="29421"/>
    <cellStyle name="40% - Accent6 5 2 12" xfId="7302"/>
    <cellStyle name="40% - Accent6 5 2 12 2" xfId="30077"/>
    <cellStyle name="40% - Accent6 5 2 13" xfId="7958"/>
    <cellStyle name="40% - Accent6 5 2 13 2" xfId="30733"/>
    <cellStyle name="40% - Accent6 5 2 14" xfId="8614"/>
    <cellStyle name="40% - Accent6 5 2 14 2" xfId="31389"/>
    <cellStyle name="40% - Accent6 5 2 15" xfId="9270"/>
    <cellStyle name="40% - Accent6 5 2 15 2" xfId="32045"/>
    <cellStyle name="40% - Accent6 5 2 16" xfId="9926"/>
    <cellStyle name="40% - Accent6 5 2 16 2" xfId="32701"/>
    <cellStyle name="40% - Accent6 5 2 17" xfId="10582"/>
    <cellStyle name="40% - Accent6 5 2 17 2" xfId="33357"/>
    <cellStyle name="40% - Accent6 5 2 18" xfId="11238"/>
    <cellStyle name="40% - Accent6 5 2 18 2" xfId="34013"/>
    <cellStyle name="40% - Accent6 5 2 19" xfId="11894"/>
    <cellStyle name="40% - Accent6 5 2 19 2" xfId="34669"/>
    <cellStyle name="40% - Accent6 5 2 2" xfId="598"/>
    <cellStyle name="40% - Accent6 5 2 2 10" xfId="6831"/>
    <cellStyle name="40% - Accent6 5 2 2 10 2" xfId="29606"/>
    <cellStyle name="40% - Accent6 5 2 2 11" xfId="7487"/>
    <cellStyle name="40% - Accent6 5 2 2 11 2" xfId="30262"/>
    <cellStyle name="40% - Accent6 5 2 2 12" xfId="8143"/>
    <cellStyle name="40% - Accent6 5 2 2 12 2" xfId="30918"/>
    <cellStyle name="40% - Accent6 5 2 2 13" xfId="8799"/>
    <cellStyle name="40% - Accent6 5 2 2 13 2" xfId="31574"/>
    <cellStyle name="40% - Accent6 5 2 2 14" xfId="9455"/>
    <cellStyle name="40% - Accent6 5 2 2 14 2" xfId="32230"/>
    <cellStyle name="40% - Accent6 5 2 2 15" xfId="10111"/>
    <cellStyle name="40% - Accent6 5 2 2 15 2" xfId="32886"/>
    <cellStyle name="40% - Accent6 5 2 2 16" xfId="10767"/>
    <cellStyle name="40% - Accent6 5 2 2 16 2" xfId="33542"/>
    <cellStyle name="40% - Accent6 5 2 2 17" xfId="11423"/>
    <cellStyle name="40% - Accent6 5 2 2 17 2" xfId="34198"/>
    <cellStyle name="40% - Accent6 5 2 2 18" xfId="12079"/>
    <cellStyle name="40% - Accent6 5 2 2 18 2" xfId="34854"/>
    <cellStyle name="40% - Accent6 5 2 2 19" xfId="12735"/>
    <cellStyle name="40% - Accent6 5 2 2 19 2" xfId="35510"/>
    <cellStyle name="40% - Accent6 5 2 2 2" xfId="927"/>
    <cellStyle name="40% - Accent6 5 2 2 2 10" xfId="8471"/>
    <cellStyle name="40% - Accent6 5 2 2 2 10 2" xfId="31246"/>
    <cellStyle name="40% - Accent6 5 2 2 2 11" xfId="9127"/>
    <cellStyle name="40% - Accent6 5 2 2 2 11 2" xfId="31902"/>
    <cellStyle name="40% - Accent6 5 2 2 2 12" xfId="9783"/>
    <cellStyle name="40% - Accent6 5 2 2 2 12 2" xfId="32558"/>
    <cellStyle name="40% - Accent6 5 2 2 2 13" xfId="10439"/>
    <cellStyle name="40% - Accent6 5 2 2 2 13 2" xfId="33214"/>
    <cellStyle name="40% - Accent6 5 2 2 2 14" xfId="11095"/>
    <cellStyle name="40% - Accent6 5 2 2 2 14 2" xfId="33870"/>
    <cellStyle name="40% - Accent6 5 2 2 2 15" xfId="11751"/>
    <cellStyle name="40% - Accent6 5 2 2 2 15 2" xfId="34526"/>
    <cellStyle name="40% - Accent6 5 2 2 2 16" xfId="12407"/>
    <cellStyle name="40% - Accent6 5 2 2 2 16 2" xfId="35182"/>
    <cellStyle name="40% - Accent6 5 2 2 2 17" xfId="13063"/>
    <cellStyle name="40% - Accent6 5 2 2 2 17 2" xfId="35838"/>
    <cellStyle name="40% - Accent6 5 2 2 2 18" xfId="13719"/>
    <cellStyle name="40% - Accent6 5 2 2 2 18 2" xfId="36494"/>
    <cellStyle name="40% - Accent6 5 2 2 2 19" xfId="14375"/>
    <cellStyle name="40% - Accent6 5 2 2 2 19 2" xfId="37150"/>
    <cellStyle name="40% - Accent6 5 2 2 2 2" xfId="1583"/>
    <cellStyle name="40% - Accent6 5 2 2 2 2 2" xfId="3879"/>
    <cellStyle name="40% - Accent6 5 2 2 2 2 2 2" xfId="26654"/>
    <cellStyle name="40% - Accent6 5 2 2 2 2 3" xfId="24358"/>
    <cellStyle name="40% - Accent6 5 2 2 2 20" xfId="15031"/>
    <cellStyle name="40% - Accent6 5 2 2 2 20 2" xfId="37806"/>
    <cellStyle name="40% - Accent6 5 2 2 2 21" xfId="15687"/>
    <cellStyle name="40% - Accent6 5 2 2 2 21 2" xfId="38462"/>
    <cellStyle name="40% - Accent6 5 2 2 2 22" xfId="16343"/>
    <cellStyle name="40% - Accent6 5 2 2 2 22 2" xfId="39118"/>
    <cellStyle name="40% - Accent6 5 2 2 2 23" xfId="16999"/>
    <cellStyle name="40% - Accent6 5 2 2 2 23 2" xfId="39774"/>
    <cellStyle name="40% - Accent6 5 2 2 2 24" xfId="17655"/>
    <cellStyle name="40% - Accent6 5 2 2 2 24 2" xfId="40430"/>
    <cellStyle name="40% - Accent6 5 2 2 2 25" xfId="18311"/>
    <cellStyle name="40% - Accent6 5 2 2 2 25 2" xfId="41086"/>
    <cellStyle name="40% - Accent6 5 2 2 2 26" xfId="18967"/>
    <cellStyle name="40% - Accent6 5 2 2 2 26 2" xfId="41742"/>
    <cellStyle name="40% - Accent6 5 2 2 2 27" xfId="19623"/>
    <cellStyle name="40% - Accent6 5 2 2 2 27 2" xfId="42398"/>
    <cellStyle name="40% - Accent6 5 2 2 2 28" xfId="20279"/>
    <cellStyle name="40% - Accent6 5 2 2 2 28 2" xfId="43054"/>
    <cellStyle name="40% - Accent6 5 2 2 2 29" xfId="20935"/>
    <cellStyle name="40% - Accent6 5 2 2 2 29 2" xfId="43710"/>
    <cellStyle name="40% - Accent6 5 2 2 2 3" xfId="2239"/>
    <cellStyle name="40% - Accent6 5 2 2 2 3 2" xfId="4535"/>
    <cellStyle name="40% - Accent6 5 2 2 2 3 2 2" xfId="27310"/>
    <cellStyle name="40% - Accent6 5 2 2 2 3 3" xfId="25014"/>
    <cellStyle name="40% - Accent6 5 2 2 2 30" xfId="21591"/>
    <cellStyle name="40% - Accent6 5 2 2 2 30 2" xfId="44366"/>
    <cellStyle name="40% - Accent6 5 2 2 2 31" xfId="22247"/>
    <cellStyle name="40% - Accent6 5 2 2 2 31 2" xfId="45022"/>
    <cellStyle name="40% - Accent6 5 2 2 2 32" xfId="22903"/>
    <cellStyle name="40% - Accent6 5 2 2 2 32 2" xfId="45678"/>
    <cellStyle name="40% - Accent6 5 2 2 2 33" xfId="23702"/>
    <cellStyle name="40% - Accent6 5 2 2 2 4" xfId="5191"/>
    <cellStyle name="40% - Accent6 5 2 2 2 4 2" xfId="27966"/>
    <cellStyle name="40% - Accent6 5 2 2 2 5" xfId="5847"/>
    <cellStyle name="40% - Accent6 5 2 2 2 5 2" xfId="28622"/>
    <cellStyle name="40% - Accent6 5 2 2 2 6" xfId="6503"/>
    <cellStyle name="40% - Accent6 5 2 2 2 6 2" xfId="29278"/>
    <cellStyle name="40% - Accent6 5 2 2 2 7" xfId="3223"/>
    <cellStyle name="40% - Accent6 5 2 2 2 7 2" xfId="25998"/>
    <cellStyle name="40% - Accent6 5 2 2 2 8" xfId="7159"/>
    <cellStyle name="40% - Accent6 5 2 2 2 8 2" xfId="29934"/>
    <cellStyle name="40% - Accent6 5 2 2 2 9" xfId="7815"/>
    <cellStyle name="40% - Accent6 5 2 2 2 9 2" xfId="30590"/>
    <cellStyle name="40% - Accent6 5 2 2 20" xfId="13391"/>
    <cellStyle name="40% - Accent6 5 2 2 20 2" xfId="36166"/>
    <cellStyle name="40% - Accent6 5 2 2 21" xfId="14047"/>
    <cellStyle name="40% - Accent6 5 2 2 21 2" xfId="36822"/>
    <cellStyle name="40% - Accent6 5 2 2 22" xfId="14703"/>
    <cellStyle name="40% - Accent6 5 2 2 22 2" xfId="37478"/>
    <cellStyle name="40% - Accent6 5 2 2 23" xfId="15359"/>
    <cellStyle name="40% - Accent6 5 2 2 23 2" xfId="38134"/>
    <cellStyle name="40% - Accent6 5 2 2 24" xfId="16015"/>
    <cellStyle name="40% - Accent6 5 2 2 24 2" xfId="38790"/>
    <cellStyle name="40% - Accent6 5 2 2 25" xfId="16671"/>
    <cellStyle name="40% - Accent6 5 2 2 25 2" xfId="39446"/>
    <cellStyle name="40% - Accent6 5 2 2 26" xfId="17327"/>
    <cellStyle name="40% - Accent6 5 2 2 26 2" xfId="40102"/>
    <cellStyle name="40% - Accent6 5 2 2 27" xfId="17983"/>
    <cellStyle name="40% - Accent6 5 2 2 27 2" xfId="40758"/>
    <cellStyle name="40% - Accent6 5 2 2 28" xfId="18639"/>
    <cellStyle name="40% - Accent6 5 2 2 28 2" xfId="41414"/>
    <cellStyle name="40% - Accent6 5 2 2 29" xfId="19295"/>
    <cellStyle name="40% - Accent6 5 2 2 29 2" xfId="42070"/>
    <cellStyle name="40% - Accent6 5 2 2 3" xfId="1255"/>
    <cellStyle name="40% - Accent6 5 2 2 3 2" xfId="2895"/>
    <cellStyle name="40% - Accent6 5 2 2 3 2 2" xfId="25670"/>
    <cellStyle name="40% - Accent6 5 2 2 3 3" xfId="24030"/>
    <cellStyle name="40% - Accent6 5 2 2 30" xfId="19951"/>
    <cellStyle name="40% - Accent6 5 2 2 30 2" xfId="42726"/>
    <cellStyle name="40% - Accent6 5 2 2 31" xfId="20607"/>
    <cellStyle name="40% - Accent6 5 2 2 31 2" xfId="43382"/>
    <cellStyle name="40% - Accent6 5 2 2 32" xfId="21263"/>
    <cellStyle name="40% - Accent6 5 2 2 32 2" xfId="44038"/>
    <cellStyle name="40% - Accent6 5 2 2 33" xfId="21919"/>
    <cellStyle name="40% - Accent6 5 2 2 33 2" xfId="44694"/>
    <cellStyle name="40% - Accent6 5 2 2 34" xfId="22575"/>
    <cellStyle name="40% - Accent6 5 2 2 34 2" xfId="45350"/>
    <cellStyle name="40% - Accent6 5 2 2 35" xfId="23374"/>
    <cellStyle name="40% - Accent6 5 2 2 4" xfId="1911"/>
    <cellStyle name="40% - Accent6 5 2 2 4 2" xfId="3551"/>
    <cellStyle name="40% - Accent6 5 2 2 4 2 2" xfId="26326"/>
    <cellStyle name="40% - Accent6 5 2 2 4 3" xfId="24686"/>
    <cellStyle name="40% - Accent6 5 2 2 5" xfId="4207"/>
    <cellStyle name="40% - Accent6 5 2 2 5 2" xfId="26982"/>
    <cellStyle name="40% - Accent6 5 2 2 6" xfId="4863"/>
    <cellStyle name="40% - Accent6 5 2 2 6 2" xfId="27638"/>
    <cellStyle name="40% - Accent6 5 2 2 7" xfId="5519"/>
    <cellStyle name="40% - Accent6 5 2 2 7 2" xfId="28294"/>
    <cellStyle name="40% - Accent6 5 2 2 8" xfId="6175"/>
    <cellStyle name="40% - Accent6 5 2 2 8 2" xfId="28950"/>
    <cellStyle name="40% - Accent6 5 2 2 9" xfId="2567"/>
    <cellStyle name="40% - Accent6 5 2 2 9 2" xfId="25342"/>
    <cellStyle name="40% - Accent6 5 2 20" xfId="12550"/>
    <cellStyle name="40% - Accent6 5 2 20 2" xfId="35325"/>
    <cellStyle name="40% - Accent6 5 2 21" xfId="13206"/>
    <cellStyle name="40% - Accent6 5 2 21 2" xfId="35981"/>
    <cellStyle name="40% - Accent6 5 2 22" xfId="13862"/>
    <cellStyle name="40% - Accent6 5 2 22 2" xfId="36637"/>
    <cellStyle name="40% - Accent6 5 2 23" xfId="14518"/>
    <cellStyle name="40% - Accent6 5 2 23 2" xfId="37293"/>
    <cellStyle name="40% - Accent6 5 2 24" xfId="15174"/>
    <cellStyle name="40% - Accent6 5 2 24 2" xfId="37949"/>
    <cellStyle name="40% - Accent6 5 2 25" xfId="15830"/>
    <cellStyle name="40% - Accent6 5 2 25 2" xfId="38605"/>
    <cellStyle name="40% - Accent6 5 2 26" xfId="16486"/>
    <cellStyle name="40% - Accent6 5 2 26 2" xfId="39261"/>
    <cellStyle name="40% - Accent6 5 2 27" xfId="17142"/>
    <cellStyle name="40% - Accent6 5 2 27 2" xfId="39917"/>
    <cellStyle name="40% - Accent6 5 2 28" xfId="17798"/>
    <cellStyle name="40% - Accent6 5 2 28 2" xfId="40573"/>
    <cellStyle name="40% - Accent6 5 2 29" xfId="18454"/>
    <cellStyle name="40% - Accent6 5 2 29 2" xfId="41229"/>
    <cellStyle name="40% - Accent6 5 2 3" xfId="742"/>
    <cellStyle name="40% - Accent6 5 2 3 10" xfId="8286"/>
    <cellStyle name="40% - Accent6 5 2 3 10 2" xfId="31061"/>
    <cellStyle name="40% - Accent6 5 2 3 11" xfId="8942"/>
    <cellStyle name="40% - Accent6 5 2 3 11 2" xfId="31717"/>
    <cellStyle name="40% - Accent6 5 2 3 12" xfId="9598"/>
    <cellStyle name="40% - Accent6 5 2 3 12 2" xfId="32373"/>
    <cellStyle name="40% - Accent6 5 2 3 13" xfId="10254"/>
    <cellStyle name="40% - Accent6 5 2 3 13 2" xfId="33029"/>
    <cellStyle name="40% - Accent6 5 2 3 14" xfId="10910"/>
    <cellStyle name="40% - Accent6 5 2 3 14 2" xfId="33685"/>
    <cellStyle name="40% - Accent6 5 2 3 15" xfId="11566"/>
    <cellStyle name="40% - Accent6 5 2 3 15 2" xfId="34341"/>
    <cellStyle name="40% - Accent6 5 2 3 16" xfId="12222"/>
    <cellStyle name="40% - Accent6 5 2 3 16 2" xfId="34997"/>
    <cellStyle name="40% - Accent6 5 2 3 17" xfId="12878"/>
    <cellStyle name="40% - Accent6 5 2 3 17 2" xfId="35653"/>
    <cellStyle name="40% - Accent6 5 2 3 18" xfId="13534"/>
    <cellStyle name="40% - Accent6 5 2 3 18 2" xfId="36309"/>
    <cellStyle name="40% - Accent6 5 2 3 19" xfId="14190"/>
    <cellStyle name="40% - Accent6 5 2 3 19 2" xfId="36965"/>
    <cellStyle name="40% - Accent6 5 2 3 2" xfId="1398"/>
    <cellStyle name="40% - Accent6 5 2 3 2 2" xfId="3694"/>
    <cellStyle name="40% - Accent6 5 2 3 2 2 2" xfId="26469"/>
    <cellStyle name="40% - Accent6 5 2 3 2 3" xfId="24173"/>
    <cellStyle name="40% - Accent6 5 2 3 20" xfId="14846"/>
    <cellStyle name="40% - Accent6 5 2 3 20 2" xfId="37621"/>
    <cellStyle name="40% - Accent6 5 2 3 21" xfId="15502"/>
    <cellStyle name="40% - Accent6 5 2 3 21 2" xfId="38277"/>
    <cellStyle name="40% - Accent6 5 2 3 22" xfId="16158"/>
    <cellStyle name="40% - Accent6 5 2 3 22 2" xfId="38933"/>
    <cellStyle name="40% - Accent6 5 2 3 23" xfId="16814"/>
    <cellStyle name="40% - Accent6 5 2 3 23 2" xfId="39589"/>
    <cellStyle name="40% - Accent6 5 2 3 24" xfId="17470"/>
    <cellStyle name="40% - Accent6 5 2 3 24 2" xfId="40245"/>
    <cellStyle name="40% - Accent6 5 2 3 25" xfId="18126"/>
    <cellStyle name="40% - Accent6 5 2 3 25 2" xfId="40901"/>
    <cellStyle name="40% - Accent6 5 2 3 26" xfId="18782"/>
    <cellStyle name="40% - Accent6 5 2 3 26 2" xfId="41557"/>
    <cellStyle name="40% - Accent6 5 2 3 27" xfId="19438"/>
    <cellStyle name="40% - Accent6 5 2 3 27 2" xfId="42213"/>
    <cellStyle name="40% - Accent6 5 2 3 28" xfId="20094"/>
    <cellStyle name="40% - Accent6 5 2 3 28 2" xfId="42869"/>
    <cellStyle name="40% - Accent6 5 2 3 29" xfId="20750"/>
    <cellStyle name="40% - Accent6 5 2 3 29 2" xfId="43525"/>
    <cellStyle name="40% - Accent6 5 2 3 3" xfId="2054"/>
    <cellStyle name="40% - Accent6 5 2 3 3 2" xfId="4350"/>
    <cellStyle name="40% - Accent6 5 2 3 3 2 2" xfId="27125"/>
    <cellStyle name="40% - Accent6 5 2 3 3 3" xfId="24829"/>
    <cellStyle name="40% - Accent6 5 2 3 30" xfId="21406"/>
    <cellStyle name="40% - Accent6 5 2 3 30 2" xfId="44181"/>
    <cellStyle name="40% - Accent6 5 2 3 31" xfId="22062"/>
    <cellStyle name="40% - Accent6 5 2 3 31 2" xfId="44837"/>
    <cellStyle name="40% - Accent6 5 2 3 32" xfId="22718"/>
    <cellStyle name="40% - Accent6 5 2 3 32 2" xfId="45493"/>
    <cellStyle name="40% - Accent6 5 2 3 33" xfId="23517"/>
    <cellStyle name="40% - Accent6 5 2 3 4" xfId="5006"/>
    <cellStyle name="40% - Accent6 5 2 3 4 2" xfId="27781"/>
    <cellStyle name="40% - Accent6 5 2 3 5" xfId="5662"/>
    <cellStyle name="40% - Accent6 5 2 3 5 2" xfId="28437"/>
    <cellStyle name="40% - Accent6 5 2 3 6" xfId="6318"/>
    <cellStyle name="40% - Accent6 5 2 3 6 2" xfId="29093"/>
    <cellStyle name="40% - Accent6 5 2 3 7" xfId="3038"/>
    <cellStyle name="40% - Accent6 5 2 3 7 2" xfId="25813"/>
    <cellStyle name="40% - Accent6 5 2 3 8" xfId="6974"/>
    <cellStyle name="40% - Accent6 5 2 3 8 2" xfId="29749"/>
    <cellStyle name="40% - Accent6 5 2 3 9" xfId="7630"/>
    <cellStyle name="40% - Accent6 5 2 3 9 2" xfId="30405"/>
    <cellStyle name="40% - Accent6 5 2 30" xfId="19110"/>
    <cellStyle name="40% - Accent6 5 2 30 2" xfId="41885"/>
    <cellStyle name="40% - Accent6 5 2 31" xfId="19766"/>
    <cellStyle name="40% - Accent6 5 2 31 2" xfId="42541"/>
    <cellStyle name="40% - Accent6 5 2 32" xfId="20422"/>
    <cellStyle name="40% - Accent6 5 2 32 2" xfId="43197"/>
    <cellStyle name="40% - Accent6 5 2 33" xfId="21078"/>
    <cellStyle name="40% - Accent6 5 2 33 2" xfId="43853"/>
    <cellStyle name="40% - Accent6 5 2 34" xfId="21734"/>
    <cellStyle name="40% - Accent6 5 2 34 2" xfId="44509"/>
    <cellStyle name="40% - Accent6 5 2 35" xfId="22390"/>
    <cellStyle name="40% - Accent6 5 2 35 2" xfId="45165"/>
    <cellStyle name="40% - Accent6 5 2 36" xfId="23046"/>
    <cellStyle name="40% - Accent6 5 2 4" xfId="415"/>
    <cellStyle name="40% - Accent6 5 2 4 2" xfId="2710"/>
    <cellStyle name="40% - Accent6 5 2 4 2 2" xfId="25485"/>
    <cellStyle name="40% - Accent6 5 2 4 3" xfId="23189"/>
    <cellStyle name="40% - Accent6 5 2 5" xfId="1070"/>
    <cellStyle name="40% - Accent6 5 2 5 2" xfId="3366"/>
    <cellStyle name="40% - Accent6 5 2 5 2 2" xfId="26141"/>
    <cellStyle name="40% - Accent6 5 2 5 3" xfId="23845"/>
    <cellStyle name="40% - Accent6 5 2 6" xfId="1726"/>
    <cellStyle name="40% - Accent6 5 2 6 2" xfId="4022"/>
    <cellStyle name="40% - Accent6 5 2 6 2 2" xfId="26797"/>
    <cellStyle name="40% - Accent6 5 2 6 3" xfId="24501"/>
    <cellStyle name="40% - Accent6 5 2 7" xfId="4678"/>
    <cellStyle name="40% - Accent6 5 2 7 2" xfId="27453"/>
    <cellStyle name="40% - Accent6 5 2 8" xfId="5334"/>
    <cellStyle name="40% - Accent6 5 2 8 2" xfId="28109"/>
    <cellStyle name="40% - Accent6 5 2 9" xfId="5990"/>
    <cellStyle name="40% - Accent6 5 2 9 2" xfId="28765"/>
    <cellStyle name="40% - Accent6 5 20" xfId="11823"/>
    <cellStyle name="40% - Accent6 5 20 2" xfId="34598"/>
    <cellStyle name="40% - Accent6 5 21" xfId="12479"/>
    <cellStyle name="40% - Accent6 5 21 2" xfId="35254"/>
    <cellStyle name="40% - Accent6 5 22" xfId="13135"/>
    <cellStyle name="40% - Accent6 5 22 2" xfId="35910"/>
    <cellStyle name="40% - Accent6 5 23" xfId="13791"/>
    <cellStyle name="40% - Accent6 5 23 2" xfId="36566"/>
    <cellStyle name="40% - Accent6 5 24" xfId="14447"/>
    <cellStyle name="40% - Accent6 5 24 2" xfId="37222"/>
    <cellStyle name="40% - Accent6 5 25" xfId="15103"/>
    <cellStyle name="40% - Accent6 5 25 2" xfId="37878"/>
    <cellStyle name="40% - Accent6 5 26" xfId="15759"/>
    <cellStyle name="40% - Accent6 5 26 2" xfId="38534"/>
    <cellStyle name="40% - Accent6 5 27" xfId="16415"/>
    <cellStyle name="40% - Accent6 5 27 2" xfId="39190"/>
    <cellStyle name="40% - Accent6 5 28" xfId="17071"/>
    <cellStyle name="40% - Accent6 5 28 2" xfId="39846"/>
    <cellStyle name="40% - Accent6 5 29" xfId="17727"/>
    <cellStyle name="40% - Accent6 5 29 2" xfId="40502"/>
    <cellStyle name="40% - Accent6 5 3" xfId="528"/>
    <cellStyle name="40% - Accent6 5 3 10" xfId="6760"/>
    <cellStyle name="40% - Accent6 5 3 10 2" xfId="29535"/>
    <cellStyle name="40% - Accent6 5 3 11" xfId="7416"/>
    <cellStyle name="40% - Accent6 5 3 11 2" xfId="30191"/>
    <cellStyle name="40% - Accent6 5 3 12" xfId="8072"/>
    <cellStyle name="40% - Accent6 5 3 12 2" xfId="30847"/>
    <cellStyle name="40% - Accent6 5 3 13" xfId="8728"/>
    <cellStyle name="40% - Accent6 5 3 13 2" xfId="31503"/>
    <cellStyle name="40% - Accent6 5 3 14" xfId="9384"/>
    <cellStyle name="40% - Accent6 5 3 14 2" xfId="32159"/>
    <cellStyle name="40% - Accent6 5 3 15" xfId="10040"/>
    <cellStyle name="40% - Accent6 5 3 15 2" xfId="32815"/>
    <cellStyle name="40% - Accent6 5 3 16" xfId="10696"/>
    <cellStyle name="40% - Accent6 5 3 16 2" xfId="33471"/>
    <cellStyle name="40% - Accent6 5 3 17" xfId="11352"/>
    <cellStyle name="40% - Accent6 5 3 17 2" xfId="34127"/>
    <cellStyle name="40% - Accent6 5 3 18" xfId="12008"/>
    <cellStyle name="40% - Accent6 5 3 18 2" xfId="34783"/>
    <cellStyle name="40% - Accent6 5 3 19" xfId="12664"/>
    <cellStyle name="40% - Accent6 5 3 19 2" xfId="35439"/>
    <cellStyle name="40% - Accent6 5 3 2" xfId="856"/>
    <cellStyle name="40% - Accent6 5 3 2 10" xfId="8400"/>
    <cellStyle name="40% - Accent6 5 3 2 10 2" xfId="31175"/>
    <cellStyle name="40% - Accent6 5 3 2 11" xfId="9056"/>
    <cellStyle name="40% - Accent6 5 3 2 11 2" xfId="31831"/>
    <cellStyle name="40% - Accent6 5 3 2 12" xfId="9712"/>
    <cellStyle name="40% - Accent6 5 3 2 12 2" xfId="32487"/>
    <cellStyle name="40% - Accent6 5 3 2 13" xfId="10368"/>
    <cellStyle name="40% - Accent6 5 3 2 13 2" xfId="33143"/>
    <cellStyle name="40% - Accent6 5 3 2 14" xfId="11024"/>
    <cellStyle name="40% - Accent6 5 3 2 14 2" xfId="33799"/>
    <cellStyle name="40% - Accent6 5 3 2 15" xfId="11680"/>
    <cellStyle name="40% - Accent6 5 3 2 15 2" xfId="34455"/>
    <cellStyle name="40% - Accent6 5 3 2 16" xfId="12336"/>
    <cellStyle name="40% - Accent6 5 3 2 16 2" xfId="35111"/>
    <cellStyle name="40% - Accent6 5 3 2 17" xfId="12992"/>
    <cellStyle name="40% - Accent6 5 3 2 17 2" xfId="35767"/>
    <cellStyle name="40% - Accent6 5 3 2 18" xfId="13648"/>
    <cellStyle name="40% - Accent6 5 3 2 18 2" xfId="36423"/>
    <cellStyle name="40% - Accent6 5 3 2 19" xfId="14304"/>
    <cellStyle name="40% - Accent6 5 3 2 19 2" xfId="37079"/>
    <cellStyle name="40% - Accent6 5 3 2 2" xfId="1512"/>
    <cellStyle name="40% - Accent6 5 3 2 2 2" xfId="3808"/>
    <cellStyle name="40% - Accent6 5 3 2 2 2 2" xfId="26583"/>
    <cellStyle name="40% - Accent6 5 3 2 2 3" xfId="24287"/>
    <cellStyle name="40% - Accent6 5 3 2 20" xfId="14960"/>
    <cellStyle name="40% - Accent6 5 3 2 20 2" xfId="37735"/>
    <cellStyle name="40% - Accent6 5 3 2 21" xfId="15616"/>
    <cellStyle name="40% - Accent6 5 3 2 21 2" xfId="38391"/>
    <cellStyle name="40% - Accent6 5 3 2 22" xfId="16272"/>
    <cellStyle name="40% - Accent6 5 3 2 22 2" xfId="39047"/>
    <cellStyle name="40% - Accent6 5 3 2 23" xfId="16928"/>
    <cellStyle name="40% - Accent6 5 3 2 23 2" xfId="39703"/>
    <cellStyle name="40% - Accent6 5 3 2 24" xfId="17584"/>
    <cellStyle name="40% - Accent6 5 3 2 24 2" xfId="40359"/>
    <cellStyle name="40% - Accent6 5 3 2 25" xfId="18240"/>
    <cellStyle name="40% - Accent6 5 3 2 25 2" xfId="41015"/>
    <cellStyle name="40% - Accent6 5 3 2 26" xfId="18896"/>
    <cellStyle name="40% - Accent6 5 3 2 26 2" xfId="41671"/>
    <cellStyle name="40% - Accent6 5 3 2 27" xfId="19552"/>
    <cellStyle name="40% - Accent6 5 3 2 27 2" xfId="42327"/>
    <cellStyle name="40% - Accent6 5 3 2 28" xfId="20208"/>
    <cellStyle name="40% - Accent6 5 3 2 28 2" xfId="42983"/>
    <cellStyle name="40% - Accent6 5 3 2 29" xfId="20864"/>
    <cellStyle name="40% - Accent6 5 3 2 29 2" xfId="43639"/>
    <cellStyle name="40% - Accent6 5 3 2 3" xfId="2168"/>
    <cellStyle name="40% - Accent6 5 3 2 3 2" xfId="4464"/>
    <cellStyle name="40% - Accent6 5 3 2 3 2 2" xfId="27239"/>
    <cellStyle name="40% - Accent6 5 3 2 3 3" xfId="24943"/>
    <cellStyle name="40% - Accent6 5 3 2 30" xfId="21520"/>
    <cellStyle name="40% - Accent6 5 3 2 30 2" xfId="44295"/>
    <cellStyle name="40% - Accent6 5 3 2 31" xfId="22176"/>
    <cellStyle name="40% - Accent6 5 3 2 31 2" xfId="44951"/>
    <cellStyle name="40% - Accent6 5 3 2 32" xfId="22832"/>
    <cellStyle name="40% - Accent6 5 3 2 32 2" xfId="45607"/>
    <cellStyle name="40% - Accent6 5 3 2 33" xfId="23631"/>
    <cellStyle name="40% - Accent6 5 3 2 4" xfId="5120"/>
    <cellStyle name="40% - Accent6 5 3 2 4 2" xfId="27895"/>
    <cellStyle name="40% - Accent6 5 3 2 5" xfId="5776"/>
    <cellStyle name="40% - Accent6 5 3 2 5 2" xfId="28551"/>
    <cellStyle name="40% - Accent6 5 3 2 6" xfId="6432"/>
    <cellStyle name="40% - Accent6 5 3 2 6 2" xfId="29207"/>
    <cellStyle name="40% - Accent6 5 3 2 7" xfId="3152"/>
    <cellStyle name="40% - Accent6 5 3 2 7 2" xfId="25927"/>
    <cellStyle name="40% - Accent6 5 3 2 8" xfId="7088"/>
    <cellStyle name="40% - Accent6 5 3 2 8 2" xfId="29863"/>
    <cellStyle name="40% - Accent6 5 3 2 9" xfId="7744"/>
    <cellStyle name="40% - Accent6 5 3 2 9 2" xfId="30519"/>
    <cellStyle name="40% - Accent6 5 3 20" xfId="13320"/>
    <cellStyle name="40% - Accent6 5 3 20 2" xfId="36095"/>
    <cellStyle name="40% - Accent6 5 3 21" xfId="13976"/>
    <cellStyle name="40% - Accent6 5 3 21 2" xfId="36751"/>
    <cellStyle name="40% - Accent6 5 3 22" xfId="14632"/>
    <cellStyle name="40% - Accent6 5 3 22 2" xfId="37407"/>
    <cellStyle name="40% - Accent6 5 3 23" xfId="15288"/>
    <cellStyle name="40% - Accent6 5 3 23 2" xfId="38063"/>
    <cellStyle name="40% - Accent6 5 3 24" xfId="15944"/>
    <cellStyle name="40% - Accent6 5 3 24 2" xfId="38719"/>
    <cellStyle name="40% - Accent6 5 3 25" xfId="16600"/>
    <cellStyle name="40% - Accent6 5 3 25 2" xfId="39375"/>
    <cellStyle name="40% - Accent6 5 3 26" xfId="17256"/>
    <cellStyle name="40% - Accent6 5 3 26 2" xfId="40031"/>
    <cellStyle name="40% - Accent6 5 3 27" xfId="17912"/>
    <cellStyle name="40% - Accent6 5 3 27 2" xfId="40687"/>
    <cellStyle name="40% - Accent6 5 3 28" xfId="18568"/>
    <cellStyle name="40% - Accent6 5 3 28 2" xfId="41343"/>
    <cellStyle name="40% - Accent6 5 3 29" xfId="19224"/>
    <cellStyle name="40% - Accent6 5 3 29 2" xfId="41999"/>
    <cellStyle name="40% - Accent6 5 3 3" xfId="1184"/>
    <cellStyle name="40% - Accent6 5 3 3 2" xfId="2824"/>
    <cellStyle name="40% - Accent6 5 3 3 2 2" xfId="25599"/>
    <cellStyle name="40% - Accent6 5 3 3 3" xfId="23959"/>
    <cellStyle name="40% - Accent6 5 3 30" xfId="19880"/>
    <cellStyle name="40% - Accent6 5 3 30 2" xfId="42655"/>
    <cellStyle name="40% - Accent6 5 3 31" xfId="20536"/>
    <cellStyle name="40% - Accent6 5 3 31 2" xfId="43311"/>
    <cellStyle name="40% - Accent6 5 3 32" xfId="21192"/>
    <cellStyle name="40% - Accent6 5 3 32 2" xfId="43967"/>
    <cellStyle name="40% - Accent6 5 3 33" xfId="21848"/>
    <cellStyle name="40% - Accent6 5 3 33 2" xfId="44623"/>
    <cellStyle name="40% - Accent6 5 3 34" xfId="22504"/>
    <cellStyle name="40% - Accent6 5 3 34 2" xfId="45279"/>
    <cellStyle name="40% - Accent6 5 3 35" xfId="23303"/>
    <cellStyle name="40% - Accent6 5 3 4" xfId="1840"/>
    <cellStyle name="40% - Accent6 5 3 4 2" xfId="3480"/>
    <cellStyle name="40% - Accent6 5 3 4 2 2" xfId="26255"/>
    <cellStyle name="40% - Accent6 5 3 4 3" xfId="24615"/>
    <cellStyle name="40% - Accent6 5 3 5" xfId="4136"/>
    <cellStyle name="40% - Accent6 5 3 5 2" xfId="26911"/>
    <cellStyle name="40% - Accent6 5 3 6" xfId="4792"/>
    <cellStyle name="40% - Accent6 5 3 6 2" xfId="27567"/>
    <cellStyle name="40% - Accent6 5 3 7" xfId="5448"/>
    <cellStyle name="40% - Accent6 5 3 7 2" xfId="28223"/>
    <cellStyle name="40% - Accent6 5 3 8" xfId="6104"/>
    <cellStyle name="40% - Accent6 5 3 8 2" xfId="28879"/>
    <cellStyle name="40% - Accent6 5 3 9" xfId="2496"/>
    <cellStyle name="40% - Accent6 5 3 9 2" xfId="25271"/>
    <cellStyle name="40% - Accent6 5 30" xfId="18383"/>
    <cellStyle name="40% - Accent6 5 30 2" xfId="41158"/>
    <cellStyle name="40% - Accent6 5 31" xfId="19039"/>
    <cellStyle name="40% - Accent6 5 31 2" xfId="41814"/>
    <cellStyle name="40% - Accent6 5 32" xfId="19695"/>
    <cellStyle name="40% - Accent6 5 32 2" xfId="42470"/>
    <cellStyle name="40% - Accent6 5 33" xfId="20351"/>
    <cellStyle name="40% - Accent6 5 33 2" xfId="43126"/>
    <cellStyle name="40% - Accent6 5 34" xfId="21007"/>
    <cellStyle name="40% - Accent6 5 34 2" xfId="43782"/>
    <cellStyle name="40% - Accent6 5 35" xfId="21663"/>
    <cellStyle name="40% - Accent6 5 35 2" xfId="44438"/>
    <cellStyle name="40% - Accent6 5 36" xfId="22319"/>
    <cellStyle name="40% - Accent6 5 36 2" xfId="45094"/>
    <cellStyle name="40% - Accent6 5 37" xfId="258"/>
    <cellStyle name="40% - Accent6 5 38" xfId="22975"/>
    <cellStyle name="40% - Accent6 5 4" xfId="671"/>
    <cellStyle name="40% - Accent6 5 4 10" xfId="8215"/>
    <cellStyle name="40% - Accent6 5 4 10 2" xfId="30990"/>
    <cellStyle name="40% - Accent6 5 4 11" xfId="8871"/>
    <cellStyle name="40% - Accent6 5 4 11 2" xfId="31646"/>
    <cellStyle name="40% - Accent6 5 4 12" xfId="9527"/>
    <cellStyle name="40% - Accent6 5 4 12 2" xfId="32302"/>
    <cellStyle name="40% - Accent6 5 4 13" xfId="10183"/>
    <cellStyle name="40% - Accent6 5 4 13 2" xfId="32958"/>
    <cellStyle name="40% - Accent6 5 4 14" xfId="10839"/>
    <cellStyle name="40% - Accent6 5 4 14 2" xfId="33614"/>
    <cellStyle name="40% - Accent6 5 4 15" xfId="11495"/>
    <cellStyle name="40% - Accent6 5 4 15 2" xfId="34270"/>
    <cellStyle name="40% - Accent6 5 4 16" xfId="12151"/>
    <cellStyle name="40% - Accent6 5 4 16 2" xfId="34926"/>
    <cellStyle name="40% - Accent6 5 4 17" xfId="12807"/>
    <cellStyle name="40% - Accent6 5 4 17 2" xfId="35582"/>
    <cellStyle name="40% - Accent6 5 4 18" xfId="13463"/>
    <cellStyle name="40% - Accent6 5 4 18 2" xfId="36238"/>
    <cellStyle name="40% - Accent6 5 4 19" xfId="14119"/>
    <cellStyle name="40% - Accent6 5 4 19 2" xfId="36894"/>
    <cellStyle name="40% - Accent6 5 4 2" xfId="1327"/>
    <cellStyle name="40% - Accent6 5 4 2 2" xfId="3623"/>
    <cellStyle name="40% - Accent6 5 4 2 2 2" xfId="26398"/>
    <cellStyle name="40% - Accent6 5 4 2 3" xfId="24102"/>
    <cellStyle name="40% - Accent6 5 4 20" xfId="14775"/>
    <cellStyle name="40% - Accent6 5 4 20 2" xfId="37550"/>
    <cellStyle name="40% - Accent6 5 4 21" xfId="15431"/>
    <cellStyle name="40% - Accent6 5 4 21 2" xfId="38206"/>
    <cellStyle name="40% - Accent6 5 4 22" xfId="16087"/>
    <cellStyle name="40% - Accent6 5 4 22 2" xfId="38862"/>
    <cellStyle name="40% - Accent6 5 4 23" xfId="16743"/>
    <cellStyle name="40% - Accent6 5 4 23 2" xfId="39518"/>
    <cellStyle name="40% - Accent6 5 4 24" xfId="17399"/>
    <cellStyle name="40% - Accent6 5 4 24 2" xfId="40174"/>
    <cellStyle name="40% - Accent6 5 4 25" xfId="18055"/>
    <cellStyle name="40% - Accent6 5 4 25 2" xfId="40830"/>
    <cellStyle name="40% - Accent6 5 4 26" xfId="18711"/>
    <cellStyle name="40% - Accent6 5 4 26 2" xfId="41486"/>
    <cellStyle name="40% - Accent6 5 4 27" xfId="19367"/>
    <cellStyle name="40% - Accent6 5 4 27 2" xfId="42142"/>
    <cellStyle name="40% - Accent6 5 4 28" xfId="20023"/>
    <cellStyle name="40% - Accent6 5 4 28 2" xfId="42798"/>
    <cellStyle name="40% - Accent6 5 4 29" xfId="20679"/>
    <cellStyle name="40% - Accent6 5 4 29 2" xfId="43454"/>
    <cellStyle name="40% - Accent6 5 4 3" xfId="1983"/>
    <cellStyle name="40% - Accent6 5 4 3 2" xfId="4279"/>
    <cellStyle name="40% - Accent6 5 4 3 2 2" xfId="27054"/>
    <cellStyle name="40% - Accent6 5 4 3 3" xfId="24758"/>
    <cellStyle name="40% - Accent6 5 4 30" xfId="21335"/>
    <cellStyle name="40% - Accent6 5 4 30 2" xfId="44110"/>
    <cellStyle name="40% - Accent6 5 4 31" xfId="21991"/>
    <cellStyle name="40% - Accent6 5 4 31 2" xfId="44766"/>
    <cellStyle name="40% - Accent6 5 4 32" xfId="22647"/>
    <cellStyle name="40% - Accent6 5 4 32 2" xfId="45422"/>
    <cellStyle name="40% - Accent6 5 4 33" xfId="23446"/>
    <cellStyle name="40% - Accent6 5 4 4" xfId="4935"/>
    <cellStyle name="40% - Accent6 5 4 4 2" xfId="27710"/>
    <cellStyle name="40% - Accent6 5 4 5" xfId="5591"/>
    <cellStyle name="40% - Accent6 5 4 5 2" xfId="28366"/>
    <cellStyle name="40% - Accent6 5 4 6" xfId="6247"/>
    <cellStyle name="40% - Accent6 5 4 6 2" xfId="29022"/>
    <cellStyle name="40% - Accent6 5 4 7" xfId="2967"/>
    <cellStyle name="40% - Accent6 5 4 7 2" xfId="25742"/>
    <cellStyle name="40% - Accent6 5 4 8" xfId="6903"/>
    <cellStyle name="40% - Accent6 5 4 8 2" xfId="29678"/>
    <cellStyle name="40% - Accent6 5 4 9" xfId="7559"/>
    <cellStyle name="40% - Accent6 5 4 9 2" xfId="30334"/>
    <cellStyle name="40% - Accent6 5 5" xfId="344"/>
    <cellStyle name="40% - Accent6 5 5 2" xfId="2639"/>
    <cellStyle name="40% - Accent6 5 5 2 2" xfId="25414"/>
    <cellStyle name="40% - Accent6 5 5 3" xfId="23118"/>
    <cellStyle name="40% - Accent6 5 6" xfId="999"/>
    <cellStyle name="40% - Accent6 5 6 2" xfId="3295"/>
    <cellStyle name="40% - Accent6 5 6 2 2" xfId="26070"/>
    <cellStyle name="40% - Accent6 5 6 3" xfId="23774"/>
    <cellStyle name="40% - Accent6 5 7" xfId="1655"/>
    <cellStyle name="40% - Accent6 5 7 2" xfId="3951"/>
    <cellStyle name="40% - Accent6 5 7 2 2" xfId="26726"/>
    <cellStyle name="40% - Accent6 5 7 3" xfId="24430"/>
    <cellStyle name="40% - Accent6 5 8" xfId="4607"/>
    <cellStyle name="40% - Accent6 5 8 2" xfId="27382"/>
    <cellStyle name="40% - Accent6 5 9" xfId="5263"/>
    <cellStyle name="40% - Accent6 5 9 2" xfId="28038"/>
    <cellStyle name="40% - Accent6 6" xfId="126"/>
    <cellStyle name="40% - Accent6 6 10" xfId="2324"/>
    <cellStyle name="40% - Accent6 6 10 2" xfId="25099"/>
    <cellStyle name="40% - Accent6 6 11" xfId="6588"/>
    <cellStyle name="40% - Accent6 6 11 2" xfId="29363"/>
    <cellStyle name="40% - Accent6 6 12" xfId="7244"/>
    <cellStyle name="40% - Accent6 6 12 2" xfId="30019"/>
    <cellStyle name="40% - Accent6 6 13" xfId="7900"/>
    <cellStyle name="40% - Accent6 6 13 2" xfId="30675"/>
    <cellStyle name="40% - Accent6 6 14" xfId="8556"/>
    <cellStyle name="40% - Accent6 6 14 2" xfId="31331"/>
    <cellStyle name="40% - Accent6 6 15" xfId="9212"/>
    <cellStyle name="40% - Accent6 6 15 2" xfId="31987"/>
    <cellStyle name="40% - Accent6 6 16" xfId="9868"/>
    <cellStyle name="40% - Accent6 6 16 2" xfId="32643"/>
    <cellStyle name="40% - Accent6 6 17" xfId="10524"/>
    <cellStyle name="40% - Accent6 6 17 2" xfId="33299"/>
    <cellStyle name="40% - Accent6 6 18" xfId="11180"/>
    <cellStyle name="40% - Accent6 6 18 2" xfId="33955"/>
    <cellStyle name="40% - Accent6 6 19" xfId="11836"/>
    <cellStyle name="40% - Accent6 6 19 2" xfId="34611"/>
    <cellStyle name="40% - Accent6 6 2" xfId="540"/>
    <cellStyle name="40% - Accent6 6 2 10" xfId="6773"/>
    <cellStyle name="40% - Accent6 6 2 10 2" xfId="29548"/>
    <cellStyle name="40% - Accent6 6 2 11" xfId="7429"/>
    <cellStyle name="40% - Accent6 6 2 11 2" xfId="30204"/>
    <cellStyle name="40% - Accent6 6 2 12" xfId="8085"/>
    <cellStyle name="40% - Accent6 6 2 12 2" xfId="30860"/>
    <cellStyle name="40% - Accent6 6 2 13" xfId="8741"/>
    <cellStyle name="40% - Accent6 6 2 13 2" xfId="31516"/>
    <cellStyle name="40% - Accent6 6 2 14" xfId="9397"/>
    <cellStyle name="40% - Accent6 6 2 14 2" xfId="32172"/>
    <cellStyle name="40% - Accent6 6 2 15" xfId="10053"/>
    <cellStyle name="40% - Accent6 6 2 15 2" xfId="32828"/>
    <cellStyle name="40% - Accent6 6 2 16" xfId="10709"/>
    <cellStyle name="40% - Accent6 6 2 16 2" xfId="33484"/>
    <cellStyle name="40% - Accent6 6 2 17" xfId="11365"/>
    <cellStyle name="40% - Accent6 6 2 17 2" xfId="34140"/>
    <cellStyle name="40% - Accent6 6 2 18" xfId="12021"/>
    <cellStyle name="40% - Accent6 6 2 18 2" xfId="34796"/>
    <cellStyle name="40% - Accent6 6 2 19" xfId="12677"/>
    <cellStyle name="40% - Accent6 6 2 19 2" xfId="35452"/>
    <cellStyle name="40% - Accent6 6 2 2" xfId="869"/>
    <cellStyle name="40% - Accent6 6 2 2 10" xfId="8413"/>
    <cellStyle name="40% - Accent6 6 2 2 10 2" xfId="31188"/>
    <cellStyle name="40% - Accent6 6 2 2 11" xfId="9069"/>
    <cellStyle name="40% - Accent6 6 2 2 11 2" xfId="31844"/>
    <cellStyle name="40% - Accent6 6 2 2 12" xfId="9725"/>
    <cellStyle name="40% - Accent6 6 2 2 12 2" xfId="32500"/>
    <cellStyle name="40% - Accent6 6 2 2 13" xfId="10381"/>
    <cellStyle name="40% - Accent6 6 2 2 13 2" xfId="33156"/>
    <cellStyle name="40% - Accent6 6 2 2 14" xfId="11037"/>
    <cellStyle name="40% - Accent6 6 2 2 14 2" xfId="33812"/>
    <cellStyle name="40% - Accent6 6 2 2 15" xfId="11693"/>
    <cellStyle name="40% - Accent6 6 2 2 15 2" xfId="34468"/>
    <cellStyle name="40% - Accent6 6 2 2 16" xfId="12349"/>
    <cellStyle name="40% - Accent6 6 2 2 16 2" xfId="35124"/>
    <cellStyle name="40% - Accent6 6 2 2 17" xfId="13005"/>
    <cellStyle name="40% - Accent6 6 2 2 17 2" xfId="35780"/>
    <cellStyle name="40% - Accent6 6 2 2 18" xfId="13661"/>
    <cellStyle name="40% - Accent6 6 2 2 18 2" xfId="36436"/>
    <cellStyle name="40% - Accent6 6 2 2 19" xfId="14317"/>
    <cellStyle name="40% - Accent6 6 2 2 19 2" xfId="37092"/>
    <cellStyle name="40% - Accent6 6 2 2 2" xfId="1525"/>
    <cellStyle name="40% - Accent6 6 2 2 2 2" xfId="3821"/>
    <cellStyle name="40% - Accent6 6 2 2 2 2 2" xfId="26596"/>
    <cellStyle name="40% - Accent6 6 2 2 2 3" xfId="24300"/>
    <cellStyle name="40% - Accent6 6 2 2 20" xfId="14973"/>
    <cellStyle name="40% - Accent6 6 2 2 20 2" xfId="37748"/>
    <cellStyle name="40% - Accent6 6 2 2 21" xfId="15629"/>
    <cellStyle name="40% - Accent6 6 2 2 21 2" xfId="38404"/>
    <cellStyle name="40% - Accent6 6 2 2 22" xfId="16285"/>
    <cellStyle name="40% - Accent6 6 2 2 22 2" xfId="39060"/>
    <cellStyle name="40% - Accent6 6 2 2 23" xfId="16941"/>
    <cellStyle name="40% - Accent6 6 2 2 23 2" xfId="39716"/>
    <cellStyle name="40% - Accent6 6 2 2 24" xfId="17597"/>
    <cellStyle name="40% - Accent6 6 2 2 24 2" xfId="40372"/>
    <cellStyle name="40% - Accent6 6 2 2 25" xfId="18253"/>
    <cellStyle name="40% - Accent6 6 2 2 25 2" xfId="41028"/>
    <cellStyle name="40% - Accent6 6 2 2 26" xfId="18909"/>
    <cellStyle name="40% - Accent6 6 2 2 26 2" xfId="41684"/>
    <cellStyle name="40% - Accent6 6 2 2 27" xfId="19565"/>
    <cellStyle name="40% - Accent6 6 2 2 27 2" xfId="42340"/>
    <cellStyle name="40% - Accent6 6 2 2 28" xfId="20221"/>
    <cellStyle name="40% - Accent6 6 2 2 28 2" xfId="42996"/>
    <cellStyle name="40% - Accent6 6 2 2 29" xfId="20877"/>
    <cellStyle name="40% - Accent6 6 2 2 29 2" xfId="43652"/>
    <cellStyle name="40% - Accent6 6 2 2 3" xfId="2181"/>
    <cellStyle name="40% - Accent6 6 2 2 3 2" xfId="4477"/>
    <cellStyle name="40% - Accent6 6 2 2 3 2 2" xfId="27252"/>
    <cellStyle name="40% - Accent6 6 2 2 3 3" xfId="24956"/>
    <cellStyle name="40% - Accent6 6 2 2 30" xfId="21533"/>
    <cellStyle name="40% - Accent6 6 2 2 30 2" xfId="44308"/>
    <cellStyle name="40% - Accent6 6 2 2 31" xfId="22189"/>
    <cellStyle name="40% - Accent6 6 2 2 31 2" xfId="44964"/>
    <cellStyle name="40% - Accent6 6 2 2 32" xfId="22845"/>
    <cellStyle name="40% - Accent6 6 2 2 32 2" xfId="45620"/>
    <cellStyle name="40% - Accent6 6 2 2 33" xfId="23644"/>
    <cellStyle name="40% - Accent6 6 2 2 4" xfId="5133"/>
    <cellStyle name="40% - Accent6 6 2 2 4 2" xfId="27908"/>
    <cellStyle name="40% - Accent6 6 2 2 5" xfId="5789"/>
    <cellStyle name="40% - Accent6 6 2 2 5 2" xfId="28564"/>
    <cellStyle name="40% - Accent6 6 2 2 6" xfId="6445"/>
    <cellStyle name="40% - Accent6 6 2 2 6 2" xfId="29220"/>
    <cellStyle name="40% - Accent6 6 2 2 7" xfId="3165"/>
    <cellStyle name="40% - Accent6 6 2 2 7 2" xfId="25940"/>
    <cellStyle name="40% - Accent6 6 2 2 8" xfId="7101"/>
    <cellStyle name="40% - Accent6 6 2 2 8 2" xfId="29876"/>
    <cellStyle name="40% - Accent6 6 2 2 9" xfId="7757"/>
    <cellStyle name="40% - Accent6 6 2 2 9 2" xfId="30532"/>
    <cellStyle name="40% - Accent6 6 2 20" xfId="13333"/>
    <cellStyle name="40% - Accent6 6 2 20 2" xfId="36108"/>
    <cellStyle name="40% - Accent6 6 2 21" xfId="13989"/>
    <cellStyle name="40% - Accent6 6 2 21 2" xfId="36764"/>
    <cellStyle name="40% - Accent6 6 2 22" xfId="14645"/>
    <cellStyle name="40% - Accent6 6 2 22 2" xfId="37420"/>
    <cellStyle name="40% - Accent6 6 2 23" xfId="15301"/>
    <cellStyle name="40% - Accent6 6 2 23 2" xfId="38076"/>
    <cellStyle name="40% - Accent6 6 2 24" xfId="15957"/>
    <cellStyle name="40% - Accent6 6 2 24 2" xfId="38732"/>
    <cellStyle name="40% - Accent6 6 2 25" xfId="16613"/>
    <cellStyle name="40% - Accent6 6 2 25 2" xfId="39388"/>
    <cellStyle name="40% - Accent6 6 2 26" xfId="17269"/>
    <cellStyle name="40% - Accent6 6 2 26 2" xfId="40044"/>
    <cellStyle name="40% - Accent6 6 2 27" xfId="17925"/>
    <cellStyle name="40% - Accent6 6 2 27 2" xfId="40700"/>
    <cellStyle name="40% - Accent6 6 2 28" xfId="18581"/>
    <cellStyle name="40% - Accent6 6 2 28 2" xfId="41356"/>
    <cellStyle name="40% - Accent6 6 2 29" xfId="19237"/>
    <cellStyle name="40% - Accent6 6 2 29 2" xfId="42012"/>
    <cellStyle name="40% - Accent6 6 2 3" xfId="1197"/>
    <cellStyle name="40% - Accent6 6 2 3 2" xfId="2837"/>
    <cellStyle name="40% - Accent6 6 2 3 2 2" xfId="25612"/>
    <cellStyle name="40% - Accent6 6 2 3 3" xfId="23972"/>
    <cellStyle name="40% - Accent6 6 2 30" xfId="19893"/>
    <cellStyle name="40% - Accent6 6 2 30 2" xfId="42668"/>
    <cellStyle name="40% - Accent6 6 2 31" xfId="20549"/>
    <cellStyle name="40% - Accent6 6 2 31 2" xfId="43324"/>
    <cellStyle name="40% - Accent6 6 2 32" xfId="21205"/>
    <cellStyle name="40% - Accent6 6 2 32 2" xfId="43980"/>
    <cellStyle name="40% - Accent6 6 2 33" xfId="21861"/>
    <cellStyle name="40% - Accent6 6 2 33 2" xfId="44636"/>
    <cellStyle name="40% - Accent6 6 2 34" xfId="22517"/>
    <cellStyle name="40% - Accent6 6 2 34 2" xfId="45292"/>
    <cellStyle name="40% - Accent6 6 2 35" xfId="23316"/>
    <cellStyle name="40% - Accent6 6 2 4" xfId="1853"/>
    <cellStyle name="40% - Accent6 6 2 4 2" xfId="3493"/>
    <cellStyle name="40% - Accent6 6 2 4 2 2" xfId="26268"/>
    <cellStyle name="40% - Accent6 6 2 4 3" xfId="24628"/>
    <cellStyle name="40% - Accent6 6 2 5" xfId="4149"/>
    <cellStyle name="40% - Accent6 6 2 5 2" xfId="26924"/>
    <cellStyle name="40% - Accent6 6 2 6" xfId="4805"/>
    <cellStyle name="40% - Accent6 6 2 6 2" xfId="27580"/>
    <cellStyle name="40% - Accent6 6 2 7" xfId="5461"/>
    <cellStyle name="40% - Accent6 6 2 7 2" xfId="28236"/>
    <cellStyle name="40% - Accent6 6 2 8" xfId="6117"/>
    <cellStyle name="40% - Accent6 6 2 8 2" xfId="28892"/>
    <cellStyle name="40% - Accent6 6 2 9" xfId="2509"/>
    <cellStyle name="40% - Accent6 6 2 9 2" xfId="25284"/>
    <cellStyle name="40% - Accent6 6 20" xfId="12492"/>
    <cellStyle name="40% - Accent6 6 20 2" xfId="35267"/>
    <cellStyle name="40% - Accent6 6 21" xfId="13148"/>
    <cellStyle name="40% - Accent6 6 21 2" xfId="35923"/>
    <cellStyle name="40% - Accent6 6 22" xfId="13804"/>
    <cellStyle name="40% - Accent6 6 22 2" xfId="36579"/>
    <cellStyle name="40% - Accent6 6 23" xfId="14460"/>
    <cellStyle name="40% - Accent6 6 23 2" xfId="37235"/>
    <cellStyle name="40% - Accent6 6 24" xfId="15116"/>
    <cellStyle name="40% - Accent6 6 24 2" xfId="37891"/>
    <cellStyle name="40% - Accent6 6 25" xfId="15772"/>
    <cellStyle name="40% - Accent6 6 25 2" xfId="38547"/>
    <cellStyle name="40% - Accent6 6 26" xfId="16428"/>
    <cellStyle name="40% - Accent6 6 26 2" xfId="39203"/>
    <cellStyle name="40% - Accent6 6 27" xfId="17084"/>
    <cellStyle name="40% - Accent6 6 27 2" xfId="39859"/>
    <cellStyle name="40% - Accent6 6 28" xfId="17740"/>
    <cellStyle name="40% - Accent6 6 28 2" xfId="40515"/>
    <cellStyle name="40% - Accent6 6 29" xfId="18396"/>
    <cellStyle name="40% - Accent6 6 29 2" xfId="41171"/>
    <cellStyle name="40% - Accent6 6 3" xfId="684"/>
    <cellStyle name="40% - Accent6 6 3 10" xfId="8228"/>
    <cellStyle name="40% - Accent6 6 3 10 2" xfId="31003"/>
    <cellStyle name="40% - Accent6 6 3 11" xfId="8884"/>
    <cellStyle name="40% - Accent6 6 3 11 2" xfId="31659"/>
    <cellStyle name="40% - Accent6 6 3 12" xfId="9540"/>
    <cellStyle name="40% - Accent6 6 3 12 2" xfId="32315"/>
    <cellStyle name="40% - Accent6 6 3 13" xfId="10196"/>
    <cellStyle name="40% - Accent6 6 3 13 2" xfId="32971"/>
    <cellStyle name="40% - Accent6 6 3 14" xfId="10852"/>
    <cellStyle name="40% - Accent6 6 3 14 2" xfId="33627"/>
    <cellStyle name="40% - Accent6 6 3 15" xfId="11508"/>
    <cellStyle name="40% - Accent6 6 3 15 2" xfId="34283"/>
    <cellStyle name="40% - Accent6 6 3 16" xfId="12164"/>
    <cellStyle name="40% - Accent6 6 3 16 2" xfId="34939"/>
    <cellStyle name="40% - Accent6 6 3 17" xfId="12820"/>
    <cellStyle name="40% - Accent6 6 3 17 2" xfId="35595"/>
    <cellStyle name="40% - Accent6 6 3 18" xfId="13476"/>
    <cellStyle name="40% - Accent6 6 3 18 2" xfId="36251"/>
    <cellStyle name="40% - Accent6 6 3 19" xfId="14132"/>
    <cellStyle name="40% - Accent6 6 3 19 2" xfId="36907"/>
    <cellStyle name="40% - Accent6 6 3 2" xfId="1340"/>
    <cellStyle name="40% - Accent6 6 3 2 2" xfId="3636"/>
    <cellStyle name="40% - Accent6 6 3 2 2 2" xfId="26411"/>
    <cellStyle name="40% - Accent6 6 3 2 3" xfId="24115"/>
    <cellStyle name="40% - Accent6 6 3 20" xfId="14788"/>
    <cellStyle name="40% - Accent6 6 3 20 2" xfId="37563"/>
    <cellStyle name="40% - Accent6 6 3 21" xfId="15444"/>
    <cellStyle name="40% - Accent6 6 3 21 2" xfId="38219"/>
    <cellStyle name="40% - Accent6 6 3 22" xfId="16100"/>
    <cellStyle name="40% - Accent6 6 3 22 2" xfId="38875"/>
    <cellStyle name="40% - Accent6 6 3 23" xfId="16756"/>
    <cellStyle name="40% - Accent6 6 3 23 2" xfId="39531"/>
    <cellStyle name="40% - Accent6 6 3 24" xfId="17412"/>
    <cellStyle name="40% - Accent6 6 3 24 2" xfId="40187"/>
    <cellStyle name="40% - Accent6 6 3 25" xfId="18068"/>
    <cellStyle name="40% - Accent6 6 3 25 2" xfId="40843"/>
    <cellStyle name="40% - Accent6 6 3 26" xfId="18724"/>
    <cellStyle name="40% - Accent6 6 3 26 2" xfId="41499"/>
    <cellStyle name="40% - Accent6 6 3 27" xfId="19380"/>
    <cellStyle name="40% - Accent6 6 3 27 2" xfId="42155"/>
    <cellStyle name="40% - Accent6 6 3 28" xfId="20036"/>
    <cellStyle name="40% - Accent6 6 3 28 2" xfId="42811"/>
    <cellStyle name="40% - Accent6 6 3 29" xfId="20692"/>
    <cellStyle name="40% - Accent6 6 3 29 2" xfId="43467"/>
    <cellStyle name="40% - Accent6 6 3 3" xfId="1996"/>
    <cellStyle name="40% - Accent6 6 3 3 2" xfId="4292"/>
    <cellStyle name="40% - Accent6 6 3 3 2 2" xfId="27067"/>
    <cellStyle name="40% - Accent6 6 3 3 3" xfId="24771"/>
    <cellStyle name="40% - Accent6 6 3 30" xfId="21348"/>
    <cellStyle name="40% - Accent6 6 3 30 2" xfId="44123"/>
    <cellStyle name="40% - Accent6 6 3 31" xfId="22004"/>
    <cellStyle name="40% - Accent6 6 3 31 2" xfId="44779"/>
    <cellStyle name="40% - Accent6 6 3 32" xfId="22660"/>
    <cellStyle name="40% - Accent6 6 3 32 2" xfId="45435"/>
    <cellStyle name="40% - Accent6 6 3 33" xfId="23459"/>
    <cellStyle name="40% - Accent6 6 3 4" xfId="4948"/>
    <cellStyle name="40% - Accent6 6 3 4 2" xfId="27723"/>
    <cellStyle name="40% - Accent6 6 3 5" xfId="5604"/>
    <cellStyle name="40% - Accent6 6 3 5 2" xfId="28379"/>
    <cellStyle name="40% - Accent6 6 3 6" xfId="6260"/>
    <cellStyle name="40% - Accent6 6 3 6 2" xfId="29035"/>
    <cellStyle name="40% - Accent6 6 3 7" xfId="2980"/>
    <cellStyle name="40% - Accent6 6 3 7 2" xfId="25755"/>
    <cellStyle name="40% - Accent6 6 3 8" xfId="6916"/>
    <cellStyle name="40% - Accent6 6 3 8 2" xfId="29691"/>
    <cellStyle name="40% - Accent6 6 3 9" xfId="7572"/>
    <cellStyle name="40% - Accent6 6 3 9 2" xfId="30347"/>
    <cellStyle name="40% - Accent6 6 30" xfId="19052"/>
    <cellStyle name="40% - Accent6 6 30 2" xfId="41827"/>
    <cellStyle name="40% - Accent6 6 31" xfId="19708"/>
    <cellStyle name="40% - Accent6 6 31 2" xfId="42483"/>
    <cellStyle name="40% - Accent6 6 32" xfId="20364"/>
    <cellStyle name="40% - Accent6 6 32 2" xfId="43139"/>
    <cellStyle name="40% - Accent6 6 33" xfId="21020"/>
    <cellStyle name="40% - Accent6 6 33 2" xfId="43795"/>
    <cellStyle name="40% - Accent6 6 34" xfId="21676"/>
    <cellStyle name="40% - Accent6 6 34 2" xfId="44451"/>
    <cellStyle name="40% - Accent6 6 35" xfId="22332"/>
    <cellStyle name="40% - Accent6 6 35 2" xfId="45107"/>
    <cellStyle name="40% - Accent6 6 36" xfId="271"/>
    <cellStyle name="40% - Accent6 6 37" xfId="22988"/>
    <cellStyle name="40% - Accent6 6 4" xfId="357"/>
    <cellStyle name="40% - Accent6 6 4 2" xfId="2652"/>
    <cellStyle name="40% - Accent6 6 4 2 2" xfId="25427"/>
    <cellStyle name="40% - Accent6 6 4 3" xfId="23131"/>
    <cellStyle name="40% - Accent6 6 5" xfId="1012"/>
    <cellStyle name="40% - Accent6 6 5 2" xfId="3308"/>
    <cellStyle name="40% - Accent6 6 5 2 2" xfId="26083"/>
    <cellStyle name="40% - Accent6 6 5 3" xfId="23787"/>
    <cellStyle name="40% - Accent6 6 6" xfId="1668"/>
    <cellStyle name="40% - Accent6 6 6 2" xfId="3964"/>
    <cellStyle name="40% - Accent6 6 6 2 2" xfId="26739"/>
    <cellStyle name="40% - Accent6 6 6 3" xfId="24443"/>
    <cellStyle name="40% - Accent6 6 7" xfId="4620"/>
    <cellStyle name="40% - Accent6 6 7 2" xfId="27395"/>
    <cellStyle name="40% - Accent6 6 8" xfId="5276"/>
    <cellStyle name="40% - Accent6 6 8 2" xfId="28051"/>
    <cellStyle name="40% - Accent6 6 9" xfId="5932"/>
    <cellStyle name="40% - Accent6 6 9 2" xfId="28707"/>
    <cellStyle name="40% - Accent6 7" xfId="430"/>
    <cellStyle name="40% - Accent6 7 10" xfId="6661"/>
    <cellStyle name="40% - Accent6 7 10 2" xfId="29436"/>
    <cellStyle name="40% - Accent6 7 11" xfId="7317"/>
    <cellStyle name="40% - Accent6 7 11 2" xfId="30092"/>
    <cellStyle name="40% - Accent6 7 12" xfId="7973"/>
    <cellStyle name="40% - Accent6 7 12 2" xfId="30748"/>
    <cellStyle name="40% - Accent6 7 13" xfId="8629"/>
    <cellStyle name="40% - Accent6 7 13 2" xfId="31404"/>
    <cellStyle name="40% - Accent6 7 14" xfId="9285"/>
    <cellStyle name="40% - Accent6 7 14 2" xfId="32060"/>
    <cellStyle name="40% - Accent6 7 15" xfId="9941"/>
    <cellStyle name="40% - Accent6 7 15 2" xfId="32716"/>
    <cellStyle name="40% - Accent6 7 16" xfId="10597"/>
    <cellStyle name="40% - Accent6 7 16 2" xfId="33372"/>
    <cellStyle name="40% - Accent6 7 17" xfId="11253"/>
    <cellStyle name="40% - Accent6 7 17 2" xfId="34028"/>
    <cellStyle name="40% - Accent6 7 18" xfId="11909"/>
    <cellStyle name="40% - Accent6 7 18 2" xfId="34684"/>
    <cellStyle name="40% - Accent6 7 19" xfId="12565"/>
    <cellStyle name="40% - Accent6 7 19 2" xfId="35340"/>
    <cellStyle name="40% - Accent6 7 2" xfId="757"/>
    <cellStyle name="40% - Accent6 7 2 10" xfId="8301"/>
    <cellStyle name="40% - Accent6 7 2 10 2" xfId="31076"/>
    <cellStyle name="40% - Accent6 7 2 11" xfId="8957"/>
    <cellStyle name="40% - Accent6 7 2 11 2" xfId="31732"/>
    <cellStyle name="40% - Accent6 7 2 12" xfId="9613"/>
    <cellStyle name="40% - Accent6 7 2 12 2" xfId="32388"/>
    <cellStyle name="40% - Accent6 7 2 13" xfId="10269"/>
    <cellStyle name="40% - Accent6 7 2 13 2" xfId="33044"/>
    <cellStyle name="40% - Accent6 7 2 14" xfId="10925"/>
    <cellStyle name="40% - Accent6 7 2 14 2" xfId="33700"/>
    <cellStyle name="40% - Accent6 7 2 15" xfId="11581"/>
    <cellStyle name="40% - Accent6 7 2 15 2" xfId="34356"/>
    <cellStyle name="40% - Accent6 7 2 16" xfId="12237"/>
    <cellStyle name="40% - Accent6 7 2 16 2" xfId="35012"/>
    <cellStyle name="40% - Accent6 7 2 17" xfId="12893"/>
    <cellStyle name="40% - Accent6 7 2 17 2" xfId="35668"/>
    <cellStyle name="40% - Accent6 7 2 18" xfId="13549"/>
    <cellStyle name="40% - Accent6 7 2 18 2" xfId="36324"/>
    <cellStyle name="40% - Accent6 7 2 19" xfId="14205"/>
    <cellStyle name="40% - Accent6 7 2 19 2" xfId="36980"/>
    <cellStyle name="40% - Accent6 7 2 2" xfId="1413"/>
    <cellStyle name="40% - Accent6 7 2 2 2" xfId="3709"/>
    <cellStyle name="40% - Accent6 7 2 2 2 2" xfId="26484"/>
    <cellStyle name="40% - Accent6 7 2 2 3" xfId="24188"/>
    <cellStyle name="40% - Accent6 7 2 20" xfId="14861"/>
    <cellStyle name="40% - Accent6 7 2 20 2" xfId="37636"/>
    <cellStyle name="40% - Accent6 7 2 21" xfId="15517"/>
    <cellStyle name="40% - Accent6 7 2 21 2" xfId="38292"/>
    <cellStyle name="40% - Accent6 7 2 22" xfId="16173"/>
    <cellStyle name="40% - Accent6 7 2 22 2" xfId="38948"/>
    <cellStyle name="40% - Accent6 7 2 23" xfId="16829"/>
    <cellStyle name="40% - Accent6 7 2 23 2" xfId="39604"/>
    <cellStyle name="40% - Accent6 7 2 24" xfId="17485"/>
    <cellStyle name="40% - Accent6 7 2 24 2" xfId="40260"/>
    <cellStyle name="40% - Accent6 7 2 25" xfId="18141"/>
    <cellStyle name="40% - Accent6 7 2 25 2" xfId="40916"/>
    <cellStyle name="40% - Accent6 7 2 26" xfId="18797"/>
    <cellStyle name="40% - Accent6 7 2 26 2" xfId="41572"/>
    <cellStyle name="40% - Accent6 7 2 27" xfId="19453"/>
    <cellStyle name="40% - Accent6 7 2 27 2" xfId="42228"/>
    <cellStyle name="40% - Accent6 7 2 28" xfId="20109"/>
    <cellStyle name="40% - Accent6 7 2 28 2" xfId="42884"/>
    <cellStyle name="40% - Accent6 7 2 29" xfId="20765"/>
    <cellStyle name="40% - Accent6 7 2 29 2" xfId="43540"/>
    <cellStyle name="40% - Accent6 7 2 3" xfId="2069"/>
    <cellStyle name="40% - Accent6 7 2 3 2" xfId="4365"/>
    <cellStyle name="40% - Accent6 7 2 3 2 2" xfId="27140"/>
    <cellStyle name="40% - Accent6 7 2 3 3" xfId="24844"/>
    <cellStyle name="40% - Accent6 7 2 30" xfId="21421"/>
    <cellStyle name="40% - Accent6 7 2 30 2" xfId="44196"/>
    <cellStyle name="40% - Accent6 7 2 31" xfId="22077"/>
    <cellStyle name="40% - Accent6 7 2 31 2" xfId="44852"/>
    <cellStyle name="40% - Accent6 7 2 32" xfId="22733"/>
    <cellStyle name="40% - Accent6 7 2 32 2" xfId="45508"/>
    <cellStyle name="40% - Accent6 7 2 33" xfId="23532"/>
    <cellStyle name="40% - Accent6 7 2 4" xfId="5021"/>
    <cellStyle name="40% - Accent6 7 2 4 2" xfId="27796"/>
    <cellStyle name="40% - Accent6 7 2 5" xfId="5677"/>
    <cellStyle name="40% - Accent6 7 2 5 2" xfId="28452"/>
    <cellStyle name="40% - Accent6 7 2 6" xfId="6333"/>
    <cellStyle name="40% - Accent6 7 2 6 2" xfId="29108"/>
    <cellStyle name="40% - Accent6 7 2 7" xfId="3053"/>
    <cellStyle name="40% - Accent6 7 2 7 2" xfId="25828"/>
    <cellStyle name="40% - Accent6 7 2 8" xfId="6989"/>
    <cellStyle name="40% - Accent6 7 2 8 2" xfId="29764"/>
    <cellStyle name="40% - Accent6 7 2 9" xfId="7645"/>
    <cellStyle name="40% - Accent6 7 2 9 2" xfId="30420"/>
    <cellStyle name="40% - Accent6 7 20" xfId="13221"/>
    <cellStyle name="40% - Accent6 7 20 2" xfId="35996"/>
    <cellStyle name="40% - Accent6 7 21" xfId="13877"/>
    <cellStyle name="40% - Accent6 7 21 2" xfId="36652"/>
    <cellStyle name="40% - Accent6 7 22" xfId="14533"/>
    <cellStyle name="40% - Accent6 7 22 2" xfId="37308"/>
    <cellStyle name="40% - Accent6 7 23" xfId="15189"/>
    <cellStyle name="40% - Accent6 7 23 2" xfId="37964"/>
    <cellStyle name="40% - Accent6 7 24" xfId="15845"/>
    <cellStyle name="40% - Accent6 7 24 2" xfId="38620"/>
    <cellStyle name="40% - Accent6 7 25" xfId="16501"/>
    <cellStyle name="40% - Accent6 7 25 2" xfId="39276"/>
    <cellStyle name="40% - Accent6 7 26" xfId="17157"/>
    <cellStyle name="40% - Accent6 7 26 2" xfId="39932"/>
    <cellStyle name="40% - Accent6 7 27" xfId="17813"/>
    <cellStyle name="40% - Accent6 7 27 2" xfId="40588"/>
    <cellStyle name="40% - Accent6 7 28" xfId="18469"/>
    <cellStyle name="40% - Accent6 7 28 2" xfId="41244"/>
    <cellStyle name="40% - Accent6 7 29" xfId="19125"/>
    <cellStyle name="40% - Accent6 7 29 2" xfId="41900"/>
    <cellStyle name="40% - Accent6 7 3" xfId="1085"/>
    <cellStyle name="40% - Accent6 7 3 2" xfId="2725"/>
    <cellStyle name="40% - Accent6 7 3 2 2" xfId="25500"/>
    <cellStyle name="40% - Accent6 7 3 3" xfId="23860"/>
    <cellStyle name="40% - Accent6 7 30" xfId="19781"/>
    <cellStyle name="40% - Accent6 7 30 2" xfId="42556"/>
    <cellStyle name="40% - Accent6 7 31" xfId="20437"/>
    <cellStyle name="40% - Accent6 7 31 2" xfId="43212"/>
    <cellStyle name="40% - Accent6 7 32" xfId="21093"/>
    <cellStyle name="40% - Accent6 7 32 2" xfId="43868"/>
    <cellStyle name="40% - Accent6 7 33" xfId="21749"/>
    <cellStyle name="40% - Accent6 7 33 2" xfId="44524"/>
    <cellStyle name="40% - Accent6 7 34" xfId="22405"/>
    <cellStyle name="40% - Accent6 7 34 2" xfId="45180"/>
    <cellStyle name="40% - Accent6 7 35" xfId="23204"/>
    <cellStyle name="40% - Accent6 7 4" xfId="1741"/>
    <cellStyle name="40% - Accent6 7 4 2" xfId="3381"/>
    <cellStyle name="40% - Accent6 7 4 2 2" xfId="26156"/>
    <cellStyle name="40% - Accent6 7 4 3" xfId="24516"/>
    <cellStyle name="40% - Accent6 7 5" xfId="4037"/>
    <cellStyle name="40% - Accent6 7 5 2" xfId="26812"/>
    <cellStyle name="40% - Accent6 7 6" xfId="4693"/>
    <cellStyle name="40% - Accent6 7 6 2" xfId="27468"/>
    <cellStyle name="40% - Accent6 7 7" xfId="5349"/>
    <cellStyle name="40% - Accent6 7 7 2" xfId="28124"/>
    <cellStyle name="40% - Accent6 7 8" xfId="6005"/>
    <cellStyle name="40% - Accent6 7 8 2" xfId="28780"/>
    <cellStyle name="40% - Accent6 7 9" xfId="2397"/>
    <cellStyle name="40% - Accent6 7 9 2" xfId="25172"/>
    <cellStyle name="40% - Accent6 8" xfId="444"/>
    <cellStyle name="40% - Accent6 8 10" xfId="6675"/>
    <cellStyle name="40% - Accent6 8 10 2" xfId="29450"/>
    <cellStyle name="40% - Accent6 8 11" xfId="7331"/>
    <cellStyle name="40% - Accent6 8 11 2" xfId="30106"/>
    <cellStyle name="40% - Accent6 8 12" xfId="7987"/>
    <cellStyle name="40% - Accent6 8 12 2" xfId="30762"/>
    <cellStyle name="40% - Accent6 8 13" xfId="8643"/>
    <cellStyle name="40% - Accent6 8 13 2" xfId="31418"/>
    <cellStyle name="40% - Accent6 8 14" xfId="9299"/>
    <cellStyle name="40% - Accent6 8 14 2" xfId="32074"/>
    <cellStyle name="40% - Accent6 8 15" xfId="9955"/>
    <cellStyle name="40% - Accent6 8 15 2" xfId="32730"/>
    <cellStyle name="40% - Accent6 8 16" xfId="10611"/>
    <cellStyle name="40% - Accent6 8 16 2" xfId="33386"/>
    <cellStyle name="40% - Accent6 8 17" xfId="11267"/>
    <cellStyle name="40% - Accent6 8 17 2" xfId="34042"/>
    <cellStyle name="40% - Accent6 8 18" xfId="11923"/>
    <cellStyle name="40% - Accent6 8 18 2" xfId="34698"/>
    <cellStyle name="40% - Accent6 8 19" xfId="12579"/>
    <cellStyle name="40% - Accent6 8 19 2" xfId="35354"/>
    <cellStyle name="40% - Accent6 8 2" xfId="771"/>
    <cellStyle name="40% - Accent6 8 2 10" xfId="8315"/>
    <cellStyle name="40% - Accent6 8 2 10 2" xfId="31090"/>
    <cellStyle name="40% - Accent6 8 2 11" xfId="8971"/>
    <cellStyle name="40% - Accent6 8 2 11 2" xfId="31746"/>
    <cellStyle name="40% - Accent6 8 2 12" xfId="9627"/>
    <cellStyle name="40% - Accent6 8 2 12 2" xfId="32402"/>
    <cellStyle name="40% - Accent6 8 2 13" xfId="10283"/>
    <cellStyle name="40% - Accent6 8 2 13 2" xfId="33058"/>
    <cellStyle name="40% - Accent6 8 2 14" xfId="10939"/>
    <cellStyle name="40% - Accent6 8 2 14 2" xfId="33714"/>
    <cellStyle name="40% - Accent6 8 2 15" xfId="11595"/>
    <cellStyle name="40% - Accent6 8 2 15 2" xfId="34370"/>
    <cellStyle name="40% - Accent6 8 2 16" xfId="12251"/>
    <cellStyle name="40% - Accent6 8 2 16 2" xfId="35026"/>
    <cellStyle name="40% - Accent6 8 2 17" xfId="12907"/>
    <cellStyle name="40% - Accent6 8 2 17 2" xfId="35682"/>
    <cellStyle name="40% - Accent6 8 2 18" xfId="13563"/>
    <cellStyle name="40% - Accent6 8 2 18 2" xfId="36338"/>
    <cellStyle name="40% - Accent6 8 2 19" xfId="14219"/>
    <cellStyle name="40% - Accent6 8 2 19 2" xfId="36994"/>
    <cellStyle name="40% - Accent6 8 2 2" xfId="1427"/>
    <cellStyle name="40% - Accent6 8 2 2 2" xfId="3723"/>
    <cellStyle name="40% - Accent6 8 2 2 2 2" xfId="26498"/>
    <cellStyle name="40% - Accent6 8 2 2 3" xfId="24202"/>
    <cellStyle name="40% - Accent6 8 2 20" xfId="14875"/>
    <cellStyle name="40% - Accent6 8 2 20 2" xfId="37650"/>
    <cellStyle name="40% - Accent6 8 2 21" xfId="15531"/>
    <cellStyle name="40% - Accent6 8 2 21 2" xfId="38306"/>
    <cellStyle name="40% - Accent6 8 2 22" xfId="16187"/>
    <cellStyle name="40% - Accent6 8 2 22 2" xfId="38962"/>
    <cellStyle name="40% - Accent6 8 2 23" xfId="16843"/>
    <cellStyle name="40% - Accent6 8 2 23 2" xfId="39618"/>
    <cellStyle name="40% - Accent6 8 2 24" xfId="17499"/>
    <cellStyle name="40% - Accent6 8 2 24 2" xfId="40274"/>
    <cellStyle name="40% - Accent6 8 2 25" xfId="18155"/>
    <cellStyle name="40% - Accent6 8 2 25 2" xfId="40930"/>
    <cellStyle name="40% - Accent6 8 2 26" xfId="18811"/>
    <cellStyle name="40% - Accent6 8 2 26 2" xfId="41586"/>
    <cellStyle name="40% - Accent6 8 2 27" xfId="19467"/>
    <cellStyle name="40% - Accent6 8 2 27 2" xfId="42242"/>
    <cellStyle name="40% - Accent6 8 2 28" xfId="20123"/>
    <cellStyle name="40% - Accent6 8 2 28 2" xfId="42898"/>
    <cellStyle name="40% - Accent6 8 2 29" xfId="20779"/>
    <cellStyle name="40% - Accent6 8 2 29 2" xfId="43554"/>
    <cellStyle name="40% - Accent6 8 2 3" xfId="2083"/>
    <cellStyle name="40% - Accent6 8 2 3 2" xfId="4379"/>
    <cellStyle name="40% - Accent6 8 2 3 2 2" xfId="27154"/>
    <cellStyle name="40% - Accent6 8 2 3 3" xfId="24858"/>
    <cellStyle name="40% - Accent6 8 2 30" xfId="21435"/>
    <cellStyle name="40% - Accent6 8 2 30 2" xfId="44210"/>
    <cellStyle name="40% - Accent6 8 2 31" xfId="22091"/>
    <cellStyle name="40% - Accent6 8 2 31 2" xfId="44866"/>
    <cellStyle name="40% - Accent6 8 2 32" xfId="22747"/>
    <cellStyle name="40% - Accent6 8 2 32 2" xfId="45522"/>
    <cellStyle name="40% - Accent6 8 2 33" xfId="23546"/>
    <cellStyle name="40% - Accent6 8 2 4" xfId="5035"/>
    <cellStyle name="40% - Accent6 8 2 4 2" xfId="27810"/>
    <cellStyle name="40% - Accent6 8 2 5" xfId="5691"/>
    <cellStyle name="40% - Accent6 8 2 5 2" xfId="28466"/>
    <cellStyle name="40% - Accent6 8 2 6" xfId="6347"/>
    <cellStyle name="40% - Accent6 8 2 6 2" xfId="29122"/>
    <cellStyle name="40% - Accent6 8 2 7" xfId="3067"/>
    <cellStyle name="40% - Accent6 8 2 7 2" xfId="25842"/>
    <cellStyle name="40% - Accent6 8 2 8" xfId="7003"/>
    <cellStyle name="40% - Accent6 8 2 8 2" xfId="29778"/>
    <cellStyle name="40% - Accent6 8 2 9" xfId="7659"/>
    <cellStyle name="40% - Accent6 8 2 9 2" xfId="30434"/>
    <cellStyle name="40% - Accent6 8 20" xfId="13235"/>
    <cellStyle name="40% - Accent6 8 20 2" xfId="36010"/>
    <cellStyle name="40% - Accent6 8 21" xfId="13891"/>
    <cellStyle name="40% - Accent6 8 21 2" xfId="36666"/>
    <cellStyle name="40% - Accent6 8 22" xfId="14547"/>
    <cellStyle name="40% - Accent6 8 22 2" xfId="37322"/>
    <cellStyle name="40% - Accent6 8 23" xfId="15203"/>
    <cellStyle name="40% - Accent6 8 23 2" xfId="37978"/>
    <cellStyle name="40% - Accent6 8 24" xfId="15859"/>
    <cellStyle name="40% - Accent6 8 24 2" xfId="38634"/>
    <cellStyle name="40% - Accent6 8 25" xfId="16515"/>
    <cellStyle name="40% - Accent6 8 25 2" xfId="39290"/>
    <cellStyle name="40% - Accent6 8 26" xfId="17171"/>
    <cellStyle name="40% - Accent6 8 26 2" xfId="39946"/>
    <cellStyle name="40% - Accent6 8 27" xfId="17827"/>
    <cellStyle name="40% - Accent6 8 27 2" xfId="40602"/>
    <cellStyle name="40% - Accent6 8 28" xfId="18483"/>
    <cellStyle name="40% - Accent6 8 28 2" xfId="41258"/>
    <cellStyle name="40% - Accent6 8 29" xfId="19139"/>
    <cellStyle name="40% - Accent6 8 29 2" xfId="41914"/>
    <cellStyle name="40% - Accent6 8 3" xfId="1099"/>
    <cellStyle name="40% - Accent6 8 3 2" xfId="2739"/>
    <cellStyle name="40% - Accent6 8 3 2 2" xfId="25514"/>
    <cellStyle name="40% - Accent6 8 3 3" xfId="23874"/>
    <cellStyle name="40% - Accent6 8 30" xfId="19795"/>
    <cellStyle name="40% - Accent6 8 30 2" xfId="42570"/>
    <cellStyle name="40% - Accent6 8 31" xfId="20451"/>
    <cellStyle name="40% - Accent6 8 31 2" xfId="43226"/>
    <cellStyle name="40% - Accent6 8 32" xfId="21107"/>
    <cellStyle name="40% - Accent6 8 32 2" xfId="43882"/>
    <cellStyle name="40% - Accent6 8 33" xfId="21763"/>
    <cellStyle name="40% - Accent6 8 33 2" xfId="44538"/>
    <cellStyle name="40% - Accent6 8 34" xfId="22419"/>
    <cellStyle name="40% - Accent6 8 34 2" xfId="45194"/>
    <cellStyle name="40% - Accent6 8 35" xfId="23218"/>
    <cellStyle name="40% - Accent6 8 4" xfId="1755"/>
    <cellStyle name="40% - Accent6 8 4 2" xfId="3395"/>
    <cellStyle name="40% - Accent6 8 4 2 2" xfId="26170"/>
    <cellStyle name="40% - Accent6 8 4 3" xfId="24530"/>
    <cellStyle name="40% - Accent6 8 5" xfId="4051"/>
    <cellStyle name="40% - Accent6 8 5 2" xfId="26826"/>
    <cellStyle name="40% - Accent6 8 6" xfId="4707"/>
    <cellStyle name="40% - Accent6 8 6 2" xfId="27482"/>
    <cellStyle name="40% - Accent6 8 7" xfId="5363"/>
    <cellStyle name="40% - Accent6 8 7 2" xfId="28138"/>
    <cellStyle name="40% - Accent6 8 8" xfId="6019"/>
    <cellStyle name="40% - Accent6 8 8 2" xfId="28794"/>
    <cellStyle name="40% - Accent6 8 9" xfId="2411"/>
    <cellStyle name="40% - Accent6 8 9 2" xfId="25186"/>
    <cellStyle name="40% - Accent6 9" xfId="458"/>
    <cellStyle name="40% - Accent6 9 10" xfId="6689"/>
    <cellStyle name="40% - Accent6 9 10 2" xfId="29464"/>
    <cellStyle name="40% - Accent6 9 11" xfId="7345"/>
    <cellStyle name="40% - Accent6 9 11 2" xfId="30120"/>
    <cellStyle name="40% - Accent6 9 12" xfId="8001"/>
    <cellStyle name="40% - Accent6 9 12 2" xfId="30776"/>
    <cellStyle name="40% - Accent6 9 13" xfId="8657"/>
    <cellStyle name="40% - Accent6 9 13 2" xfId="31432"/>
    <cellStyle name="40% - Accent6 9 14" xfId="9313"/>
    <cellStyle name="40% - Accent6 9 14 2" xfId="32088"/>
    <cellStyle name="40% - Accent6 9 15" xfId="9969"/>
    <cellStyle name="40% - Accent6 9 15 2" xfId="32744"/>
    <cellStyle name="40% - Accent6 9 16" xfId="10625"/>
    <cellStyle name="40% - Accent6 9 16 2" xfId="33400"/>
    <cellStyle name="40% - Accent6 9 17" xfId="11281"/>
    <cellStyle name="40% - Accent6 9 17 2" xfId="34056"/>
    <cellStyle name="40% - Accent6 9 18" xfId="11937"/>
    <cellStyle name="40% - Accent6 9 18 2" xfId="34712"/>
    <cellStyle name="40% - Accent6 9 19" xfId="12593"/>
    <cellStyle name="40% - Accent6 9 19 2" xfId="35368"/>
    <cellStyle name="40% - Accent6 9 2" xfId="785"/>
    <cellStyle name="40% - Accent6 9 2 10" xfId="8329"/>
    <cellStyle name="40% - Accent6 9 2 10 2" xfId="31104"/>
    <cellStyle name="40% - Accent6 9 2 11" xfId="8985"/>
    <cellStyle name="40% - Accent6 9 2 11 2" xfId="31760"/>
    <cellStyle name="40% - Accent6 9 2 12" xfId="9641"/>
    <cellStyle name="40% - Accent6 9 2 12 2" xfId="32416"/>
    <cellStyle name="40% - Accent6 9 2 13" xfId="10297"/>
    <cellStyle name="40% - Accent6 9 2 13 2" xfId="33072"/>
    <cellStyle name="40% - Accent6 9 2 14" xfId="10953"/>
    <cellStyle name="40% - Accent6 9 2 14 2" xfId="33728"/>
    <cellStyle name="40% - Accent6 9 2 15" xfId="11609"/>
    <cellStyle name="40% - Accent6 9 2 15 2" xfId="34384"/>
    <cellStyle name="40% - Accent6 9 2 16" xfId="12265"/>
    <cellStyle name="40% - Accent6 9 2 16 2" xfId="35040"/>
    <cellStyle name="40% - Accent6 9 2 17" xfId="12921"/>
    <cellStyle name="40% - Accent6 9 2 17 2" xfId="35696"/>
    <cellStyle name="40% - Accent6 9 2 18" xfId="13577"/>
    <cellStyle name="40% - Accent6 9 2 18 2" xfId="36352"/>
    <cellStyle name="40% - Accent6 9 2 19" xfId="14233"/>
    <cellStyle name="40% - Accent6 9 2 19 2" xfId="37008"/>
    <cellStyle name="40% - Accent6 9 2 2" xfId="1441"/>
    <cellStyle name="40% - Accent6 9 2 2 2" xfId="3737"/>
    <cellStyle name="40% - Accent6 9 2 2 2 2" xfId="26512"/>
    <cellStyle name="40% - Accent6 9 2 2 3" xfId="24216"/>
    <cellStyle name="40% - Accent6 9 2 20" xfId="14889"/>
    <cellStyle name="40% - Accent6 9 2 20 2" xfId="37664"/>
    <cellStyle name="40% - Accent6 9 2 21" xfId="15545"/>
    <cellStyle name="40% - Accent6 9 2 21 2" xfId="38320"/>
    <cellStyle name="40% - Accent6 9 2 22" xfId="16201"/>
    <cellStyle name="40% - Accent6 9 2 22 2" xfId="38976"/>
    <cellStyle name="40% - Accent6 9 2 23" xfId="16857"/>
    <cellStyle name="40% - Accent6 9 2 23 2" xfId="39632"/>
    <cellStyle name="40% - Accent6 9 2 24" xfId="17513"/>
    <cellStyle name="40% - Accent6 9 2 24 2" xfId="40288"/>
    <cellStyle name="40% - Accent6 9 2 25" xfId="18169"/>
    <cellStyle name="40% - Accent6 9 2 25 2" xfId="40944"/>
    <cellStyle name="40% - Accent6 9 2 26" xfId="18825"/>
    <cellStyle name="40% - Accent6 9 2 26 2" xfId="41600"/>
    <cellStyle name="40% - Accent6 9 2 27" xfId="19481"/>
    <cellStyle name="40% - Accent6 9 2 27 2" xfId="42256"/>
    <cellStyle name="40% - Accent6 9 2 28" xfId="20137"/>
    <cellStyle name="40% - Accent6 9 2 28 2" xfId="42912"/>
    <cellStyle name="40% - Accent6 9 2 29" xfId="20793"/>
    <cellStyle name="40% - Accent6 9 2 29 2" xfId="43568"/>
    <cellStyle name="40% - Accent6 9 2 3" xfId="2097"/>
    <cellStyle name="40% - Accent6 9 2 3 2" xfId="4393"/>
    <cellStyle name="40% - Accent6 9 2 3 2 2" xfId="27168"/>
    <cellStyle name="40% - Accent6 9 2 3 3" xfId="24872"/>
    <cellStyle name="40% - Accent6 9 2 30" xfId="21449"/>
    <cellStyle name="40% - Accent6 9 2 30 2" xfId="44224"/>
    <cellStyle name="40% - Accent6 9 2 31" xfId="22105"/>
    <cellStyle name="40% - Accent6 9 2 31 2" xfId="44880"/>
    <cellStyle name="40% - Accent6 9 2 32" xfId="22761"/>
    <cellStyle name="40% - Accent6 9 2 32 2" xfId="45536"/>
    <cellStyle name="40% - Accent6 9 2 33" xfId="23560"/>
    <cellStyle name="40% - Accent6 9 2 4" xfId="5049"/>
    <cellStyle name="40% - Accent6 9 2 4 2" xfId="27824"/>
    <cellStyle name="40% - Accent6 9 2 5" xfId="5705"/>
    <cellStyle name="40% - Accent6 9 2 5 2" xfId="28480"/>
    <cellStyle name="40% - Accent6 9 2 6" xfId="6361"/>
    <cellStyle name="40% - Accent6 9 2 6 2" xfId="29136"/>
    <cellStyle name="40% - Accent6 9 2 7" xfId="3081"/>
    <cellStyle name="40% - Accent6 9 2 7 2" xfId="25856"/>
    <cellStyle name="40% - Accent6 9 2 8" xfId="7017"/>
    <cellStyle name="40% - Accent6 9 2 8 2" xfId="29792"/>
    <cellStyle name="40% - Accent6 9 2 9" xfId="7673"/>
    <cellStyle name="40% - Accent6 9 2 9 2" xfId="30448"/>
    <cellStyle name="40% - Accent6 9 20" xfId="13249"/>
    <cellStyle name="40% - Accent6 9 20 2" xfId="36024"/>
    <cellStyle name="40% - Accent6 9 21" xfId="13905"/>
    <cellStyle name="40% - Accent6 9 21 2" xfId="36680"/>
    <cellStyle name="40% - Accent6 9 22" xfId="14561"/>
    <cellStyle name="40% - Accent6 9 22 2" xfId="37336"/>
    <cellStyle name="40% - Accent6 9 23" xfId="15217"/>
    <cellStyle name="40% - Accent6 9 23 2" xfId="37992"/>
    <cellStyle name="40% - Accent6 9 24" xfId="15873"/>
    <cellStyle name="40% - Accent6 9 24 2" xfId="38648"/>
    <cellStyle name="40% - Accent6 9 25" xfId="16529"/>
    <cellStyle name="40% - Accent6 9 25 2" xfId="39304"/>
    <cellStyle name="40% - Accent6 9 26" xfId="17185"/>
    <cellStyle name="40% - Accent6 9 26 2" xfId="39960"/>
    <cellStyle name="40% - Accent6 9 27" xfId="17841"/>
    <cellStyle name="40% - Accent6 9 27 2" xfId="40616"/>
    <cellStyle name="40% - Accent6 9 28" xfId="18497"/>
    <cellStyle name="40% - Accent6 9 28 2" xfId="41272"/>
    <cellStyle name="40% - Accent6 9 29" xfId="19153"/>
    <cellStyle name="40% - Accent6 9 29 2" xfId="41928"/>
    <cellStyle name="40% - Accent6 9 3" xfId="1113"/>
    <cellStyle name="40% - Accent6 9 3 2" xfId="2753"/>
    <cellStyle name="40% - Accent6 9 3 2 2" xfId="25528"/>
    <cellStyle name="40% - Accent6 9 3 3" xfId="23888"/>
    <cellStyle name="40% - Accent6 9 30" xfId="19809"/>
    <cellStyle name="40% - Accent6 9 30 2" xfId="42584"/>
    <cellStyle name="40% - Accent6 9 31" xfId="20465"/>
    <cellStyle name="40% - Accent6 9 31 2" xfId="43240"/>
    <cellStyle name="40% - Accent6 9 32" xfId="21121"/>
    <cellStyle name="40% - Accent6 9 32 2" xfId="43896"/>
    <cellStyle name="40% - Accent6 9 33" xfId="21777"/>
    <cellStyle name="40% - Accent6 9 33 2" xfId="44552"/>
    <cellStyle name="40% - Accent6 9 34" xfId="22433"/>
    <cellStyle name="40% - Accent6 9 34 2" xfId="45208"/>
    <cellStyle name="40% - Accent6 9 35" xfId="23232"/>
    <cellStyle name="40% - Accent6 9 4" xfId="1769"/>
    <cellStyle name="40% - Accent6 9 4 2" xfId="3409"/>
    <cellStyle name="40% - Accent6 9 4 2 2" xfId="26184"/>
    <cellStyle name="40% - Accent6 9 4 3" xfId="24544"/>
    <cellStyle name="40% - Accent6 9 5" xfId="4065"/>
    <cellStyle name="40% - Accent6 9 5 2" xfId="26840"/>
    <cellStyle name="40% - Accent6 9 6" xfId="4721"/>
    <cellStyle name="40% - Accent6 9 6 2" xfId="27496"/>
    <cellStyle name="40% - Accent6 9 7" xfId="5377"/>
    <cellStyle name="40% - Accent6 9 7 2" xfId="28152"/>
    <cellStyle name="40% - Accent6 9 8" xfId="6033"/>
    <cellStyle name="40% - Accent6 9 8 2" xfId="28808"/>
    <cellStyle name="40% - Accent6 9 9" xfId="2425"/>
    <cellStyle name="40% - Accent6 9 9 2" xfId="25200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9"/>
    <cellStyle name="Comma 2 2" xfId="127"/>
    <cellStyle name="Currency" xfId="2" builtinId="4"/>
    <cellStyle name="Currency 2" xfId="600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186"/>
    <cellStyle name="Normal 10 10" xfId="6662"/>
    <cellStyle name="Normal 10 10 2" xfId="29437"/>
    <cellStyle name="Normal 10 11" xfId="7318"/>
    <cellStyle name="Normal 10 11 2" xfId="30093"/>
    <cellStyle name="Normal 10 12" xfId="7974"/>
    <cellStyle name="Normal 10 12 2" xfId="30749"/>
    <cellStyle name="Normal 10 13" xfId="8630"/>
    <cellStyle name="Normal 10 13 2" xfId="31405"/>
    <cellStyle name="Normal 10 14" xfId="9286"/>
    <cellStyle name="Normal 10 14 2" xfId="32061"/>
    <cellStyle name="Normal 10 15" xfId="9942"/>
    <cellStyle name="Normal 10 15 2" xfId="32717"/>
    <cellStyle name="Normal 10 16" xfId="10598"/>
    <cellStyle name="Normal 10 16 2" xfId="33373"/>
    <cellStyle name="Normal 10 17" xfId="11254"/>
    <cellStyle name="Normal 10 17 2" xfId="34029"/>
    <cellStyle name="Normal 10 18" xfId="11910"/>
    <cellStyle name="Normal 10 18 2" xfId="34685"/>
    <cellStyle name="Normal 10 19" xfId="12566"/>
    <cellStyle name="Normal 10 19 2" xfId="35341"/>
    <cellStyle name="Normal 10 2" xfId="758"/>
    <cellStyle name="Normal 10 2 10" xfId="8302"/>
    <cellStyle name="Normal 10 2 10 2" xfId="31077"/>
    <cellStyle name="Normal 10 2 11" xfId="8958"/>
    <cellStyle name="Normal 10 2 11 2" xfId="31733"/>
    <cellStyle name="Normal 10 2 12" xfId="9614"/>
    <cellStyle name="Normal 10 2 12 2" xfId="32389"/>
    <cellStyle name="Normal 10 2 13" xfId="10270"/>
    <cellStyle name="Normal 10 2 13 2" xfId="33045"/>
    <cellStyle name="Normal 10 2 14" xfId="10926"/>
    <cellStyle name="Normal 10 2 14 2" xfId="33701"/>
    <cellStyle name="Normal 10 2 15" xfId="11582"/>
    <cellStyle name="Normal 10 2 15 2" xfId="34357"/>
    <cellStyle name="Normal 10 2 16" xfId="12238"/>
    <cellStyle name="Normal 10 2 16 2" xfId="35013"/>
    <cellStyle name="Normal 10 2 17" xfId="12894"/>
    <cellStyle name="Normal 10 2 17 2" xfId="35669"/>
    <cellStyle name="Normal 10 2 18" xfId="13550"/>
    <cellStyle name="Normal 10 2 18 2" xfId="36325"/>
    <cellStyle name="Normal 10 2 19" xfId="14206"/>
    <cellStyle name="Normal 10 2 19 2" xfId="36981"/>
    <cellStyle name="Normal 10 2 2" xfId="1414"/>
    <cellStyle name="Normal 10 2 2 2" xfId="3710"/>
    <cellStyle name="Normal 10 2 2 2 2" xfId="26485"/>
    <cellStyle name="Normal 10 2 2 3" xfId="24189"/>
    <cellStyle name="Normal 10 2 20" xfId="14862"/>
    <cellStyle name="Normal 10 2 20 2" xfId="37637"/>
    <cellStyle name="Normal 10 2 21" xfId="15518"/>
    <cellStyle name="Normal 10 2 21 2" xfId="38293"/>
    <cellStyle name="Normal 10 2 22" xfId="16174"/>
    <cellStyle name="Normal 10 2 22 2" xfId="38949"/>
    <cellStyle name="Normal 10 2 23" xfId="16830"/>
    <cellStyle name="Normal 10 2 23 2" xfId="39605"/>
    <cellStyle name="Normal 10 2 24" xfId="17486"/>
    <cellStyle name="Normal 10 2 24 2" xfId="40261"/>
    <cellStyle name="Normal 10 2 25" xfId="18142"/>
    <cellStyle name="Normal 10 2 25 2" xfId="40917"/>
    <cellStyle name="Normal 10 2 26" xfId="18798"/>
    <cellStyle name="Normal 10 2 26 2" xfId="41573"/>
    <cellStyle name="Normal 10 2 27" xfId="19454"/>
    <cellStyle name="Normal 10 2 27 2" xfId="42229"/>
    <cellStyle name="Normal 10 2 28" xfId="20110"/>
    <cellStyle name="Normal 10 2 28 2" xfId="42885"/>
    <cellStyle name="Normal 10 2 29" xfId="20766"/>
    <cellStyle name="Normal 10 2 29 2" xfId="43541"/>
    <cellStyle name="Normal 10 2 3" xfId="2070"/>
    <cellStyle name="Normal 10 2 3 2" xfId="4366"/>
    <cellStyle name="Normal 10 2 3 2 2" xfId="27141"/>
    <cellStyle name="Normal 10 2 3 3" xfId="24845"/>
    <cellStyle name="Normal 10 2 30" xfId="21422"/>
    <cellStyle name="Normal 10 2 30 2" xfId="44197"/>
    <cellStyle name="Normal 10 2 31" xfId="22078"/>
    <cellStyle name="Normal 10 2 31 2" xfId="44853"/>
    <cellStyle name="Normal 10 2 32" xfId="22734"/>
    <cellStyle name="Normal 10 2 32 2" xfId="45509"/>
    <cellStyle name="Normal 10 2 33" xfId="23533"/>
    <cellStyle name="Normal 10 2 4" xfId="5022"/>
    <cellStyle name="Normal 10 2 4 2" xfId="27797"/>
    <cellStyle name="Normal 10 2 5" xfId="5678"/>
    <cellStyle name="Normal 10 2 5 2" xfId="28453"/>
    <cellStyle name="Normal 10 2 6" xfId="6334"/>
    <cellStyle name="Normal 10 2 6 2" xfId="29109"/>
    <cellStyle name="Normal 10 2 7" xfId="3054"/>
    <cellStyle name="Normal 10 2 7 2" xfId="25829"/>
    <cellStyle name="Normal 10 2 8" xfId="6990"/>
    <cellStyle name="Normal 10 2 8 2" xfId="29765"/>
    <cellStyle name="Normal 10 2 9" xfId="7646"/>
    <cellStyle name="Normal 10 2 9 2" xfId="30421"/>
    <cellStyle name="Normal 10 20" xfId="13222"/>
    <cellStyle name="Normal 10 20 2" xfId="35997"/>
    <cellStyle name="Normal 10 21" xfId="13878"/>
    <cellStyle name="Normal 10 21 2" xfId="36653"/>
    <cellStyle name="Normal 10 22" xfId="14534"/>
    <cellStyle name="Normal 10 22 2" xfId="37309"/>
    <cellStyle name="Normal 10 23" xfId="15190"/>
    <cellStyle name="Normal 10 23 2" xfId="37965"/>
    <cellStyle name="Normal 10 24" xfId="15846"/>
    <cellStyle name="Normal 10 24 2" xfId="38621"/>
    <cellStyle name="Normal 10 25" xfId="16502"/>
    <cellStyle name="Normal 10 25 2" xfId="39277"/>
    <cellStyle name="Normal 10 26" xfId="17158"/>
    <cellStyle name="Normal 10 26 2" xfId="39933"/>
    <cellStyle name="Normal 10 27" xfId="17814"/>
    <cellStyle name="Normal 10 27 2" xfId="40589"/>
    <cellStyle name="Normal 10 28" xfId="18470"/>
    <cellStyle name="Normal 10 28 2" xfId="41245"/>
    <cellStyle name="Normal 10 29" xfId="19126"/>
    <cellStyle name="Normal 10 29 2" xfId="41901"/>
    <cellStyle name="Normal 10 3" xfId="1086"/>
    <cellStyle name="Normal 10 3 2" xfId="2726"/>
    <cellStyle name="Normal 10 3 2 2" xfId="25501"/>
    <cellStyle name="Normal 10 3 3" xfId="23861"/>
    <cellStyle name="Normal 10 30" xfId="19782"/>
    <cellStyle name="Normal 10 30 2" xfId="42557"/>
    <cellStyle name="Normal 10 31" xfId="20438"/>
    <cellStyle name="Normal 10 31 2" xfId="43213"/>
    <cellStyle name="Normal 10 32" xfId="21094"/>
    <cellStyle name="Normal 10 32 2" xfId="43869"/>
    <cellStyle name="Normal 10 33" xfId="21750"/>
    <cellStyle name="Normal 10 33 2" xfId="44525"/>
    <cellStyle name="Normal 10 34" xfId="22406"/>
    <cellStyle name="Normal 10 34 2" xfId="45181"/>
    <cellStyle name="Normal 10 35" xfId="23205"/>
    <cellStyle name="Normal 10 36" xfId="431"/>
    <cellStyle name="Normal 10 4" xfId="1742"/>
    <cellStyle name="Normal 10 4 2" xfId="3382"/>
    <cellStyle name="Normal 10 4 2 2" xfId="26157"/>
    <cellStyle name="Normal 10 4 3" xfId="24517"/>
    <cellStyle name="Normal 10 5" xfId="4038"/>
    <cellStyle name="Normal 10 5 2" xfId="26813"/>
    <cellStyle name="Normal 10 6" xfId="4694"/>
    <cellStyle name="Normal 10 6 2" xfId="27469"/>
    <cellStyle name="Normal 10 7" xfId="5350"/>
    <cellStyle name="Normal 10 7 2" xfId="28125"/>
    <cellStyle name="Normal 10 8" xfId="6006"/>
    <cellStyle name="Normal 10 8 2" xfId="28781"/>
    <cellStyle name="Normal 10 9" xfId="2398"/>
    <cellStyle name="Normal 10 9 2" xfId="25173"/>
    <cellStyle name="Normal 11" xfId="445"/>
    <cellStyle name="Normal 11 10" xfId="6676"/>
    <cellStyle name="Normal 11 10 2" xfId="29451"/>
    <cellStyle name="Normal 11 11" xfId="7332"/>
    <cellStyle name="Normal 11 11 2" xfId="30107"/>
    <cellStyle name="Normal 11 12" xfId="7988"/>
    <cellStyle name="Normal 11 12 2" xfId="30763"/>
    <cellStyle name="Normal 11 13" xfId="8644"/>
    <cellStyle name="Normal 11 13 2" xfId="31419"/>
    <cellStyle name="Normal 11 14" xfId="9300"/>
    <cellStyle name="Normal 11 14 2" xfId="32075"/>
    <cellStyle name="Normal 11 15" xfId="9956"/>
    <cellStyle name="Normal 11 15 2" xfId="32731"/>
    <cellStyle name="Normal 11 16" xfId="10612"/>
    <cellStyle name="Normal 11 16 2" xfId="33387"/>
    <cellStyle name="Normal 11 17" xfId="11268"/>
    <cellStyle name="Normal 11 17 2" xfId="34043"/>
    <cellStyle name="Normal 11 18" xfId="11924"/>
    <cellStyle name="Normal 11 18 2" xfId="34699"/>
    <cellStyle name="Normal 11 19" xfId="12580"/>
    <cellStyle name="Normal 11 19 2" xfId="35355"/>
    <cellStyle name="Normal 11 2" xfId="772"/>
    <cellStyle name="Normal 11 2 10" xfId="8316"/>
    <cellStyle name="Normal 11 2 10 2" xfId="31091"/>
    <cellStyle name="Normal 11 2 11" xfId="8972"/>
    <cellStyle name="Normal 11 2 11 2" xfId="31747"/>
    <cellStyle name="Normal 11 2 12" xfId="9628"/>
    <cellStyle name="Normal 11 2 12 2" xfId="32403"/>
    <cellStyle name="Normal 11 2 13" xfId="10284"/>
    <cellStyle name="Normal 11 2 13 2" xfId="33059"/>
    <cellStyle name="Normal 11 2 14" xfId="10940"/>
    <cellStyle name="Normal 11 2 14 2" xfId="33715"/>
    <cellStyle name="Normal 11 2 15" xfId="11596"/>
    <cellStyle name="Normal 11 2 15 2" xfId="34371"/>
    <cellStyle name="Normal 11 2 16" xfId="12252"/>
    <cellStyle name="Normal 11 2 16 2" xfId="35027"/>
    <cellStyle name="Normal 11 2 17" xfId="12908"/>
    <cellStyle name="Normal 11 2 17 2" xfId="35683"/>
    <cellStyle name="Normal 11 2 18" xfId="13564"/>
    <cellStyle name="Normal 11 2 18 2" xfId="36339"/>
    <cellStyle name="Normal 11 2 19" xfId="14220"/>
    <cellStyle name="Normal 11 2 19 2" xfId="36995"/>
    <cellStyle name="Normal 11 2 2" xfId="1428"/>
    <cellStyle name="Normal 11 2 2 2" xfId="3724"/>
    <cellStyle name="Normal 11 2 2 2 2" xfId="26499"/>
    <cellStyle name="Normal 11 2 2 3" xfId="24203"/>
    <cellStyle name="Normal 11 2 20" xfId="14876"/>
    <cellStyle name="Normal 11 2 20 2" xfId="37651"/>
    <cellStyle name="Normal 11 2 21" xfId="15532"/>
    <cellStyle name="Normal 11 2 21 2" xfId="38307"/>
    <cellStyle name="Normal 11 2 22" xfId="16188"/>
    <cellStyle name="Normal 11 2 22 2" xfId="38963"/>
    <cellStyle name="Normal 11 2 23" xfId="16844"/>
    <cellStyle name="Normal 11 2 23 2" xfId="39619"/>
    <cellStyle name="Normal 11 2 24" xfId="17500"/>
    <cellStyle name="Normal 11 2 24 2" xfId="40275"/>
    <cellStyle name="Normal 11 2 25" xfId="18156"/>
    <cellStyle name="Normal 11 2 25 2" xfId="40931"/>
    <cellStyle name="Normal 11 2 26" xfId="18812"/>
    <cellStyle name="Normal 11 2 26 2" xfId="41587"/>
    <cellStyle name="Normal 11 2 27" xfId="19468"/>
    <cellStyle name="Normal 11 2 27 2" xfId="42243"/>
    <cellStyle name="Normal 11 2 28" xfId="20124"/>
    <cellStyle name="Normal 11 2 28 2" xfId="42899"/>
    <cellStyle name="Normal 11 2 29" xfId="20780"/>
    <cellStyle name="Normal 11 2 29 2" xfId="43555"/>
    <cellStyle name="Normal 11 2 3" xfId="2084"/>
    <cellStyle name="Normal 11 2 3 2" xfId="4380"/>
    <cellStyle name="Normal 11 2 3 2 2" xfId="27155"/>
    <cellStyle name="Normal 11 2 3 3" xfId="24859"/>
    <cellStyle name="Normal 11 2 30" xfId="21436"/>
    <cellStyle name="Normal 11 2 30 2" xfId="44211"/>
    <cellStyle name="Normal 11 2 31" xfId="22092"/>
    <cellStyle name="Normal 11 2 31 2" xfId="44867"/>
    <cellStyle name="Normal 11 2 32" xfId="22748"/>
    <cellStyle name="Normal 11 2 32 2" xfId="45523"/>
    <cellStyle name="Normal 11 2 33" xfId="23547"/>
    <cellStyle name="Normal 11 2 4" xfId="5036"/>
    <cellStyle name="Normal 11 2 4 2" xfId="27811"/>
    <cellStyle name="Normal 11 2 5" xfId="5692"/>
    <cellStyle name="Normal 11 2 5 2" xfId="28467"/>
    <cellStyle name="Normal 11 2 6" xfId="6348"/>
    <cellStyle name="Normal 11 2 6 2" xfId="29123"/>
    <cellStyle name="Normal 11 2 7" xfId="3068"/>
    <cellStyle name="Normal 11 2 7 2" xfId="25843"/>
    <cellStyle name="Normal 11 2 8" xfId="7004"/>
    <cellStyle name="Normal 11 2 8 2" xfId="29779"/>
    <cellStyle name="Normal 11 2 9" xfId="7660"/>
    <cellStyle name="Normal 11 2 9 2" xfId="30435"/>
    <cellStyle name="Normal 11 20" xfId="13236"/>
    <cellStyle name="Normal 11 20 2" xfId="36011"/>
    <cellStyle name="Normal 11 21" xfId="13892"/>
    <cellStyle name="Normal 11 21 2" xfId="36667"/>
    <cellStyle name="Normal 11 22" xfId="14548"/>
    <cellStyle name="Normal 11 22 2" xfId="37323"/>
    <cellStyle name="Normal 11 23" xfId="15204"/>
    <cellStyle name="Normal 11 23 2" xfId="37979"/>
    <cellStyle name="Normal 11 24" xfId="15860"/>
    <cellStyle name="Normal 11 24 2" xfId="38635"/>
    <cellStyle name="Normal 11 25" xfId="16516"/>
    <cellStyle name="Normal 11 25 2" xfId="39291"/>
    <cellStyle name="Normal 11 26" xfId="17172"/>
    <cellStyle name="Normal 11 26 2" xfId="39947"/>
    <cellStyle name="Normal 11 27" xfId="17828"/>
    <cellStyle name="Normal 11 27 2" xfId="40603"/>
    <cellStyle name="Normal 11 28" xfId="18484"/>
    <cellStyle name="Normal 11 28 2" xfId="41259"/>
    <cellStyle name="Normal 11 29" xfId="19140"/>
    <cellStyle name="Normal 11 29 2" xfId="41915"/>
    <cellStyle name="Normal 11 3" xfId="1100"/>
    <cellStyle name="Normal 11 3 2" xfId="2740"/>
    <cellStyle name="Normal 11 3 2 2" xfId="25515"/>
    <cellStyle name="Normal 11 3 3" xfId="23875"/>
    <cellStyle name="Normal 11 30" xfId="19796"/>
    <cellStyle name="Normal 11 30 2" xfId="42571"/>
    <cellStyle name="Normal 11 31" xfId="20452"/>
    <cellStyle name="Normal 11 31 2" xfId="43227"/>
    <cellStyle name="Normal 11 32" xfId="21108"/>
    <cellStyle name="Normal 11 32 2" xfId="43883"/>
    <cellStyle name="Normal 11 33" xfId="21764"/>
    <cellStyle name="Normal 11 33 2" xfId="44539"/>
    <cellStyle name="Normal 11 34" xfId="22420"/>
    <cellStyle name="Normal 11 34 2" xfId="45195"/>
    <cellStyle name="Normal 11 35" xfId="23219"/>
    <cellStyle name="Normal 11 4" xfId="1756"/>
    <cellStyle name="Normal 11 4 2" xfId="3396"/>
    <cellStyle name="Normal 11 4 2 2" xfId="26171"/>
    <cellStyle name="Normal 11 4 3" xfId="24531"/>
    <cellStyle name="Normal 11 5" xfId="4052"/>
    <cellStyle name="Normal 11 5 2" xfId="26827"/>
    <cellStyle name="Normal 11 6" xfId="4708"/>
    <cellStyle name="Normal 11 6 2" xfId="27483"/>
    <cellStyle name="Normal 11 7" xfId="5364"/>
    <cellStyle name="Normal 11 7 2" xfId="28139"/>
    <cellStyle name="Normal 11 8" xfId="6020"/>
    <cellStyle name="Normal 11 8 2" xfId="28795"/>
    <cellStyle name="Normal 11 9" xfId="2412"/>
    <cellStyle name="Normal 11 9 2" xfId="25187"/>
    <cellStyle name="Normal 12" xfId="187"/>
    <cellStyle name="Normal 2" xfId="46"/>
    <cellStyle name="Normal 2 2" xfId="83"/>
    <cellStyle name="Normal 3" xfId="1"/>
    <cellStyle name="Normal 3 10" xfId="4549"/>
    <cellStyle name="Normal 3 10 2" xfId="27324"/>
    <cellStyle name="Normal 3 11" xfId="5205"/>
    <cellStyle name="Normal 3 11 2" xfId="27980"/>
    <cellStyle name="Normal 3 12" xfId="5861"/>
    <cellStyle name="Normal 3 12 2" xfId="28636"/>
    <cellStyle name="Normal 3 13" xfId="2253"/>
    <cellStyle name="Normal 3 13 2" xfId="25028"/>
    <cellStyle name="Normal 3 14" xfId="6517"/>
    <cellStyle name="Normal 3 14 2" xfId="29292"/>
    <cellStyle name="Normal 3 15" xfId="7173"/>
    <cellStyle name="Normal 3 15 2" xfId="29948"/>
    <cellStyle name="Normal 3 16" xfId="7829"/>
    <cellStyle name="Normal 3 16 2" xfId="30604"/>
    <cellStyle name="Normal 3 17" xfId="8485"/>
    <cellStyle name="Normal 3 17 2" xfId="31260"/>
    <cellStyle name="Normal 3 18" xfId="9141"/>
    <cellStyle name="Normal 3 18 2" xfId="31916"/>
    <cellStyle name="Normal 3 19" xfId="9797"/>
    <cellStyle name="Normal 3 19 2" xfId="32572"/>
    <cellStyle name="Normal 3 2" xfId="51"/>
    <cellStyle name="Normal 3 2 10" xfId="5877"/>
    <cellStyle name="Normal 3 2 10 2" xfId="28652"/>
    <cellStyle name="Normal 3 2 11" xfId="2269"/>
    <cellStyle name="Normal 3 2 11 2" xfId="25044"/>
    <cellStyle name="Normal 3 2 12" xfId="6533"/>
    <cellStyle name="Normal 3 2 12 2" xfId="29308"/>
    <cellStyle name="Normal 3 2 13" xfId="7189"/>
    <cellStyle name="Normal 3 2 13 2" xfId="29964"/>
    <cellStyle name="Normal 3 2 14" xfId="7845"/>
    <cellStyle name="Normal 3 2 14 2" xfId="30620"/>
    <cellStyle name="Normal 3 2 15" xfId="8501"/>
    <cellStyle name="Normal 3 2 15 2" xfId="31276"/>
    <cellStyle name="Normal 3 2 16" xfId="9157"/>
    <cellStyle name="Normal 3 2 16 2" xfId="31932"/>
    <cellStyle name="Normal 3 2 17" xfId="9813"/>
    <cellStyle name="Normal 3 2 17 2" xfId="32588"/>
    <cellStyle name="Normal 3 2 18" xfId="10469"/>
    <cellStyle name="Normal 3 2 18 2" xfId="33244"/>
    <cellStyle name="Normal 3 2 19" xfId="11125"/>
    <cellStyle name="Normal 3 2 19 2" xfId="33900"/>
    <cellStyle name="Normal 3 2 2" xfId="129"/>
    <cellStyle name="Normal 3 2 2 10" xfId="2325"/>
    <cellStyle name="Normal 3 2 2 10 2" xfId="25100"/>
    <cellStyle name="Normal 3 2 2 11" xfId="6589"/>
    <cellStyle name="Normal 3 2 2 11 2" xfId="29364"/>
    <cellStyle name="Normal 3 2 2 12" xfId="7245"/>
    <cellStyle name="Normal 3 2 2 12 2" xfId="30020"/>
    <cellStyle name="Normal 3 2 2 13" xfId="7901"/>
    <cellStyle name="Normal 3 2 2 13 2" xfId="30676"/>
    <cellStyle name="Normal 3 2 2 14" xfId="8557"/>
    <cellStyle name="Normal 3 2 2 14 2" xfId="31332"/>
    <cellStyle name="Normal 3 2 2 15" xfId="9213"/>
    <cellStyle name="Normal 3 2 2 15 2" xfId="31988"/>
    <cellStyle name="Normal 3 2 2 16" xfId="9869"/>
    <cellStyle name="Normal 3 2 2 16 2" xfId="32644"/>
    <cellStyle name="Normal 3 2 2 17" xfId="10525"/>
    <cellStyle name="Normal 3 2 2 17 2" xfId="33300"/>
    <cellStyle name="Normal 3 2 2 18" xfId="11181"/>
    <cellStyle name="Normal 3 2 2 18 2" xfId="33956"/>
    <cellStyle name="Normal 3 2 2 19" xfId="11837"/>
    <cellStyle name="Normal 3 2 2 19 2" xfId="34612"/>
    <cellStyle name="Normal 3 2 2 2" xfId="541"/>
    <cellStyle name="Normal 3 2 2 2 10" xfId="6774"/>
    <cellStyle name="Normal 3 2 2 2 10 2" xfId="29549"/>
    <cellStyle name="Normal 3 2 2 2 11" xfId="7430"/>
    <cellStyle name="Normal 3 2 2 2 11 2" xfId="30205"/>
    <cellStyle name="Normal 3 2 2 2 12" xfId="8086"/>
    <cellStyle name="Normal 3 2 2 2 12 2" xfId="30861"/>
    <cellStyle name="Normal 3 2 2 2 13" xfId="8742"/>
    <cellStyle name="Normal 3 2 2 2 13 2" xfId="31517"/>
    <cellStyle name="Normal 3 2 2 2 14" xfId="9398"/>
    <cellStyle name="Normal 3 2 2 2 14 2" xfId="32173"/>
    <cellStyle name="Normal 3 2 2 2 15" xfId="10054"/>
    <cellStyle name="Normal 3 2 2 2 15 2" xfId="32829"/>
    <cellStyle name="Normal 3 2 2 2 16" xfId="10710"/>
    <cellStyle name="Normal 3 2 2 2 16 2" xfId="33485"/>
    <cellStyle name="Normal 3 2 2 2 17" xfId="11366"/>
    <cellStyle name="Normal 3 2 2 2 17 2" xfId="34141"/>
    <cellStyle name="Normal 3 2 2 2 18" xfId="12022"/>
    <cellStyle name="Normal 3 2 2 2 18 2" xfId="34797"/>
    <cellStyle name="Normal 3 2 2 2 19" xfId="12678"/>
    <cellStyle name="Normal 3 2 2 2 19 2" xfId="35453"/>
    <cellStyle name="Normal 3 2 2 2 2" xfId="870"/>
    <cellStyle name="Normal 3 2 2 2 2 10" xfId="8414"/>
    <cellStyle name="Normal 3 2 2 2 2 10 2" xfId="31189"/>
    <cellStyle name="Normal 3 2 2 2 2 11" xfId="9070"/>
    <cellStyle name="Normal 3 2 2 2 2 11 2" xfId="31845"/>
    <cellStyle name="Normal 3 2 2 2 2 12" xfId="9726"/>
    <cellStyle name="Normal 3 2 2 2 2 12 2" xfId="32501"/>
    <cellStyle name="Normal 3 2 2 2 2 13" xfId="10382"/>
    <cellStyle name="Normal 3 2 2 2 2 13 2" xfId="33157"/>
    <cellStyle name="Normal 3 2 2 2 2 14" xfId="11038"/>
    <cellStyle name="Normal 3 2 2 2 2 14 2" xfId="33813"/>
    <cellStyle name="Normal 3 2 2 2 2 15" xfId="11694"/>
    <cellStyle name="Normal 3 2 2 2 2 15 2" xfId="34469"/>
    <cellStyle name="Normal 3 2 2 2 2 16" xfId="12350"/>
    <cellStyle name="Normal 3 2 2 2 2 16 2" xfId="35125"/>
    <cellStyle name="Normal 3 2 2 2 2 17" xfId="13006"/>
    <cellStyle name="Normal 3 2 2 2 2 17 2" xfId="35781"/>
    <cellStyle name="Normal 3 2 2 2 2 18" xfId="13662"/>
    <cellStyle name="Normal 3 2 2 2 2 18 2" xfId="36437"/>
    <cellStyle name="Normal 3 2 2 2 2 19" xfId="14318"/>
    <cellStyle name="Normal 3 2 2 2 2 19 2" xfId="37093"/>
    <cellStyle name="Normal 3 2 2 2 2 2" xfId="1526"/>
    <cellStyle name="Normal 3 2 2 2 2 2 2" xfId="3822"/>
    <cellStyle name="Normal 3 2 2 2 2 2 2 2" xfId="26597"/>
    <cellStyle name="Normal 3 2 2 2 2 2 3" xfId="24301"/>
    <cellStyle name="Normal 3 2 2 2 2 20" xfId="14974"/>
    <cellStyle name="Normal 3 2 2 2 2 20 2" xfId="37749"/>
    <cellStyle name="Normal 3 2 2 2 2 21" xfId="15630"/>
    <cellStyle name="Normal 3 2 2 2 2 21 2" xfId="38405"/>
    <cellStyle name="Normal 3 2 2 2 2 22" xfId="16286"/>
    <cellStyle name="Normal 3 2 2 2 2 22 2" xfId="39061"/>
    <cellStyle name="Normal 3 2 2 2 2 23" xfId="16942"/>
    <cellStyle name="Normal 3 2 2 2 2 23 2" xfId="39717"/>
    <cellStyle name="Normal 3 2 2 2 2 24" xfId="17598"/>
    <cellStyle name="Normal 3 2 2 2 2 24 2" xfId="40373"/>
    <cellStyle name="Normal 3 2 2 2 2 25" xfId="18254"/>
    <cellStyle name="Normal 3 2 2 2 2 25 2" xfId="41029"/>
    <cellStyle name="Normal 3 2 2 2 2 26" xfId="18910"/>
    <cellStyle name="Normal 3 2 2 2 2 26 2" xfId="41685"/>
    <cellStyle name="Normal 3 2 2 2 2 27" xfId="19566"/>
    <cellStyle name="Normal 3 2 2 2 2 27 2" xfId="42341"/>
    <cellStyle name="Normal 3 2 2 2 2 28" xfId="20222"/>
    <cellStyle name="Normal 3 2 2 2 2 28 2" xfId="42997"/>
    <cellStyle name="Normal 3 2 2 2 2 29" xfId="20878"/>
    <cellStyle name="Normal 3 2 2 2 2 29 2" xfId="43653"/>
    <cellStyle name="Normal 3 2 2 2 2 3" xfId="2182"/>
    <cellStyle name="Normal 3 2 2 2 2 3 2" xfId="4478"/>
    <cellStyle name="Normal 3 2 2 2 2 3 2 2" xfId="27253"/>
    <cellStyle name="Normal 3 2 2 2 2 3 3" xfId="24957"/>
    <cellStyle name="Normal 3 2 2 2 2 30" xfId="21534"/>
    <cellStyle name="Normal 3 2 2 2 2 30 2" xfId="44309"/>
    <cellStyle name="Normal 3 2 2 2 2 31" xfId="22190"/>
    <cellStyle name="Normal 3 2 2 2 2 31 2" xfId="44965"/>
    <cellStyle name="Normal 3 2 2 2 2 32" xfId="22846"/>
    <cellStyle name="Normal 3 2 2 2 2 32 2" xfId="45621"/>
    <cellStyle name="Normal 3 2 2 2 2 33" xfId="23645"/>
    <cellStyle name="Normal 3 2 2 2 2 4" xfId="5134"/>
    <cellStyle name="Normal 3 2 2 2 2 4 2" xfId="27909"/>
    <cellStyle name="Normal 3 2 2 2 2 5" xfId="5790"/>
    <cellStyle name="Normal 3 2 2 2 2 5 2" xfId="28565"/>
    <cellStyle name="Normal 3 2 2 2 2 6" xfId="6446"/>
    <cellStyle name="Normal 3 2 2 2 2 6 2" xfId="29221"/>
    <cellStyle name="Normal 3 2 2 2 2 7" xfId="3166"/>
    <cellStyle name="Normal 3 2 2 2 2 7 2" xfId="25941"/>
    <cellStyle name="Normal 3 2 2 2 2 8" xfId="7102"/>
    <cellStyle name="Normal 3 2 2 2 2 8 2" xfId="29877"/>
    <cellStyle name="Normal 3 2 2 2 2 9" xfId="7758"/>
    <cellStyle name="Normal 3 2 2 2 2 9 2" xfId="30533"/>
    <cellStyle name="Normal 3 2 2 2 20" xfId="13334"/>
    <cellStyle name="Normal 3 2 2 2 20 2" xfId="36109"/>
    <cellStyle name="Normal 3 2 2 2 21" xfId="13990"/>
    <cellStyle name="Normal 3 2 2 2 21 2" xfId="36765"/>
    <cellStyle name="Normal 3 2 2 2 22" xfId="14646"/>
    <cellStyle name="Normal 3 2 2 2 22 2" xfId="37421"/>
    <cellStyle name="Normal 3 2 2 2 23" xfId="15302"/>
    <cellStyle name="Normal 3 2 2 2 23 2" xfId="38077"/>
    <cellStyle name="Normal 3 2 2 2 24" xfId="15958"/>
    <cellStyle name="Normal 3 2 2 2 24 2" xfId="38733"/>
    <cellStyle name="Normal 3 2 2 2 25" xfId="16614"/>
    <cellStyle name="Normal 3 2 2 2 25 2" xfId="39389"/>
    <cellStyle name="Normal 3 2 2 2 26" xfId="17270"/>
    <cellStyle name="Normal 3 2 2 2 26 2" xfId="40045"/>
    <cellStyle name="Normal 3 2 2 2 27" xfId="17926"/>
    <cellStyle name="Normal 3 2 2 2 27 2" xfId="40701"/>
    <cellStyle name="Normal 3 2 2 2 28" xfId="18582"/>
    <cellStyle name="Normal 3 2 2 2 28 2" xfId="41357"/>
    <cellStyle name="Normal 3 2 2 2 29" xfId="19238"/>
    <cellStyle name="Normal 3 2 2 2 29 2" xfId="42013"/>
    <cellStyle name="Normal 3 2 2 2 3" xfId="1198"/>
    <cellStyle name="Normal 3 2 2 2 3 2" xfId="2838"/>
    <cellStyle name="Normal 3 2 2 2 3 2 2" xfId="25613"/>
    <cellStyle name="Normal 3 2 2 2 3 3" xfId="23973"/>
    <cellStyle name="Normal 3 2 2 2 30" xfId="19894"/>
    <cellStyle name="Normal 3 2 2 2 30 2" xfId="42669"/>
    <cellStyle name="Normal 3 2 2 2 31" xfId="20550"/>
    <cellStyle name="Normal 3 2 2 2 31 2" xfId="43325"/>
    <cellStyle name="Normal 3 2 2 2 32" xfId="21206"/>
    <cellStyle name="Normal 3 2 2 2 32 2" xfId="43981"/>
    <cellStyle name="Normal 3 2 2 2 33" xfId="21862"/>
    <cellStyle name="Normal 3 2 2 2 33 2" xfId="44637"/>
    <cellStyle name="Normal 3 2 2 2 34" xfId="22518"/>
    <cellStyle name="Normal 3 2 2 2 34 2" xfId="45293"/>
    <cellStyle name="Normal 3 2 2 2 35" xfId="23317"/>
    <cellStyle name="Normal 3 2 2 2 4" xfId="1854"/>
    <cellStyle name="Normal 3 2 2 2 4 2" xfId="3494"/>
    <cellStyle name="Normal 3 2 2 2 4 2 2" xfId="26269"/>
    <cellStyle name="Normal 3 2 2 2 4 3" xfId="24629"/>
    <cellStyle name="Normal 3 2 2 2 5" xfId="4150"/>
    <cellStyle name="Normal 3 2 2 2 5 2" xfId="26925"/>
    <cellStyle name="Normal 3 2 2 2 6" xfId="4806"/>
    <cellStyle name="Normal 3 2 2 2 6 2" xfId="27581"/>
    <cellStyle name="Normal 3 2 2 2 7" xfId="5462"/>
    <cellStyle name="Normal 3 2 2 2 7 2" xfId="28237"/>
    <cellStyle name="Normal 3 2 2 2 8" xfId="6118"/>
    <cellStyle name="Normal 3 2 2 2 8 2" xfId="28893"/>
    <cellStyle name="Normal 3 2 2 2 9" xfId="2510"/>
    <cellStyle name="Normal 3 2 2 2 9 2" xfId="25285"/>
    <cellStyle name="Normal 3 2 2 20" xfId="12493"/>
    <cellStyle name="Normal 3 2 2 20 2" xfId="35268"/>
    <cellStyle name="Normal 3 2 2 21" xfId="13149"/>
    <cellStyle name="Normal 3 2 2 21 2" xfId="35924"/>
    <cellStyle name="Normal 3 2 2 22" xfId="13805"/>
    <cellStyle name="Normal 3 2 2 22 2" xfId="36580"/>
    <cellStyle name="Normal 3 2 2 23" xfId="14461"/>
    <cellStyle name="Normal 3 2 2 23 2" xfId="37236"/>
    <cellStyle name="Normal 3 2 2 24" xfId="15117"/>
    <cellStyle name="Normal 3 2 2 24 2" xfId="37892"/>
    <cellStyle name="Normal 3 2 2 25" xfId="15773"/>
    <cellStyle name="Normal 3 2 2 25 2" xfId="38548"/>
    <cellStyle name="Normal 3 2 2 26" xfId="16429"/>
    <cellStyle name="Normal 3 2 2 26 2" xfId="39204"/>
    <cellStyle name="Normal 3 2 2 27" xfId="17085"/>
    <cellStyle name="Normal 3 2 2 27 2" xfId="39860"/>
    <cellStyle name="Normal 3 2 2 28" xfId="17741"/>
    <cellStyle name="Normal 3 2 2 28 2" xfId="40516"/>
    <cellStyle name="Normal 3 2 2 29" xfId="18397"/>
    <cellStyle name="Normal 3 2 2 29 2" xfId="41172"/>
    <cellStyle name="Normal 3 2 2 3" xfId="685"/>
    <cellStyle name="Normal 3 2 2 3 10" xfId="8229"/>
    <cellStyle name="Normal 3 2 2 3 10 2" xfId="31004"/>
    <cellStyle name="Normal 3 2 2 3 11" xfId="8885"/>
    <cellStyle name="Normal 3 2 2 3 11 2" xfId="31660"/>
    <cellStyle name="Normal 3 2 2 3 12" xfId="9541"/>
    <cellStyle name="Normal 3 2 2 3 12 2" xfId="32316"/>
    <cellStyle name="Normal 3 2 2 3 13" xfId="10197"/>
    <cellStyle name="Normal 3 2 2 3 13 2" xfId="32972"/>
    <cellStyle name="Normal 3 2 2 3 14" xfId="10853"/>
    <cellStyle name="Normal 3 2 2 3 14 2" xfId="33628"/>
    <cellStyle name="Normal 3 2 2 3 15" xfId="11509"/>
    <cellStyle name="Normal 3 2 2 3 15 2" xfId="34284"/>
    <cellStyle name="Normal 3 2 2 3 16" xfId="12165"/>
    <cellStyle name="Normal 3 2 2 3 16 2" xfId="34940"/>
    <cellStyle name="Normal 3 2 2 3 17" xfId="12821"/>
    <cellStyle name="Normal 3 2 2 3 17 2" xfId="35596"/>
    <cellStyle name="Normal 3 2 2 3 18" xfId="13477"/>
    <cellStyle name="Normal 3 2 2 3 18 2" xfId="36252"/>
    <cellStyle name="Normal 3 2 2 3 19" xfId="14133"/>
    <cellStyle name="Normal 3 2 2 3 19 2" xfId="36908"/>
    <cellStyle name="Normal 3 2 2 3 2" xfId="1341"/>
    <cellStyle name="Normal 3 2 2 3 2 2" xfId="3637"/>
    <cellStyle name="Normal 3 2 2 3 2 2 2" xfId="26412"/>
    <cellStyle name="Normal 3 2 2 3 2 3" xfId="24116"/>
    <cellStyle name="Normal 3 2 2 3 20" xfId="14789"/>
    <cellStyle name="Normal 3 2 2 3 20 2" xfId="37564"/>
    <cellStyle name="Normal 3 2 2 3 21" xfId="15445"/>
    <cellStyle name="Normal 3 2 2 3 21 2" xfId="38220"/>
    <cellStyle name="Normal 3 2 2 3 22" xfId="16101"/>
    <cellStyle name="Normal 3 2 2 3 22 2" xfId="38876"/>
    <cellStyle name="Normal 3 2 2 3 23" xfId="16757"/>
    <cellStyle name="Normal 3 2 2 3 23 2" xfId="39532"/>
    <cellStyle name="Normal 3 2 2 3 24" xfId="17413"/>
    <cellStyle name="Normal 3 2 2 3 24 2" xfId="40188"/>
    <cellStyle name="Normal 3 2 2 3 25" xfId="18069"/>
    <cellStyle name="Normal 3 2 2 3 25 2" xfId="40844"/>
    <cellStyle name="Normal 3 2 2 3 26" xfId="18725"/>
    <cellStyle name="Normal 3 2 2 3 26 2" xfId="41500"/>
    <cellStyle name="Normal 3 2 2 3 27" xfId="19381"/>
    <cellStyle name="Normal 3 2 2 3 27 2" xfId="42156"/>
    <cellStyle name="Normal 3 2 2 3 28" xfId="20037"/>
    <cellStyle name="Normal 3 2 2 3 28 2" xfId="42812"/>
    <cellStyle name="Normal 3 2 2 3 29" xfId="20693"/>
    <cellStyle name="Normal 3 2 2 3 29 2" xfId="43468"/>
    <cellStyle name="Normal 3 2 2 3 3" xfId="1997"/>
    <cellStyle name="Normal 3 2 2 3 3 2" xfId="4293"/>
    <cellStyle name="Normal 3 2 2 3 3 2 2" xfId="27068"/>
    <cellStyle name="Normal 3 2 2 3 3 3" xfId="24772"/>
    <cellStyle name="Normal 3 2 2 3 30" xfId="21349"/>
    <cellStyle name="Normal 3 2 2 3 30 2" xfId="44124"/>
    <cellStyle name="Normal 3 2 2 3 31" xfId="22005"/>
    <cellStyle name="Normal 3 2 2 3 31 2" xfId="44780"/>
    <cellStyle name="Normal 3 2 2 3 32" xfId="22661"/>
    <cellStyle name="Normal 3 2 2 3 32 2" xfId="45436"/>
    <cellStyle name="Normal 3 2 2 3 33" xfId="23460"/>
    <cellStyle name="Normal 3 2 2 3 4" xfId="4949"/>
    <cellStyle name="Normal 3 2 2 3 4 2" xfId="27724"/>
    <cellStyle name="Normal 3 2 2 3 5" xfId="5605"/>
    <cellStyle name="Normal 3 2 2 3 5 2" xfId="28380"/>
    <cellStyle name="Normal 3 2 2 3 6" xfId="6261"/>
    <cellStyle name="Normal 3 2 2 3 6 2" xfId="29036"/>
    <cellStyle name="Normal 3 2 2 3 7" xfId="2981"/>
    <cellStyle name="Normal 3 2 2 3 7 2" xfId="25756"/>
    <cellStyle name="Normal 3 2 2 3 8" xfId="6917"/>
    <cellStyle name="Normal 3 2 2 3 8 2" xfId="29692"/>
    <cellStyle name="Normal 3 2 2 3 9" xfId="7573"/>
    <cellStyle name="Normal 3 2 2 3 9 2" xfId="30348"/>
    <cellStyle name="Normal 3 2 2 30" xfId="19053"/>
    <cellStyle name="Normal 3 2 2 30 2" xfId="41828"/>
    <cellStyle name="Normal 3 2 2 31" xfId="19709"/>
    <cellStyle name="Normal 3 2 2 31 2" xfId="42484"/>
    <cellStyle name="Normal 3 2 2 32" xfId="20365"/>
    <cellStyle name="Normal 3 2 2 32 2" xfId="43140"/>
    <cellStyle name="Normal 3 2 2 33" xfId="21021"/>
    <cellStyle name="Normal 3 2 2 33 2" xfId="43796"/>
    <cellStyle name="Normal 3 2 2 34" xfId="21677"/>
    <cellStyle name="Normal 3 2 2 34 2" xfId="44452"/>
    <cellStyle name="Normal 3 2 2 35" xfId="22333"/>
    <cellStyle name="Normal 3 2 2 35 2" xfId="45108"/>
    <cellStyle name="Normal 3 2 2 36" xfId="22989"/>
    <cellStyle name="Normal 3 2 2 4" xfId="358"/>
    <cellStyle name="Normal 3 2 2 4 2" xfId="2653"/>
    <cellStyle name="Normal 3 2 2 4 2 2" xfId="25428"/>
    <cellStyle name="Normal 3 2 2 4 3" xfId="23132"/>
    <cellStyle name="Normal 3 2 2 5" xfId="1013"/>
    <cellStyle name="Normal 3 2 2 5 2" xfId="3309"/>
    <cellStyle name="Normal 3 2 2 5 2 2" xfId="26084"/>
    <cellStyle name="Normal 3 2 2 5 3" xfId="23788"/>
    <cellStyle name="Normal 3 2 2 6" xfId="1669"/>
    <cellStyle name="Normal 3 2 2 6 2" xfId="3965"/>
    <cellStyle name="Normal 3 2 2 6 2 2" xfId="26740"/>
    <cellStyle name="Normal 3 2 2 6 3" xfId="24444"/>
    <cellStyle name="Normal 3 2 2 7" xfId="4621"/>
    <cellStyle name="Normal 3 2 2 7 2" xfId="27396"/>
    <cellStyle name="Normal 3 2 2 8" xfId="5277"/>
    <cellStyle name="Normal 3 2 2 8 2" xfId="28052"/>
    <cellStyle name="Normal 3 2 2 9" xfId="5933"/>
    <cellStyle name="Normal 3 2 2 9 2" xfId="28708"/>
    <cellStyle name="Normal 3 2 20" xfId="11781"/>
    <cellStyle name="Normal 3 2 20 2" xfId="34556"/>
    <cellStyle name="Normal 3 2 21" xfId="12437"/>
    <cellStyle name="Normal 3 2 21 2" xfId="35212"/>
    <cellStyle name="Normal 3 2 22" xfId="13093"/>
    <cellStyle name="Normal 3 2 22 2" xfId="35868"/>
    <cellStyle name="Normal 3 2 23" xfId="13749"/>
    <cellStyle name="Normal 3 2 23 2" xfId="36524"/>
    <cellStyle name="Normal 3 2 24" xfId="14405"/>
    <cellStyle name="Normal 3 2 24 2" xfId="37180"/>
    <cellStyle name="Normal 3 2 25" xfId="15061"/>
    <cellStyle name="Normal 3 2 25 2" xfId="37836"/>
    <cellStyle name="Normal 3 2 26" xfId="15717"/>
    <cellStyle name="Normal 3 2 26 2" xfId="38492"/>
    <cellStyle name="Normal 3 2 27" xfId="16373"/>
    <cellStyle name="Normal 3 2 27 2" xfId="39148"/>
    <cellStyle name="Normal 3 2 28" xfId="17029"/>
    <cellStyle name="Normal 3 2 28 2" xfId="39804"/>
    <cellStyle name="Normal 3 2 29" xfId="17685"/>
    <cellStyle name="Normal 3 2 29 2" xfId="40460"/>
    <cellStyle name="Normal 3 2 3" xfId="487"/>
    <cellStyle name="Normal 3 2 3 10" xfId="6718"/>
    <cellStyle name="Normal 3 2 3 10 2" xfId="29493"/>
    <cellStyle name="Normal 3 2 3 11" xfId="7374"/>
    <cellStyle name="Normal 3 2 3 11 2" xfId="30149"/>
    <cellStyle name="Normal 3 2 3 12" xfId="8030"/>
    <cellStyle name="Normal 3 2 3 12 2" xfId="30805"/>
    <cellStyle name="Normal 3 2 3 13" xfId="8686"/>
    <cellStyle name="Normal 3 2 3 13 2" xfId="31461"/>
    <cellStyle name="Normal 3 2 3 14" xfId="9342"/>
    <cellStyle name="Normal 3 2 3 14 2" xfId="32117"/>
    <cellStyle name="Normal 3 2 3 15" xfId="9998"/>
    <cellStyle name="Normal 3 2 3 15 2" xfId="32773"/>
    <cellStyle name="Normal 3 2 3 16" xfId="10654"/>
    <cellStyle name="Normal 3 2 3 16 2" xfId="33429"/>
    <cellStyle name="Normal 3 2 3 17" xfId="11310"/>
    <cellStyle name="Normal 3 2 3 17 2" xfId="34085"/>
    <cellStyle name="Normal 3 2 3 18" xfId="11966"/>
    <cellStyle name="Normal 3 2 3 18 2" xfId="34741"/>
    <cellStyle name="Normal 3 2 3 19" xfId="12622"/>
    <cellStyle name="Normal 3 2 3 19 2" xfId="35397"/>
    <cellStyle name="Normal 3 2 3 2" xfId="814"/>
    <cellStyle name="Normal 3 2 3 2 10" xfId="8358"/>
    <cellStyle name="Normal 3 2 3 2 10 2" xfId="31133"/>
    <cellStyle name="Normal 3 2 3 2 11" xfId="9014"/>
    <cellStyle name="Normal 3 2 3 2 11 2" xfId="31789"/>
    <cellStyle name="Normal 3 2 3 2 12" xfId="9670"/>
    <cellStyle name="Normal 3 2 3 2 12 2" xfId="32445"/>
    <cellStyle name="Normal 3 2 3 2 13" xfId="10326"/>
    <cellStyle name="Normal 3 2 3 2 13 2" xfId="33101"/>
    <cellStyle name="Normal 3 2 3 2 14" xfId="10982"/>
    <cellStyle name="Normal 3 2 3 2 14 2" xfId="33757"/>
    <cellStyle name="Normal 3 2 3 2 15" xfId="11638"/>
    <cellStyle name="Normal 3 2 3 2 15 2" xfId="34413"/>
    <cellStyle name="Normal 3 2 3 2 16" xfId="12294"/>
    <cellStyle name="Normal 3 2 3 2 16 2" xfId="35069"/>
    <cellStyle name="Normal 3 2 3 2 17" xfId="12950"/>
    <cellStyle name="Normal 3 2 3 2 17 2" xfId="35725"/>
    <cellStyle name="Normal 3 2 3 2 18" xfId="13606"/>
    <cellStyle name="Normal 3 2 3 2 18 2" xfId="36381"/>
    <cellStyle name="Normal 3 2 3 2 19" xfId="14262"/>
    <cellStyle name="Normal 3 2 3 2 19 2" xfId="37037"/>
    <cellStyle name="Normal 3 2 3 2 2" xfId="1470"/>
    <cellStyle name="Normal 3 2 3 2 2 2" xfId="3766"/>
    <cellStyle name="Normal 3 2 3 2 2 2 2" xfId="26541"/>
    <cellStyle name="Normal 3 2 3 2 2 3" xfId="24245"/>
    <cellStyle name="Normal 3 2 3 2 20" xfId="14918"/>
    <cellStyle name="Normal 3 2 3 2 20 2" xfId="37693"/>
    <cellStyle name="Normal 3 2 3 2 21" xfId="15574"/>
    <cellStyle name="Normal 3 2 3 2 21 2" xfId="38349"/>
    <cellStyle name="Normal 3 2 3 2 22" xfId="16230"/>
    <cellStyle name="Normal 3 2 3 2 22 2" xfId="39005"/>
    <cellStyle name="Normal 3 2 3 2 23" xfId="16886"/>
    <cellStyle name="Normal 3 2 3 2 23 2" xfId="39661"/>
    <cellStyle name="Normal 3 2 3 2 24" xfId="17542"/>
    <cellStyle name="Normal 3 2 3 2 24 2" xfId="40317"/>
    <cellStyle name="Normal 3 2 3 2 25" xfId="18198"/>
    <cellStyle name="Normal 3 2 3 2 25 2" xfId="40973"/>
    <cellStyle name="Normal 3 2 3 2 26" xfId="18854"/>
    <cellStyle name="Normal 3 2 3 2 26 2" xfId="41629"/>
    <cellStyle name="Normal 3 2 3 2 27" xfId="19510"/>
    <cellStyle name="Normal 3 2 3 2 27 2" xfId="42285"/>
    <cellStyle name="Normal 3 2 3 2 28" xfId="20166"/>
    <cellStyle name="Normal 3 2 3 2 28 2" xfId="42941"/>
    <cellStyle name="Normal 3 2 3 2 29" xfId="20822"/>
    <cellStyle name="Normal 3 2 3 2 29 2" xfId="43597"/>
    <cellStyle name="Normal 3 2 3 2 3" xfId="2126"/>
    <cellStyle name="Normal 3 2 3 2 3 2" xfId="4422"/>
    <cellStyle name="Normal 3 2 3 2 3 2 2" xfId="27197"/>
    <cellStyle name="Normal 3 2 3 2 3 3" xfId="24901"/>
    <cellStyle name="Normal 3 2 3 2 30" xfId="21478"/>
    <cellStyle name="Normal 3 2 3 2 30 2" xfId="44253"/>
    <cellStyle name="Normal 3 2 3 2 31" xfId="22134"/>
    <cellStyle name="Normal 3 2 3 2 31 2" xfId="44909"/>
    <cellStyle name="Normal 3 2 3 2 32" xfId="22790"/>
    <cellStyle name="Normal 3 2 3 2 32 2" xfId="45565"/>
    <cellStyle name="Normal 3 2 3 2 33" xfId="23589"/>
    <cellStyle name="Normal 3 2 3 2 4" xfId="5078"/>
    <cellStyle name="Normal 3 2 3 2 4 2" xfId="27853"/>
    <cellStyle name="Normal 3 2 3 2 5" xfId="5734"/>
    <cellStyle name="Normal 3 2 3 2 5 2" xfId="28509"/>
    <cellStyle name="Normal 3 2 3 2 6" xfId="6390"/>
    <cellStyle name="Normal 3 2 3 2 6 2" xfId="29165"/>
    <cellStyle name="Normal 3 2 3 2 7" xfId="3110"/>
    <cellStyle name="Normal 3 2 3 2 7 2" xfId="25885"/>
    <cellStyle name="Normal 3 2 3 2 8" xfId="7046"/>
    <cellStyle name="Normal 3 2 3 2 8 2" xfId="29821"/>
    <cellStyle name="Normal 3 2 3 2 9" xfId="7702"/>
    <cellStyle name="Normal 3 2 3 2 9 2" xfId="30477"/>
    <cellStyle name="Normal 3 2 3 20" xfId="13278"/>
    <cellStyle name="Normal 3 2 3 20 2" xfId="36053"/>
    <cellStyle name="Normal 3 2 3 21" xfId="13934"/>
    <cellStyle name="Normal 3 2 3 21 2" xfId="36709"/>
    <cellStyle name="Normal 3 2 3 22" xfId="14590"/>
    <cellStyle name="Normal 3 2 3 22 2" xfId="37365"/>
    <cellStyle name="Normal 3 2 3 23" xfId="15246"/>
    <cellStyle name="Normal 3 2 3 23 2" xfId="38021"/>
    <cellStyle name="Normal 3 2 3 24" xfId="15902"/>
    <cellStyle name="Normal 3 2 3 24 2" xfId="38677"/>
    <cellStyle name="Normal 3 2 3 25" xfId="16558"/>
    <cellStyle name="Normal 3 2 3 25 2" xfId="39333"/>
    <cellStyle name="Normal 3 2 3 26" xfId="17214"/>
    <cellStyle name="Normal 3 2 3 26 2" xfId="39989"/>
    <cellStyle name="Normal 3 2 3 27" xfId="17870"/>
    <cellStyle name="Normal 3 2 3 27 2" xfId="40645"/>
    <cellStyle name="Normal 3 2 3 28" xfId="18526"/>
    <cellStyle name="Normal 3 2 3 28 2" xfId="41301"/>
    <cellStyle name="Normal 3 2 3 29" xfId="19182"/>
    <cellStyle name="Normal 3 2 3 29 2" xfId="41957"/>
    <cellStyle name="Normal 3 2 3 3" xfId="1142"/>
    <cellStyle name="Normal 3 2 3 3 2" xfId="2782"/>
    <cellStyle name="Normal 3 2 3 3 2 2" xfId="25557"/>
    <cellStyle name="Normal 3 2 3 3 3" xfId="23917"/>
    <cellStyle name="Normal 3 2 3 30" xfId="19838"/>
    <cellStyle name="Normal 3 2 3 30 2" xfId="42613"/>
    <cellStyle name="Normal 3 2 3 31" xfId="20494"/>
    <cellStyle name="Normal 3 2 3 31 2" xfId="43269"/>
    <cellStyle name="Normal 3 2 3 32" xfId="21150"/>
    <cellStyle name="Normal 3 2 3 32 2" xfId="43925"/>
    <cellStyle name="Normal 3 2 3 33" xfId="21806"/>
    <cellStyle name="Normal 3 2 3 33 2" xfId="44581"/>
    <cellStyle name="Normal 3 2 3 34" xfId="22462"/>
    <cellStyle name="Normal 3 2 3 34 2" xfId="45237"/>
    <cellStyle name="Normal 3 2 3 35" xfId="23261"/>
    <cellStyle name="Normal 3 2 3 4" xfId="1798"/>
    <cellStyle name="Normal 3 2 3 4 2" xfId="3438"/>
    <cellStyle name="Normal 3 2 3 4 2 2" xfId="26213"/>
    <cellStyle name="Normal 3 2 3 4 3" xfId="24573"/>
    <cellStyle name="Normal 3 2 3 5" xfId="4094"/>
    <cellStyle name="Normal 3 2 3 5 2" xfId="26869"/>
    <cellStyle name="Normal 3 2 3 6" xfId="4750"/>
    <cellStyle name="Normal 3 2 3 6 2" xfId="27525"/>
    <cellStyle name="Normal 3 2 3 7" xfId="5406"/>
    <cellStyle name="Normal 3 2 3 7 2" xfId="28181"/>
    <cellStyle name="Normal 3 2 3 8" xfId="6062"/>
    <cellStyle name="Normal 3 2 3 8 2" xfId="28837"/>
    <cellStyle name="Normal 3 2 3 9" xfId="2454"/>
    <cellStyle name="Normal 3 2 3 9 2" xfId="25229"/>
    <cellStyle name="Normal 3 2 30" xfId="18341"/>
    <cellStyle name="Normal 3 2 30 2" xfId="41116"/>
    <cellStyle name="Normal 3 2 31" xfId="18997"/>
    <cellStyle name="Normal 3 2 31 2" xfId="41772"/>
    <cellStyle name="Normal 3 2 32" xfId="19653"/>
    <cellStyle name="Normal 3 2 32 2" xfId="42428"/>
    <cellStyle name="Normal 3 2 33" xfId="20309"/>
    <cellStyle name="Normal 3 2 33 2" xfId="43084"/>
    <cellStyle name="Normal 3 2 34" xfId="20965"/>
    <cellStyle name="Normal 3 2 34 2" xfId="43740"/>
    <cellStyle name="Normal 3 2 35" xfId="21621"/>
    <cellStyle name="Normal 3 2 35 2" xfId="44396"/>
    <cellStyle name="Normal 3 2 36" xfId="22277"/>
    <cellStyle name="Normal 3 2 36 2" xfId="45052"/>
    <cellStyle name="Normal 3 2 37" xfId="216"/>
    <cellStyle name="Normal 3 2 38" xfId="22933"/>
    <cellStyle name="Normal 3 2 4" xfId="629"/>
    <cellStyle name="Normal 3 2 4 10" xfId="8173"/>
    <cellStyle name="Normal 3 2 4 10 2" xfId="30948"/>
    <cellStyle name="Normal 3 2 4 11" xfId="8829"/>
    <cellStyle name="Normal 3 2 4 11 2" xfId="31604"/>
    <cellStyle name="Normal 3 2 4 12" xfId="9485"/>
    <cellStyle name="Normal 3 2 4 12 2" xfId="32260"/>
    <cellStyle name="Normal 3 2 4 13" xfId="10141"/>
    <cellStyle name="Normal 3 2 4 13 2" xfId="32916"/>
    <cellStyle name="Normal 3 2 4 14" xfId="10797"/>
    <cellStyle name="Normal 3 2 4 14 2" xfId="33572"/>
    <cellStyle name="Normal 3 2 4 15" xfId="11453"/>
    <cellStyle name="Normal 3 2 4 15 2" xfId="34228"/>
    <cellStyle name="Normal 3 2 4 16" xfId="12109"/>
    <cellStyle name="Normal 3 2 4 16 2" xfId="34884"/>
    <cellStyle name="Normal 3 2 4 17" xfId="12765"/>
    <cellStyle name="Normal 3 2 4 17 2" xfId="35540"/>
    <cellStyle name="Normal 3 2 4 18" xfId="13421"/>
    <cellStyle name="Normal 3 2 4 18 2" xfId="36196"/>
    <cellStyle name="Normal 3 2 4 19" xfId="14077"/>
    <cellStyle name="Normal 3 2 4 19 2" xfId="36852"/>
    <cellStyle name="Normal 3 2 4 2" xfId="1285"/>
    <cellStyle name="Normal 3 2 4 2 2" xfId="3581"/>
    <cellStyle name="Normal 3 2 4 2 2 2" xfId="26356"/>
    <cellStyle name="Normal 3 2 4 2 3" xfId="24060"/>
    <cellStyle name="Normal 3 2 4 20" xfId="14733"/>
    <cellStyle name="Normal 3 2 4 20 2" xfId="37508"/>
    <cellStyle name="Normal 3 2 4 21" xfId="15389"/>
    <cellStyle name="Normal 3 2 4 21 2" xfId="38164"/>
    <cellStyle name="Normal 3 2 4 22" xfId="16045"/>
    <cellStyle name="Normal 3 2 4 22 2" xfId="38820"/>
    <cellStyle name="Normal 3 2 4 23" xfId="16701"/>
    <cellStyle name="Normal 3 2 4 23 2" xfId="39476"/>
    <cellStyle name="Normal 3 2 4 24" xfId="17357"/>
    <cellStyle name="Normal 3 2 4 24 2" xfId="40132"/>
    <cellStyle name="Normal 3 2 4 25" xfId="18013"/>
    <cellStyle name="Normal 3 2 4 25 2" xfId="40788"/>
    <cellStyle name="Normal 3 2 4 26" xfId="18669"/>
    <cellStyle name="Normal 3 2 4 26 2" xfId="41444"/>
    <cellStyle name="Normal 3 2 4 27" xfId="19325"/>
    <cellStyle name="Normal 3 2 4 27 2" xfId="42100"/>
    <cellStyle name="Normal 3 2 4 28" xfId="19981"/>
    <cellStyle name="Normal 3 2 4 28 2" xfId="42756"/>
    <cellStyle name="Normal 3 2 4 29" xfId="20637"/>
    <cellStyle name="Normal 3 2 4 29 2" xfId="43412"/>
    <cellStyle name="Normal 3 2 4 3" xfId="1941"/>
    <cellStyle name="Normal 3 2 4 3 2" xfId="4237"/>
    <cellStyle name="Normal 3 2 4 3 2 2" xfId="27012"/>
    <cellStyle name="Normal 3 2 4 3 3" xfId="24716"/>
    <cellStyle name="Normal 3 2 4 30" xfId="21293"/>
    <cellStyle name="Normal 3 2 4 30 2" xfId="44068"/>
    <cellStyle name="Normal 3 2 4 31" xfId="21949"/>
    <cellStyle name="Normal 3 2 4 31 2" xfId="44724"/>
    <cellStyle name="Normal 3 2 4 32" xfId="22605"/>
    <cellStyle name="Normal 3 2 4 32 2" xfId="45380"/>
    <cellStyle name="Normal 3 2 4 33" xfId="23404"/>
    <cellStyle name="Normal 3 2 4 4" xfId="4893"/>
    <cellStyle name="Normal 3 2 4 4 2" xfId="27668"/>
    <cellStyle name="Normal 3 2 4 5" xfId="5549"/>
    <cellStyle name="Normal 3 2 4 5 2" xfId="28324"/>
    <cellStyle name="Normal 3 2 4 6" xfId="6205"/>
    <cellStyle name="Normal 3 2 4 6 2" xfId="28980"/>
    <cellStyle name="Normal 3 2 4 7" xfId="2925"/>
    <cellStyle name="Normal 3 2 4 7 2" xfId="25700"/>
    <cellStyle name="Normal 3 2 4 8" xfId="6861"/>
    <cellStyle name="Normal 3 2 4 8 2" xfId="29636"/>
    <cellStyle name="Normal 3 2 4 9" xfId="7517"/>
    <cellStyle name="Normal 3 2 4 9 2" xfId="30292"/>
    <cellStyle name="Normal 3 2 5" xfId="302"/>
    <cellStyle name="Normal 3 2 5 2" xfId="2597"/>
    <cellStyle name="Normal 3 2 5 2 2" xfId="25372"/>
    <cellStyle name="Normal 3 2 5 3" xfId="23076"/>
    <cellStyle name="Normal 3 2 6" xfId="957"/>
    <cellStyle name="Normal 3 2 6 2" xfId="3253"/>
    <cellStyle name="Normal 3 2 6 2 2" xfId="26028"/>
    <cellStyle name="Normal 3 2 6 3" xfId="23732"/>
    <cellStyle name="Normal 3 2 7" xfId="1613"/>
    <cellStyle name="Normal 3 2 7 2" xfId="3909"/>
    <cellStyle name="Normal 3 2 7 2 2" xfId="26684"/>
    <cellStyle name="Normal 3 2 7 3" xfId="24388"/>
    <cellStyle name="Normal 3 2 8" xfId="4565"/>
    <cellStyle name="Normal 3 2 8 2" xfId="27340"/>
    <cellStyle name="Normal 3 2 9" xfId="5221"/>
    <cellStyle name="Normal 3 2 9 2" xfId="27996"/>
    <cellStyle name="Normal 3 20" xfId="10453"/>
    <cellStyle name="Normal 3 20 2" xfId="33228"/>
    <cellStyle name="Normal 3 21" xfId="11109"/>
    <cellStyle name="Normal 3 21 2" xfId="33884"/>
    <cellStyle name="Normal 3 22" xfId="11765"/>
    <cellStyle name="Normal 3 22 2" xfId="34540"/>
    <cellStyle name="Normal 3 23" xfId="12421"/>
    <cellStyle name="Normal 3 23 2" xfId="35196"/>
    <cellStyle name="Normal 3 24" xfId="13077"/>
    <cellStyle name="Normal 3 24 2" xfId="35852"/>
    <cellStyle name="Normal 3 25" xfId="13733"/>
    <cellStyle name="Normal 3 25 2" xfId="36508"/>
    <cellStyle name="Normal 3 26" xfId="14389"/>
    <cellStyle name="Normal 3 26 2" xfId="37164"/>
    <cellStyle name="Normal 3 27" xfId="15045"/>
    <cellStyle name="Normal 3 27 2" xfId="37820"/>
    <cellStyle name="Normal 3 28" xfId="15701"/>
    <cellStyle name="Normal 3 28 2" xfId="38476"/>
    <cellStyle name="Normal 3 29" xfId="16357"/>
    <cellStyle name="Normal 3 29 2" xfId="39132"/>
    <cellStyle name="Normal 3 3" xfId="65"/>
    <cellStyle name="Normal 3 3 10" xfId="2339"/>
    <cellStyle name="Normal 3 3 10 2" xfId="25114"/>
    <cellStyle name="Normal 3 3 11" xfId="6603"/>
    <cellStyle name="Normal 3 3 11 2" xfId="29378"/>
    <cellStyle name="Normal 3 3 12" xfId="7259"/>
    <cellStyle name="Normal 3 3 12 2" xfId="30034"/>
    <cellStyle name="Normal 3 3 13" xfId="7915"/>
    <cellStyle name="Normal 3 3 13 2" xfId="30690"/>
    <cellStyle name="Normal 3 3 14" xfId="8571"/>
    <cellStyle name="Normal 3 3 14 2" xfId="31346"/>
    <cellStyle name="Normal 3 3 15" xfId="9227"/>
    <cellStyle name="Normal 3 3 15 2" xfId="32002"/>
    <cellStyle name="Normal 3 3 16" xfId="9883"/>
    <cellStyle name="Normal 3 3 16 2" xfId="32658"/>
    <cellStyle name="Normal 3 3 17" xfId="10539"/>
    <cellStyle name="Normal 3 3 17 2" xfId="33314"/>
    <cellStyle name="Normal 3 3 18" xfId="11195"/>
    <cellStyle name="Normal 3 3 18 2" xfId="33970"/>
    <cellStyle name="Normal 3 3 19" xfId="11851"/>
    <cellStyle name="Normal 3 3 19 2" xfId="34626"/>
    <cellStyle name="Normal 3 3 2" xfId="555"/>
    <cellStyle name="Normal 3 3 2 10" xfId="6788"/>
    <cellStyle name="Normal 3 3 2 10 2" xfId="29563"/>
    <cellStyle name="Normal 3 3 2 11" xfId="7444"/>
    <cellStyle name="Normal 3 3 2 11 2" xfId="30219"/>
    <cellStyle name="Normal 3 3 2 12" xfId="8100"/>
    <cellStyle name="Normal 3 3 2 12 2" xfId="30875"/>
    <cellStyle name="Normal 3 3 2 13" xfId="8756"/>
    <cellStyle name="Normal 3 3 2 13 2" xfId="31531"/>
    <cellStyle name="Normal 3 3 2 14" xfId="9412"/>
    <cellStyle name="Normal 3 3 2 14 2" xfId="32187"/>
    <cellStyle name="Normal 3 3 2 15" xfId="10068"/>
    <cellStyle name="Normal 3 3 2 15 2" xfId="32843"/>
    <cellStyle name="Normal 3 3 2 16" xfId="10724"/>
    <cellStyle name="Normal 3 3 2 16 2" xfId="33499"/>
    <cellStyle name="Normal 3 3 2 17" xfId="11380"/>
    <cellStyle name="Normal 3 3 2 17 2" xfId="34155"/>
    <cellStyle name="Normal 3 3 2 18" xfId="12036"/>
    <cellStyle name="Normal 3 3 2 18 2" xfId="34811"/>
    <cellStyle name="Normal 3 3 2 19" xfId="12692"/>
    <cellStyle name="Normal 3 3 2 19 2" xfId="35467"/>
    <cellStyle name="Normal 3 3 2 2" xfId="884"/>
    <cellStyle name="Normal 3 3 2 2 10" xfId="8428"/>
    <cellStyle name="Normal 3 3 2 2 10 2" xfId="31203"/>
    <cellStyle name="Normal 3 3 2 2 11" xfId="9084"/>
    <cellStyle name="Normal 3 3 2 2 11 2" xfId="31859"/>
    <cellStyle name="Normal 3 3 2 2 12" xfId="9740"/>
    <cellStyle name="Normal 3 3 2 2 12 2" xfId="32515"/>
    <cellStyle name="Normal 3 3 2 2 13" xfId="10396"/>
    <cellStyle name="Normal 3 3 2 2 13 2" xfId="33171"/>
    <cellStyle name="Normal 3 3 2 2 14" xfId="11052"/>
    <cellStyle name="Normal 3 3 2 2 14 2" xfId="33827"/>
    <cellStyle name="Normal 3 3 2 2 15" xfId="11708"/>
    <cellStyle name="Normal 3 3 2 2 15 2" xfId="34483"/>
    <cellStyle name="Normal 3 3 2 2 16" xfId="12364"/>
    <cellStyle name="Normal 3 3 2 2 16 2" xfId="35139"/>
    <cellStyle name="Normal 3 3 2 2 17" xfId="13020"/>
    <cellStyle name="Normal 3 3 2 2 17 2" xfId="35795"/>
    <cellStyle name="Normal 3 3 2 2 18" xfId="13676"/>
    <cellStyle name="Normal 3 3 2 2 18 2" xfId="36451"/>
    <cellStyle name="Normal 3 3 2 2 19" xfId="14332"/>
    <cellStyle name="Normal 3 3 2 2 19 2" xfId="37107"/>
    <cellStyle name="Normal 3 3 2 2 2" xfId="1540"/>
    <cellStyle name="Normal 3 3 2 2 2 2" xfId="3836"/>
    <cellStyle name="Normal 3 3 2 2 2 2 2" xfId="26611"/>
    <cellStyle name="Normal 3 3 2 2 2 3" xfId="24315"/>
    <cellStyle name="Normal 3 3 2 2 20" xfId="14988"/>
    <cellStyle name="Normal 3 3 2 2 20 2" xfId="37763"/>
    <cellStyle name="Normal 3 3 2 2 21" xfId="15644"/>
    <cellStyle name="Normal 3 3 2 2 21 2" xfId="38419"/>
    <cellStyle name="Normal 3 3 2 2 22" xfId="16300"/>
    <cellStyle name="Normal 3 3 2 2 22 2" xfId="39075"/>
    <cellStyle name="Normal 3 3 2 2 23" xfId="16956"/>
    <cellStyle name="Normal 3 3 2 2 23 2" xfId="39731"/>
    <cellStyle name="Normal 3 3 2 2 24" xfId="17612"/>
    <cellStyle name="Normal 3 3 2 2 24 2" xfId="40387"/>
    <cellStyle name="Normal 3 3 2 2 25" xfId="18268"/>
    <cellStyle name="Normal 3 3 2 2 25 2" xfId="41043"/>
    <cellStyle name="Normal 3 3 2 2 26" xfId="18924"/>
    <cellStyle name="Normal 3 3 2 2 26 2" xfId="41699"/>
    <cellStyle name="Normal 3 3 2 2 27" xfId="19580"/>
    <cellStyle name="Normal 3 3 2 2 27 2" xfId="42355"/>
    <cellStyle name="Normal 3 3 2 2 28" xfId="20236"/>
    <cellStyle name="Normal 3 3 2 2 28 2" xfId="43011"/>
    <cellStyle name="Normal 3 3 2 2 29" xfId="20892"/>
    <cellStyle name="Normal 3 3 2 2 29 2" xfId="43667"/>
    <cellStyle name="Normal 3 3 2 2 3" xfId="2196"/>
    <cellStyle name="Normal 3 3 2 2 3 2" xfId="4492"/>
    <cellStyle name="Normal 3 3 2 2 3 2 2" xfId="27267"/>
    <cellStyle name="Normal 3 3 2 2 3 3" xfId="24971"/>
    <cellStyle name="Normal 3 3 2 2 30" xfId="21548"/>
    <cellStyle name="Normal 3 3 2 2 30 2" xfId="44323"/>
    <cellStyle name="Normal 3 3 2 2 31" xfId="22204"/>
    <cellStyle name="Normal 3 3 2 2 31 2" xfId="44979"/>
    <cellStyle name="Normal 3 3 2 2 32" xfId="22860"/>
    <cellStyle name="Normal 3 3 2 2 32 2" xfId="45635"/>
    <cellStyle name="Normal 3 3 2 2 33" xfId="23659"/>
    <cellStyle name="Normal 3 3 2 2 4" xfId="5148"/>
    <cellStyle name="Normal 3 3 2 2 4 2" xfId="27923"/>
    <cellStyle name="Normal 3 3 2 2 5" xfId="5804"/>
    <cellStyle name="Normal 3 3 2 2 5 2" xfId="28579"/>
    <cellStyle name="Normal 3 3 2 2 6" xfId="6460"/>
    <cellStyle name="Normal 3 3 2 2 6 2" xfId="29235"/>
    <cellStyle name="Normal 3 3 2 2 7" xfId="3180"/>
    <cellStyle name="Normal 3 3 2 2 7 2" xfId="25955"/>
    <cellStyle name="Normal 3 3 2 2 8" xfId="7116"/>
    <cellStyle name="Normal 3 3 2 2 8 2" xfId="29891"/>
    <cellStyle name="Normal 3 3 2 2 9" xfId="7772"/>
    <cellStyle name="Normal 3 3 2 2 9 2" xfId="30547"/>
    <cellStyle name="Normal 3 3 2 20" xfId="13348"/>
    <cellStyle name="Normal 3 3 2 20 2" xfId="36123"/>
    <cellStyle name="Normal 3 3 2 21" xfId="14004"/>
    <cellStyle name="Normal 3 3 2 21 2" xfId="36779"/>
    <cellStyle name="Normal 3 3 2 22" xfId="14660"/>
    <cellStyle name="Normal 3 3 2 22 2" xfId="37435"/>
    <cellStyle name="Normal 3 3 2 23" xfId="15316"/>
    <cellStyle name="Normal 3 3 2 23 2" xfId="38091"/>
    <cellStyle name="Normal 3 3 2 24" xfId="15972"/>
    <cellStyle name="Normal 3 3 2 24 2" xfId="38747"/>
    <cellStyle name="Normal 3 3 2 25" xfId="16628"/>
    <cellStyle name="Normal 3 3 2 25 2" xfId="39403"/>
    <cellStyle name="Normal 3 3 2 26" xfId="17284"/>
    <cellStyle name="Normal 3 3 2 26 2" xfId="40059"/>
    <cellStyle name="Normal 3 3 2 27" xfId="17940"/>
    <cellStyle name="Normal 3 3 2 27 2" xfId="40715"/>
    <cellStyle name="Normal 3 3 2 28" xfId="18596"/>
    <cellStyle name="Normal 3 3 2 28 2" xfId="41371"/>
    <cellStyle name="Normal 3 3 2 29" xfId="19252"/>
    <cellStyle name="Normal 3 3 2 29 2" xfId="42027"/>
    <cellStyle name="Normal 3 3 2 3" xfId="1212"/>
    <cellStyle name="Normal 3 3 2 3 2" xfId="2852"/>
    <cellStyle name="Normal 3 3 2 3 2 2" xfId="25627"/>
    <cellStyle name="Normal 3 3 2 3 3" xfId="23987"/>
    <cellStyle name="Normal 3 3 2 30" xfId="19908"/>
    <cellStyle name="Normal 3 3 2 30 2" xfId="42683"/>
    <cellStyle name="Normal 3 3 2 31" xfId="20564"/>
    <cellStyle name="Normal 3 3 2 31 2" xfId="43339"/>
    <cellStyle name="Normal 3 3 2 32" xfId="21220"/>
    <cellStyle name="Normal 3 3 2 32 2" xfId="43995"/>
    <cellStyle name="Normal 3 3 2 33" xfId="21876"/>
    <cellStyle name="Normal 3 3 2 33 2" xfId="44651"/>
    <cellStyle name="Normal 3 3 2 34" xfId="22532"/>
    <cellStyle name="Normal 3 3 2 34 2" xfId="45307"/>
    <cellStyle name="Normal 3 3 2 35" xfId="23331"/>
    <cellStyle name="Normal 3 3 2 4" xfId="1868"/>
    <cellStyle name="Normal 3 3 2 4 2" xfId="3508"/>
    <cellStyle name="Normal 3 3 2 4 2 2" xfId="26283"/>
    <cellStyle name="Normal 3 3 2 4 3" xfId="24643"/>
    <cellStyle name="Normal 3 3 2 5" xfId="4164"/>
    <cellStyle name="Normal 3 3 2 5 2" xfId="26939"/>
    <cellStyle name="Normal 3 3 2 6" xfId="4820"/>
    <cellStyle name="Normal 3 3 2 6 2" xfId="27595"/>
    <cellStyle name="Normal 3 3 2 7" xfId="5476"/>
    <cellStyle name="Normal 3 3 2 7 2" xfId="28251"/>
    <cellStyle name="Normal 3 3 2 8" xfId="6132"/>
    <cellStyle name="Normal 3 3 2 8 2" xfId="28907"/>
    <cellStyle name="Normal 3 3 2 9" xfId="2524"/>
    <cellStyle name="Normal 3 3 2 9 2" xfId="25299"/>
    <cellStyle name="Normal 3 3 20" xfId="12507"/>
    <cellStyle name="Normal 3 3 20 2" xfId="35282"/>
    <cellStyle name="Normal 3 3 21" xfId="13163"/>
    <cellStyle name="Normal 3 3 21 2" xfId="35938"/>
    <cellStyle name="Normal 3 3 22" xfId="13819"/>
    <cellStyle name="Normal 3 3 22 2" xfId="36594"/>
    <cellStyle name="Normal 3 3 23" xfId="14475"/>
    <cellStyle name="Normal 3 3 23 2" xfId="37250"/>
    <cellStyle name="Normal 3 3 24" xfId="15131"/>
    <cellStyle name="Normal 3 3 24 2" xfId="37906"/>
    <cellStyle name="Normal 3 3 25" xfId="15787"/>
    <cellStyle name="Normal 3 3 25 2" xfId="38562"/>
    <cellStyle name="Normal 3 3 26" xfId="16443"/>
    <cellStyle name="Normal 3 3 26 2" xfId="39218"/>
    <cellStyle name="Normal 3 3 27" xfId="17099"/>
    <cellStyle name="Normal 3 3 27 2" xfId="39874"/>
    <cellStyle name="Normal 3 3 28" xfId="17755"/>
    <cellStyle name="Normal 3 3 28 2" xfId="40530"/>
    <cellStyle name="Normal 3 3 29" xfId="18411"/>
    <cellStyle name="Normal 3 3 29 2" xfId="41186"/>
    <cellStyle name="Normal 3 3 3" xfId="699"/>
    <cellStyle name="Normal 3 3 3 10" xfId="8243"/>
    <cellStyle name="Normal 3 3 3 10 2" xfId="31018"/>
    <cellStyle name="Normal 3 3 3 11" xfId="8899"/>
    <cellStyle name="Normal 3 3 3 11 2" xfId="31674"/>
    <cellStyle name="Normal 3 3 3 12" xfId="9555"/>
    <cellStyle name="Normal 3 3 3 12 2" xfId="32330"/>
    <cellStyle name="Normal 3 3 3 13" xfId="10211"/>
    <cellStyle name="Normal 3 3 3 13 2" xfId="32986"/>
    <cellStyle name="Normal 3 3 3 14" xfId="10867"/>
    <cellStyle name="Normal 3 3 3 14 2" xfId="33642"/>
    <cellStyle name="Normal 3 3 3 15" xfId="11523"/>
    <cellStyle name="Normal 3 3 3 15 2" xfId="34298"/>
    <cellStyle name="Normal 3 3 3 16" xfId="12179"/>
    <cellStyle name="Normal 3 3 3 16 2" xfId="34954"/>
    <cellStyle name="Normal 3 3 3 17" xfId="12835"/>
    <cellStyle name="Normal 3 3 3 17 2" xfId="35610"/>
    <cellStyle name="Normal 3 3 3 18" xfId="13491"/>
    <cellStyle name="Normal 3 3 3 18 2" xfId="36266"/>
    <cellStyle name="Normal 3 3 3 19" xfId="14147"/>
    <cellStyle name="Normal 3 3 3 19 2" xfId="36922"/>
    <cellStyle name="Normal 3 3 3 2" xfId="1355"/>
    <cellStyle name="Normal 3 3 3 2 2" xfId="3651"/>
    <cellStyle name="Normal 3 3 3 2 2 2" xfId="26426"/>
    <cellStyle name="Normal 3 3 3 2 3" xfId="24130"/>
    <cellStyle name="Normal 3 3 3 20" xfId="14803"/>
    <cellStyle name="Normal 3 3 3 20 2" xfId="37578"/>
    <cellStyle name="Normal 3 3 3 21" xfId="15459"/>
    <cellStyle name="Normal 3 3 3 21 2" xfId="38234"/>
    <cellStyle name="Normal 3 3 3 22" xfId="16115"/>
    <cellStyle name="Normal 3 3 3 22 2" xfId="38890"/>
    <cellStyle name="Normal 3 3 3 23" xfId="16771"/>
    <cellStyle name="Normal 3 3 3 23 2" xfId="39546"/>
    <cellStyle name="Normal 3 3 3 24" xfId="17427"/>
    <cellStyle name="Normal 3 3 3 24 2" xfId="40202"/>
    <cellStyle name="Normal 3 3 3 25" xfId="18083"/>
    <cellStyle name="Normal 3 3 3 25 2" xfId="40858"/>
    <cellStyle name="Normal 3 3 3 26" xfId="18739"/>
    <cellStyle name="Normal 3 3 3 26 2" xfId="41514"/>
    <cellStyle name="Normal 3 3 3 27" xfId="19395"/>
    <cellStyle name="Normal 3 3 3 27 2" xfId="42170"/>
    <cellStyle name="Normal 3 3 3 28" xfId="20051"/>
    <cellStyle name="Normal 3 3 3 28 2" xfId="42826"/>
    <cellStyle name="Normal 3 3 3 29" xfId="20707"/>
    <cellStyle name="Normal 3 3 3 29 2" xfId="43482"/>
    <cellStyle name="Normal 3 3 3 3" xfId="2011"/>
    <cellStyle name="Normal 3 3 3 3 2" xfId="4307"/>
    <cellStyle name="Normal 3 3 3 3 2 2" xfId="27082"/>
    <cellStyle name="Normal 3 3 3 3 3" xfId="24786"/>
    <cellStyle name="Normal 3 3 3 30" xfId="21363"/>
    <cellStyle name="Normal 3 3 3 30 2" xfId="44138"/>
    <cellStyle name="Normal 3 3 3 31" xfId="22019"/>
    <cellStyle name="Normal 3 3 3 31 2" xfId="44794"/>
    <cellStyle name="Normal 3 3 3 32" xfId="22675"/>
    <cellStyle name="Normal 3 3 3 32 2" xfId="45450"/>
    <cellStyle name="Normal 3 3 3 33" xfId="23474"/>
    <cellStyle name="Normal 3 3 3 4" xfId="4963"/>
    <cellStyle name="Normal 3 3 3 4 2" xfId="27738"/>
    <cellStyle name="Normal 3 3 3 5" xfId="5619"/>
    <cellStyle name="Normal 3 3 3 5 2" xfId="28394"/>
    <cellStyle name="Normal 3 3 3 6" xfId="6275"/>
    <cellStyle name="Normal 3 3 3 6 2" xfId="29050"/>
    <cellStyle name="Normal 3 3 3 7" xfId="2995"/>
    <cellStyle name="Normal 3 3 3 7 2" xfId="25770"/>
    <cellStyle name="Normal 3 3 3 8" xfId="6931"/>
    <cellStyle name="Normal 3 3 3 8 2" xfId="29706"/>
    <cellStyle name="Normal 3 3 3 9" xfId="7587"/>
    <cellStyle name="Normal 3 3 3 9 2" xfId="30362"/>
    <cellStyle name="Normal 3 3 30" xfId="19067"/>
    <cellStyle name="Normal 3 3 30 2" xfId="41842"/>
    <cellStyle name="Normal 3 3 31" xfId="19723"/>
    <cellStyle name="Normal 3 3 31 2" xfId="42498"/>
    <cellStyle name="Normal 3 3 32" xfId="20379"/>
    <cellStyle name="Normal 3 3 32 2" xfId="43154"/>
    <cellStyle name="Normal 3 3 33" xfId="21035"/>
    <cellStyle name="Normal 3 3 33 2" xfId="43810"/>
    <cellStyle name="Normal 3 3 34" xfId="21691"/>
    <cellStyle name="Normal 3 3 34 2" xfId="44466"/>
    <cellStyle name="Normal 3 3 35" xfId="22347"/>
    <cellStyle name="Normal 3 3 35 2" xfId="45122"/>
    <cellStyle name="Normal 3 3 36" xfId="272"/>
    <cellStyle name="Normal 3 3 37" xfId="23003"/>
    <cellStyle name="Normal 3 3 4" xfId="372"/>
    <cellStyle name="Normal 3 3 4 2" xfId="2667"/>
    <cellStyle name="Normal 3 3 4 2 2" xfId="25442"/>
    <cellStyle name="Normal 3 3 4 3" xfId="23146"/>
    <cellStyle name="Normal 3 3 5" xfId="1027"/>
    <cellStyle name="Normal 3 3 5 2" xfId="3323"/>
    <cellStyle name="Normal 3 3 5 2 2" xfId="26098"/>
    <cellStyle name="Normal 3 3 5 3" xfId="23802"/>
    <cellStyle name="Normal 3 3 6" xfId="1683"/>
    <cellStyle name="Normal 3 3 6 2" xfId="3979"/>
    <cellStyle name="Normal 3 3 6 2 2" xfId="26754"/>
    <cellStyle name="Normal 3 3 6 3" xfId="24458"/>
    <cellStyle name="Normal 3 3 7" xfId="4635"/>
    <cellStyle name="Normal 3 3 7 2" xfId="27410"/>
    <cellStyle name="Normal 3 3 8" xfId="5291"/>
    <cellStyle name="Normal 3 3 8 2" xfId="28066"/>
    <cellStyle name="Normal 3 3 9" xfId="5947"/>
    <cellStyle name="Normal 3 3 9 2" xfId="28722"/>
    <cellStyle name="Normal 3 30" xfId="17013"/>
    <cellStyle name="Normal 3 30 2" xfId="39788"/>
    <cellStyle name="Normal 3 31" xfId="17669"/>
    <cellStyle name="Normal 3 31 2" xfId="40444"/>
    <cellStyle name="Normal 3 32" xfId="18325"/>
    <cellStyle name="Normal 3 32 2" xfId="41100"/>
    <cellStyle name="Normal 3 33" xfId="18981"/>
    <cellStyle name="Normal 3 33 2" xfId="41756"/>
    <cellStyle name="Normal 3 34" xfId="19637"/>
    <cellStyle name="Normal 3 34 2" xfId="42412"/>
    <cellStyle name="Normal 3 35" xfId="20293"/>
    <cellStyle name="Normal 3 35 2" xfId="43068"/>
    <cellStyle name="Normal 3 36" xfId="20949"/>
    <cellStyle name="Normal 3 36 2" xfId="43724"/>
    <cellStyle name="Normal 3 37" xfId="21605"/>
    <cellStyle name="Normal 3 37 2" xfId="44380"/>
    <cellStyle name="Normal 3 38" xfId="22261"/>
    <cellStyle name="Normal 3 38 2" xfId="45036"/>
    <cellStyle name="Normal 3 39" xfId="200"/>
    <cellStyle name="Normal 3 4" xfId="81"/>
    <cellStyle name="Normal 3 4 10" xfId="2312"/>
    <cellStyle name="Normal 3 4 10 2" xfId="25087"/>
    <cellStyle name="Normal 3 4 11" xfId="6576"/>
    <cellStyle name="Normal 3 4 11 2" xfId="29351"/>
    <cellStyle name="Normal 3 4 12" xfId="7232"/>
    <cellStyle name="Normal 3 4 12 2" xfId="30007"/>
    <cellStyle name="Normal 3 4 13" xfId="7888"/>
    <cellStyle name="Normal 3 4 13 2" xfId="30663"/>
    <cellStyle name="Normal 3 4 14" xfId="8544"/>
    <cellStyle name="Normal 3 4 14 2" xfId="31319"/>
    <cellStyle name="Normal 3 4 15" xfId="9200"/>
    <cellStyle name="Normal 3 4 15 2" xfId="31975"/>
    <cellStyle name="Normal 3 4 16" xfId="9856"/>
    <cellStyle name="Normal 3 4 16 2" xfId="32631"/>
    <cellStyle name="Normal 3 4 17" xfId="10512"/>
    <cellStyle name="Normal 3 4 17 2" xfId="33287"/>
    <cellStyle name="Normal 3 4 18" xfId="11168"/>
    <cellStyle name="Normal 3 4 18 2" xfId="33943"/>
    <cellStyle name="Normal 3 4 19" xfId="11824"/>
    <cellStyle name="Normal 3 4 19 2" xfId="34599"/>
    <cellStyle name="Normal 3 4 2" xfId="114"/>
    <cellStyle name="Normal 3 4 2 10" xfId="6761"/>
    <cellStyle name="Normal 3 4 2 10 2" xfId="29536"/>
    <cellStyle name="Normal 3 4 2 11" xfId="7417"/>
    <cellStyle name="Normal 3 4 2 11 2" xfId="30192"/>
    <cellStyle name="Normal 3 4 2 12" xfId="8073"/>
    <cellStyle name="Normal 3 4 2 12 2" xfId="30848"/>
    <cellStyle name="Normal 3 4 2 13" xfId="8729"/>
    <cellStyle name="Normal 3 4 2 13 2" xfId="31504"/>
    <cellStyle name="Normal 3 4 2 14" xfId="9385"/>
    <cellStyle name="Normal 3 4 2 14 2" xfId="32160"/>
    <cellStyle name="Normal 3 4 2 15" xfId="10041"/>
    <cellStyle name="Normal 3 4 2 15 2" xfId="32816"/>
    <cellStyle name="Normal 3 4 2 16" xfId="10697"/>
    <cellStyle name="Normal 3 4 2 16 2" xfId="33472"/>
    <cellStyle name="Normal 3 4 2 17" xfId="11353"/>
    <cellStyle name="Normal 3 4 2 17 2" xfId="34128"/>
    <cellStyle name="Normal 3 4 2 18" xfId="12009"/>
    <cellStyle name="Normal 3 4 2 18 2" xfId="34784"/>
    <cellStyle name="Normal 3 4 2 19" xfId="12665"/>
    <cellStyle name="Normal 3 4 2 19 2" xfId="35440"/>
    <cellStyle name="Normal 3 4 2 2" xfId="857"/>
    <cellStyle name="Normal 3 4 2 2 10" xfId="8401"/>
    <cellStyle name="Normal 3 4 2 2 10 2" xfId="31176"/>
    <cellStyle name="Normal 3 4 2 2 11" xfId="9057"/>
    <cellStyle name="Normal 3 4 2 2 11 2" xfId="31832"/>
    <cellStyle name="Normal 3 4 2 2 12" xfId="9713"/>
    <cellStyle name="Normal 3 4 2 2 12 2" xfId="32488"/>
    <cellStyle name="Normal 3 4 2 2 13" xfId="10369"/>
    <cellStyle name="Normal 3 4 2 2 13 2" xfId="33144"/>
    <cellStyle name="Normal 3 4 2 2 14" xfId="11025"/>
    <cellStyle name="Normal 3 4 2 2 14 2" xfId="33800"/>
    <cellStyle name="Normal 3 4 2 2 15" xfId="11681"/>
    <cellStyle name="Normal 3 4 2 2 15 2" xfId="34456"/>
    <cellStyle name="Normal 3 4 2 2 16" xfId="12337"/>
    <cellStyle name="Normal 3 4 2 2 16 2" xfId="35112"/>
    <cellStyle name="Normal 3 4 2 2 17" xfId="12993"/>
    <cellStyle name="Normal 3 4 2 2 17 2" xfId="35768"/>
    <cellStyle name="Normal 3 4 2 2 18" xfId="13649"/>
    <cellStyle name="Normal 3 4 2 2 18 2" xfId="36424"/>
    <cellStyle name="Normal 3 4 2 2 19" xfId="14305"/>
    <cellStyle name="Normal 3 4 2 2 19 2" xfId="37080"/>
    <cellStyle name="Normal 3 4 2 2 2" xfId="1513"/>
    <cellStyle name="Normal 3 4 2 2 2 2" xfId="3809"/>
    <cellStyle name="Normal 3 4 2 2 2 2 2" xfId="26584"/>
    <cellStyle name="Normal 3 4 2 2 2 3" xfId="24288"/>
    <cellStyle name="Normal 3 4 2 2 20" xfId="14961"/>
    <cellStyle name="Normal 3 4 2 2 20 2" xfId="37736"/>
    <cellStyle name="Normal 3 4 2 2 21" xfId="15617"/>
    <cellStyle name="Normal 3 4 2 2 21 2" xfId="38392"/>
    <cellStyle name="Normal 3 4 2 2 22" xfId="16273"/>
    <cellStyle name="Normal 3 4 2 2 22 2" xfId="39048"/>
    <cellStyle name="Normal 3 4 2 2 23" xfId="16929"/>
    <cellStyle name="Normal 3 4 2 2 23 2" xfId="39704"/>
    <cellStyle name="Normal 3 4 2 2 24" xfId="17585"/>
    <cellStyle name="Normal 3 4 2 2 24 2" xfId="40360"/>
    <cellStyle name="Normal 3 4 2 2 25" xfId="18241"/>
    <cellStyle name="Normal 3 4 2 2 25 2" xfId="41016"/>
    <cellStyle name="Normal 3 4 2 2 26" xfId="18897"/>
    <cellStyle name="Normal 3 4 2 2 26 2" xfId="41672"/>
    <cellStyle name="Normal 3 4 2 2 27" xfId="19553"/>
    <cellStyle name="Normal 3 4 2 2 27 2" xfId="42328"/>
    <cellStyle name="Normal 3 4 2 2 28" xfId="20209"/>
    <cellStyle name="Normal 3 4 2 2 28 2" xfId="42984"/>
    <cellStyle name="Normal 3 4 2 2 29" xfId="20865"/>
    <cellStyle name="Normal 3 4 2 2 29 2" xfId="43640"/>
    <cellStyle name="Normal 3 4 2 2 3" xfId="2169"/>
    <cellStyle name="Normal 3 4 2 2 3 2" xfId="4465"/>
    <cellStyle name="Normal 3 4 2 2 3 2 2" xfId="27240"/>
    <cellStyle name="Normal 3 4 2 2 3 3" xfId="24944"/>
    <cellStyle name="Normal 3 4 2 2 30" xfId="21521"/>
    <cellStyle name="Normal 3 4 2 2 30 2" xfId="44296"/>
    <cellStyle name="Normal 3 4 2 2 31" xfId="22177"/>
    <cellStyle name="Normal 3 4 2 2 31 2" xfId="44952"/>
    <cellStyle name="Normal 3 4 2 2 32" xfId="22833"/>
    <cellStyle name="Normal 3 4 2 2 32 2" xfId="45608"/>
    <cellStyle name="Normal 3 4 2 2 33" xfId="23632"/>
    <cellStyle name="Normal 3 4 2 2 4" xfId="5121"/>
    <cellStyle name="Normal 3 4 2 2 4 2" xfId="27896"/>
    <cellStyle name="Normal 3 4 2 2 5" xfId="5777"/>
    <cellStyle name="Normal 3 4 2 2 5 2" xfId="28552"/>
    <cellStyle name="Normal 3 4 2 2 6" xfId="6433"/>
    <cellStyle name="Normal 3 4 2 2 6 2" xfId="29208"/>
    <cellStyle name="Normal 3 4 2 2 7" xfId="3153"/>
    <cellStyle name="Normal 3 4 2 2 7 2" xfId="25928"/>
    <cellStyle name="Normal 3 4 2 2 8" xfId="7089"/>
    <cellStyle name="Normal 3 4 2 2 8 2" xfId="29864"/>
    <cellStyle name="Normal 3 4 2 2 9" xfId="7745"/>
    <cellStyle name="Normal 3 4 2 2 9 2" xfId="30520"/>
    <cellStyle name="Normal 3 4 2 20" xfId="13321"/>
    <cellStyle name="Normal 3 4 2 20 2" xfId="36096"/>
    <cellStyle name="Normal 3 4 2 21" xfId="13977"/>
    <cellStyle name="Normal 3 4 2 21 2" xfId="36752"/>
    <cellStyle name="Normal 3 4 2 22" xfId="14633"/>
    <cellStyle name="Normal 3 4 2 22 2" xfId="37408"/>
    <cellStyle name="Normal 3 4 2 23" xfId="15289"/>
    <cellStyle name="Normal 3 4 2 23 2" xfId="38064"/>
    <cellStyle name="Normal 3 4 2 24" xfId="15945"/>
    <cellStyle name="Normal 3 4 2 24 2" xfId="38720"/>
    <cellStyle name="Normal 3 4 2 25" xfId="16601"/>
    <cellStyle name="Normal 3 4 2 25 2" xfId="39376"/>
    <cellStyle name="Normal 3 4 2 26" xfId="17257"/>
    <cellStyle name="Normal 3 4 2 26 2" xfId="40032"/>
    <cellStyle name="Normal 3 4 2 27" xfId="17913"/>
    <cellStyle name="Normal 3 4 2 27 2" xfId="40688"/>
    <cellStyle name="Normal 3 4 2 28" xfId="18569"/>
    <cellStyle name="Normal 3 4 2 28 2" xfId="41344"/>
    <cellStyle name="Normal 3 4 2 29" xfId="19225"/>
    <cellStyle name="Normal 3 4 2 29 2" xfId="42000"/>
    <cellStyle name="Normal 3 4 2 3" xfId="1185"/>
    <cellStyle name="Normal 3 4 2 3 2" xfId="2825"/>
    <cellStyle name="Normal 3 4 2 3 2 2" xfId="25600"/>
    <cellStyle name="Normal 3 4 2 3 3" xfId="23960"/>
    <cellStyle name="Normal 3 4 2 30" xfId="19881"/>
    <cellStyle name="Normal 3 4 2 30 2" xfId="42656"/>
    <cellStyle name="Normal 3 4 2 31" xfId="20537"/>
    <cellStyle name="Normal 3 4 2 31 2" xfId="43312"/>
    <cellStyle name="Normal 3 4 2 32" xfId="21193"/>
    <cellStyle name="Normal 3 4 2 32 2" xfId="43968"/>
    <cellStyle name="Normal 3 4 2 33" xfId="21849"/>
    <cellStyle name="Normal 3 4 2 33 2" xfId="44624"/>
    <cellStyle name="Normal 3 4 2 34" xfId="22505"/>
    <cellStyle name="Normal 3 4 2 34 2" xfId="45280"/>
    <cellStyle name="Normal 3 4 2 35" xfId="23304"/>
    <cellStyle name="Normal 3 4 2 4" xfId="1841"/>
    <cellStyle name="Normal 3 4 2 4 2" xfId="3481"/>
    <cellStyle name="Normal 3 4 2 4 2 2" xfId="26256"/>
    <cellStyle name="Normal 3 4 2 4 3" xfId="24616"/>
    <cellStyle name="Normal 3 4 2 5" xfId="4137"/>
    <cellStyle name="Normal 3 4 2 5 2" xfId="26912"/>
    <cellStyle name="Normal 3 4 2 6" xfId="4793"/>
    <cellStyle name="Normal 3 4 2 6 2" xfId="27568"/>
    <cellStyle name="Normal 3 4 2 7" xfId="5449"/>
    <cellStyle name="Normal 3 4 2 7 2" xfId="28224"/>
    <cellStyle name="Normal 3 4 2 8" xfId="6105"/>
    <cellStyle name="Normal 3 4 2 8 2" xfId="28880"/>
    <cellStyle name="Normal 3 4 2 9" xfId="2497"/>
    <cellStyle name="Normal 3 4 2 9 2" xfId="25272"/>
    <cellStyle name="Normal 3 4 20" xfId="12480"/>
    <cellStyle name="Normal 3 4 20 2" xfId="35255"/>
    <cellStyle name="Normal 3 4 21" xfId="13136"/>
    <cellStyle name="Normal 3 4 21 2" xfId="35911"/>
    <cellStyle name="Normal 3 4 22" xfId="13792"/>
    <cellStyle name="Normal 3 4 22 2" xfId="36567"/>
    <cellStyle name="Normal 3 4 23" xfId="14448"/>
    <cellStyle name="Normal 3 4 23 2" xfId="37223"/>
    <cellStyle name="Normal 3 4 24" xfId="15104"/>
    <cellStyle name="Normal 3 4 24 2" xfId="37879"/>
    <cellStyle name="Normal 3 4 25" xfId="15760"/>
    <cellStyle name="Normal 3 4 25 2" xfId="38535"/>
    <cellStyle name="Normal 3 4 26" xfId="16416"/>
    <cellStyle name="Normal 3 4 26 2" xfId="39191"/>
    <cellStyle name="Normal 3 4 27" xfId="17072"/>
    <cellStyle name="Normal 3 4 27 2" xfId="39847"/>
    <cellStyle name="Normal 3 4 28" xfId="17728"/>
    <cellStyle name="Normal 3 4 28 2" xfId="40503"/>
    <cellStyle name="Normal 3 4 29" xfId="18384"/>
    <cellStyle name="Normal 3 4 29 2" xfId="41159"/>
    <cellStyle name="Normal 3 4 3" xfId="672"/>
    <cellStyle name="Normal 3 4 3 10" xfId="8216"/>
    <cellStyle name="Normal 3 4 3 10 2" xfId="30991"/>
    <cellStyle name="Normal 3 4 3 11" xfId="8872"/>
    <cellStyle name="Normal 3 4 3 11 2" xfId="31647"/>
    <cellStyle name="Normal 3 4 3 12" xfId="9528"/>
    <cellStyle name="Normal 3 4 3 12 2" xfId="32303"/>
    <cellStyle name="Normal 3 4 3 13" xfId="10184"/>
    <cellStyle name="Normal 3 4 3 13 2" xfId="32959"/>
    <cellStyle name="Normal 3 4 3 14" xfId="10840"/>
    <cellStyle name="Normal 3 4 3 14 2" xfId="33615"/>
    <cellStyle name="Normal 3 4 3 15" xfId="11496"/>
    <cellStyle name="Normal 3 4 3 15 2" xfId="34271"/>
    <cellStyle name="Normal 3 4 3 16" xfId="12152"/>
    <cellStyle name="Normal 3 4 3 16 2" xfId="34927"/>
    <cellStyle name="Normal 3 4 3 17" xfId="12808"/>
    <cellStyle name="Normal 3 4 3 17 2" xfId="35583"/>
    <cellStyle name="Normal 3 4 3 18" xfId="13464"/>
    <cellStyle name="Normal 3 4 3 18 2" xfId="36239"/>
    <cellStyle name="Normal 3 4 3 19" xfId="14120"/>
    <cellStyle name="Normal 3 4 3 19 2" xfId="36895"/>
    <cellStyle name="Normal 3 4 3 2" xfId="1328"/>
    <cellStyle name="Normal 3 4 3 2 2" xfId="3624"/>
    <cellStyle name="Normal 3 4 3 2 2 2" xfId="26399"/>
    <cellStyle name="Normal 3 4 3 2 3" xfId="24103"/>
    <cellStyle name="Normal 3 4 3 20" xfId="14776"/>
    <cellStyle name="Normal 3 4 3 20 2" xfId="37551"/>
    <cellStyle name="Normal 3 4 3 21" xfId="15432"/>
    <cellStyle name="Normal 3 4 3 21 2" xfId="38207"/>
    <cellStyle name="Normal 3 4 3 22" xfId="16088"/>
    <cellStyle name="Normal 3 4 3 22 2" xfId="38863"/>
    <cellStyle name="Normal 3 4 3 23" xfId="16744"/>
    <cellStyle name="Normal 3 4 3 23 2" xfId="39519"/>
    <cellStyle name="Normal 3 4 3 24" xfId="17400"/>
    <cellStyle name="Normal 3 4 3 24 2" xfId="40175"/>
    <cellStyle name="Normal 3 4 3 25" xfId="18056"/>
    <cellStyle name="Normal 3 4 3 25 2" xfId="40831"/>
    <cellStyle name="Normal 3 4 3 26" xfId="18712"/>
    <cellStyle name="Normal 3 4 3 26 2" xfId="41487"/>
    <cellStyle name="Normal 3 4 3 27" xfId="19368"/>
    <cellStyle name="Normal 3 4 3 27 2" xfId="42143"/>
    <cellStyle name="Normal 3 4 3 28" xfId="20024"/>
    <cellStyle name="Normal 3 4 3 28 2" xfId="42799"/>
    <cellStyle name="Normal 3 4 3 29" xfId="20680"/>
    <cellStyle name="Normal 3 4 3 29 2" xfId="43455"/>
    <cellStyle name="Normal 3 4 3 3" xfId="1984"/>
    <cellStyle name="Normal 3 4 3 3 2" xfId="4280"/>
    <cellStyle name="Normal 3 4 3 3 2 2" xfId="27055"/>
    <cellStyle name="Normal 3 4 3 3 3" xfId="24759"/>
    <cellStyle name="Normal 3 4 3 30" xfId="21336"/>
    <cellStyle name="Normal 3 4 3 30 2" xfId="44111"/>
    <cellStyle name="Normal 3 4 3 31" xfId="21992"/>
    <cellStyle name="Normal 3 4 3 31 2" xfId="44767"/>
    <cellStyle name="Normal 3 4 3 32" xfId="22648"/>
    <cellStyle name="Normal 3 4 3 32 2" xfId="45423"/>
    <cellStyle name="Normal 3 4 3 33" xfId="23447"/>
    <cellStyle name="Normal 3 4 3 4" xfId="4936"/>
    <cellStyle name="Normal 3 4 3 4 2" xfId="27711"/>
    <cellStyle name="Normal 3 4 3 5" xfId="5592"/>
    <cellStyle name="Normal 3 4 3 5 2" xfId="28367"/>
    <cellStyle name="Normal 3 4 3 6" xfId="6248"/>
    <cellStyle name="Normal 3 4 3 6 2" xfId="29023"/>
    <cellStyle name="Normal 3 4 3 7" xfId="2968"/>
    <cellStyle name="Normal 3 4 3 7 2" xfId="25743"/>
    <cellStyle name="Normal 3 4 3 8" xfId="6904"/>
    <cellStyle name="Normal 3 4 3 8 2" xfId="29679"/>
    <cellStyle name="Normal 3 4 3 9" xfId="7560"/>
    <cellStyle name="Normal 3 4 3 9 2" xfId="30335"/>
    <cellStyle name="Normal 3 4 30" xfId="19040"/>
    <cellStyle name="Normal 3 4 30 2" xfId="41815"/>
    <cellStyle name="Normal 3 4 31" xfId="19696"/>
    <cellStyle name="Normal 3 4 31 2" xfId="42471"/>
    <cellStyle name="Normal 3 4 32" xfId="20352"/>
    <cellStyle name="Normal 3 4 32 2" xfId="43127"/>
    <cellStyle name="Normal 3 4 33" xfId="21008"/>
    <cellStyle name="Normal 3 4 33 2" xfId="43783"/>
    <cellStyle name="Normal 3 4 34" xfId="21664"/>
    <cellStyle name="Normal 3 4 34 2" xfId="44439"/>
    <cellStyle name="Normal 3 4 35" xfId="22320"/>
    <cellStyle name="Normal 3 4 35 2" xfId="45095"/>
    <cellStyle name="Normal 3 4 36" xfId="259"/>
    <cellStyle name="Normal 3 4 37" xfId="22976"/>
    <cellStyle name="Normal 3 4 4" xfId="345"/>
    <cellStyle name="Normal 3 4 4 2" xfId="2640"/>
    <cellStyle name="Normal 3 4 4 2 2" xfId="25415"/>
    <cellStyle name="Normal 3 4 4 3" xfId="23119"/>
    <cellStyle name="Normal 3 4 5" xfId="1000"/>
    <cellStyle name="Normal 3 4 5 2" xfId="3296"/>
    <cellStyle name="Normal 3 4 5 2 2" xfId="26071"/>
    <cellStyle name="Normal 3 4 5 3" xfId="23775"/>
    <cellStyle name="Normal 3 4 6" xfId="1656"/>
    <cellStyle name="Normal 3 4 6 2" xfId="3952"/>
    <cellStyle name="Normal 3 4 6 2 2" xfId="26727"/>
    <cellStyle name="Normal 3 4 6 3" xfId="24431"/>
    <cellStyle name="Normal 3 4 7" xfId="4608"/>
    <cellStyle name="Normal 3 4 7 2" xfId="27383"/>
    <cellStyle name="Normal 3 4 8" xfId="5264"/>
    <cellStyle name="Normal 3 4 8 2" xfId="28039"/>
    <cellStyle name="Normal 3 4 9" xfId="5920"/>
    <cellStyle name="Normal 3 4 9 2" xfId="28695"/>
    <cellStyle name="Normal 3 40" xfId="22917"/>
    <cellStyle name="Normal 3 41" xfId="48"/>
    <cellStyle name="Normal 3 5" xfId="82"/>
    <cellStyle name="Normal 3 5 10" xfId="6702"/>
    <cellStyle name="Normal 3 5 10 2" xfId="29477"/>
    <cellStyle name="Normal 3 5 11" xfId="7358"/>
    <cellStyle name="Normal 3 5 11 2" xfId="30133"/>
    <cellStyle name="Normal 3 5 12" xfId="8014"/>
    <cellStyle name="Normal 3 5 12 2" xfId="30789"/>
    <cellStyle name="Normal 3 5 13" xfId="8670"/>
    <cellStyle name="Normal 3 5 13 2" xfId="31445"/>
    <cellStyle name="Normal 3 5 14" xfId="9326"/>
    <cellStyle name="Normal 3 5 14 2" xfId="32101"/>
    <cellStyle name="Normal 3 5 15" xfId="9982"/>
    <cellStyle name="Normal 3 5 15 2" xfId="32757"/>
    <cellStyle name="Normal 3 5 16" xfId="10638"/>
    <cellStyle name="Normal 3 5 16 2" xfId="33413"/>
    <cellStyle name="Normal 3 5 17" xfId="11294"/>
    <cellStyle name="Normal 3 5 17 2" xfId="34069"/>
    <cellStyle name="Normal 3 5 18" xfId="11950"/>
    <cellStyle name="Normal 3 5 18 2" xfId="34725"/>
    <cellStyle name="Normal 3 5 19" xfId="12606"/>
    <cellStyle name="Normal 3 5 19 2" xfId="35381"/>
    <cellStyle name="Normal 3 5 2" xfId="798"/>
    <cellStyle name="Normal 3 5 2 10" xfId="8342"/>
    <cellStyle name="Normal 3 5 2 10 2" xfId="31117"/>
    <cellStyle name="Normal 3 5 2 11" xfId="8998"/>
    <cellStyle name="Normal 3 5 2 11 2" xfId="31773"/>
    <cellStyle name="Normal 3 5 2 12" xfId="9654"/>
    <cellStyle name="Normal 3 5 2 12 2" xfId="32429"/>
    <cellStyle name="Normal 3 5 2 13" xfId="10310"/>
    <cellStyle name="Normal 3 5 2 13 2" xfId="33085"/>
    <cellStyle name="Normal 3 5 2 14" xfId="10966"/>
    <cellStyle name="Normal 3 5 2 14 2" xfId="33741"/>
    <cellStyle name="Normal 3 5 2 15" xfId="11622"/>
    <cellStyle name="Normal 3 5 2 15 2" xfId="34397"/>
    <cellStyle name="Normal 3 5 2 16" xfId="12278"/>
    <cellStyle name="Normal 3 5 2 16 2" xfId="35053"/>
    <cellStyle name="Normal 3 5 2 17" xfId="12934"/>
    <cellStyle name="Normal 3 5 2 17 2" xfId="35709"/>
    <cellStyle name="Normal 3 5 2 18" xfId="13590"/>
    <cellStyle name="Normal 3 5 2 18 2" xfId="36365"/>
    <cellStyle name="Normal 3 5 2 19" xfId="14246"/>
    <cellStyle name="Normal 3 5 2 19 2" xfId="37021"/>
    <cellStyle name="Normal 3 5 2 2" xfId="1454"/>
    <cellStyle name="Normal 3 5 2 2 2" xfId="3750"/>
    <cellStyle name="Normal 3 5 2 2 2 2" xfId="26525"/>
    <cellStyle name="Normal 3 5 2 2 3" xfId="24229"/>
    <cellStyle name="Normal 3 5 2 20" xfId="14902"/>
    <cellStyle name="Normal 3 5 2 20 2" xfId="37677"/>
    <cellStyle name="Normal 3 5 2 21" xfId="15558"/>
    <cellStyle name="Normal 3 5 2 21 2" xfId="38333"/>
    <cellStyle name="Normal 3 5 2 22" xfId="16214"/>
    <cellStyle name="Normal 3 5 2 22 2" xfId="38989"/>
    <cellStyle name="Normal 3 5 2 23" xfId="16870"/>
    <cellStyle name="Normal 3 5 2 23 2" xfId="39645"/>
    <cellStyle name="Normal 3 5 2 24" xfId="17526"/>
    <cellStyle name="Normal 3 5 2 24 2" xfId="40301"/>
    <cellStyle name="Normal 3 5 2 25" xfId="18182"/>
    <cellStyle name="Normal 3 5 2 25 2" xfId="40957"/>
    <cellStyle name="Normal 3 5 2 26" xfId="18838"/>
    <cellStyle name="Normal 3 5 2 26 2" xfId="41613"/>
    <cellStyle name="Normal 3 5 2 27" xfId="19494"/>
    <cellStyle name="Normal 3 5 2 27 2" xfId="42269"/>
    <cellStyle name="Normal 3 5 2 28" xfId="20150"/>
    <cellStyle name="Normal 3 5 2 28 2" xfId="42925"/>
    <cellStyle name="Normal 3 5 2 29" xfId="20806"/>
    <cellStyle name="Normal 3 5 2 29 2" xfId="43581"/>
    <cellStyle name="Normal 3 5 2 3" xfId="2110"/>
    <cellStyle name="Normal 3 5 2 3 2" xfId="4406"/>
    <cellStyle name="Normal 3 5 2 3 2 2" xfId="27181"/>
    <cellStyle name="Normal 3 5 2 3 3" xfId="24885"/>
    <cellStyle name="Normal 3 5 2 30" xfId="21462"/>
    <cellStyle name="Normal 3 5 2 30 2" xfId="44237"/>
    <cellStyle name="Normal 3 5 2 31" xfId="22118"/>
    <cellStyle name="Normal 3 5 2 31 2" xfId="44893"/>
    <cellStyle name="Normal 3 5 2 32" xfId="22774"/>
    <cellStyle name="Normal 3 5 2 32 2" xfId="45549"/>
    <cellStyle name="Normal 3 5 2 33" xfId="23573"/>
    <cellStyle name="Normal 3 5 2 4" xfId="5062"/>
    <cellStyle name="Normal 3 5 2 4 2" xfId="27837"/>
    <cellStyle name="Normal 3 5 2 5" xfId="5718"/>
    <cellStyle name="Normal 3 5 2 5 2" xfId="28493"/>
    <cellStyle name="Normal 3 5 2 6" xfId="6374"/>
    <cellStyle name="Normal 3 5 2 6 2" xfId="29149"/>
    <cellStyle name="Normal 3 5 2 7" xfId="3094"/>
    <cellStyle name="Normal 3 5 2 7 2" xfId="25869"/>
    <cellStyle name="Normal 3 5 2 8" xfId="7030"/>
    <cellStyle name="Normal 3 5 2 8 2" xfId="29805"/>
    <cellStyle name="Normal 3 5 2 9" xfId="7686"/>
    <cellStyle name="Normal 3 5 2 9 2" xfId="30461"/>
    <cellStyle name="Normal 3 5 20" xfId="13262"/>
    <cellStyle name="Normal 3 5 20 2" xfId="36037"/>
    <cellStyle name="Normal 3 5 21" xfId="13918"/>
    <cellStyle name="Normal 3 5 21 2" xfId="36693"/>
    <cellStyle name="Normal 3 5 22" xfId="14574"/>
    <cellStyle name="Normal 3 5 22 2" xfId="37349"/>
    <cellStyle name="Normal 3 5 23" xfId="15230"/>
    <cellStyle name="Normal 3 5 23 2" xfId="38005"/>
    <cellStyle name="Normal 3 5 24" xfId="15886"/>
    <cellStyle name="Normal 3 5 24 2" xfId="38661"/>
    <cellStyle name="Normal 3 5 25" xfId="16542"/>
    <cellStyle name="Normal 3 5 25 2" xfId="39317"/>
    <cellStyle name="Normal 3 5 26" xfId="17198"/>
    <cellStyle name="Normal 3 5 26 2" xfId="39973"/>
    <cellStyle name="Normal 3 5 27" xfId="17854"/>
    <cellStyle name="Normal 3 5 27 2" xfId="40629"/>
    <cellStyle name="Normal 3 5 28" xfId="18510"/>
    <cellStyle name="Normal 3 5 28 2" xfId="41285"/>
    <cellStyle name="Normal 3 5 29" xfId="19166"/>
    <cellStyle name="Normal 3 5 29 2" xfId="41941"/>
    <cellStyle name="Normal 3 5 3" xfId="1126"/>
    <cellStyle name="Normal 3 5 3 2" xfId="2766"/>
    <cellStyle name="Normal 3 5 3 2 2" xfId="25541"/>
    <cellStyle name="Normal 3 5 3 3" xfId="23901"/>
    <cellStyle name="Normal 3 5 30" xfId="19822"/>
    <cellStyle name="Normal 3 5 30 2" xfId="42597"/>
    <cellStyle name="Normal 3 5 31" xfId="20478"/>
    <cellStyle name="Normal 3 5 31 2" xfId="43253"/>
    <cellStyle name="Normal 3 5 32" xfId="21134"/>
    <cellStyle name="Normal 3 5 32 2" xfId="43909"/>
    <cellStyle name="Normal 3 5 33" xfId="21790"/>
    <cellStyle name="Normal 3 5 33 2" xfId="44565"/>
    <cellStyle name="Normal 3 5 34" xfId="22446"/>
    <cellStyle name="Normal 3 5 34 2" xfId="45221"/>
    <cellStyle name="Normal 3 5 35" xfId="23245"/>
    <cellStyle name="Normal 3 5 36" xfId="471"/>
    <cellStyle name="Normal 3 5 4" xfId="1782"/>
    <cellStyle name="Normal 3 5 4 2" xfId="3422"/>
    <cellStyle name="Normal 3 5 4 2 2" xfId="26197"/>
    <cellStyle name="Normal 3 5 4 3" xfId="24557"/>
    <cellStyle name="Normal 3 5 5" xfId="4078"/>
    <cellStyle name="Normal 3 5 5 2" xfId="26853"/>
    <cellStyle name="Normal 3 5 6" xfId="4734"/>
    <cellStyle name="Normal 3 5 6 2" xfId="27509"/>
    <cellStyle name="Normal 3 5 7" xfId="5390"/>
    <cellStyle name="Normal 3 5 7 2" xfId="28165"/>
    <cellStyle name="Normal 3 5 8" xfId="6046"/>
    <cellStyle name="Normal 3 5 8 2" xfId="28821"/>
    <cellStyle name="Normal 3 5 9" xfId="2438"/>
    <cellStyle name="Normal 3 5 9 2" xfId="25213"/>
    <cellStyle name="Normal 3 6" xfId="613"/>
    <cellStyle name="Normal 3 6 10" xfId="8157"/>
    <cellStyle name="Normal 3 6 10 2" xfId="30932"/>
    <cellStyle name="Normal 3 6 11" xfId="8813"/>
    <cellStyle name="Normal 3 6 11 2" xfId="31588"/>
    <cellStyle name="Normal 3 6 12" xfId="9469"/>
    <cellStyle name="Normal 3 6 12 2" xfId="32244"/>
    <cellStyle name="Normal 3 6 13" xfId="10125"/>
    <cellStyle name="Normal 3 6 13 2" xfId="32900"/>
    <cellStyle name="Normal 3 6 14" xfId="10781"/>
    <cellStyle name="Normal 3 6 14 2" xfId="33556"/>
    <cellStyle name="Normal 3 6 15" xfId="11437"/>
    <cellStyle name="Normal 3 6 15 2" xfId="34212"/>
    <cellStyle name="Normal 3 6 16" xfId="12093"/>
    <cellStyle name="Normal 3 6 16 2" xfId="34868"/>
    <cellStyle name="Normal 3 6 17" xfId="12749"/>
    <cellStyle name="Normal 3 6 17 2" xfId="35524"/>
    <cellStyle name="Normal 3 6 18" xfId="13405"/>
    <cellStyle name="Normal 3 6 18 2" xfId="36180"/>
    <cellStyle name="Normal 3 6 19" xfId="14061"/>
    <cellStyle name="Normal 3 6 19 2" xfId="36836"/>
    <cellStyle name="Normal 3 6 2" xfId="1269"/>
    <cellStyle name="Normal 3 6 2 2" xfId="3565"/>
    <cellStyle name="Normal 3 6 2 2 2" xfId="26340"/>
    <cellStyle name="Normal 3 6 2 3" xfId="24044"/>
    <cellStyle name="Normal 3 6 20" xfId="14717"/>
    <cellStyle name="Normal 3 6 20 2" xfId="37492"/>
    <cellStyle name="Normal 3 6 21" xfId="15373"/>
    <cellStyle name="Normal 3 6 21 2" xfId="38148"/>
    <cellStyle name="Normal 3 6 22" xfId="16029"/>
    <cellStyle name="Normal 3 6 22 2" xfId="38804"/>
    <cellStyle name="Normal 3 6 23" xfId="16685"/>
    <cellStyle name="Normal 3 6 23 2" xfId="39460"/>
    <cellStyle name="Normal 3 6 24" xfId="17341"/>
    <cellStyle name="Normal 3 6 24 2" xfId="40116"/>
    <cellStyle name="Normal 3 6 25" xfId="17997"/>
    <cellStyle name="Normal 3 6 25 2" xfId="40772"/>
    <cellStyle name="Normal 3 6 26" xfId="18653"/>
    <cellStyle name="Normal 3 6 26 2" xfId="41428"/>
    <cellStyle name="Normal 3 6 27" xfId="19309"/>
    <cellStyle name="Normal 3 6 27 2" xfId="42084"/>
    <cellStyle name="Normal 3 6 28" xfId="19965"/>
    <cellStyle name="Normal 3 6 28 2" xfId="42740"/>
    <cellStyle name="Normal 3 6 29" xfId="20621"/>
    <cellStyle name="Normal 3 6 29 2" xfId="43396"/>
    <cellStyle name="Normal 3 6 3" xfId="1925"/>
    <cellStyle name="Normal 3 6 3 2" xfId="4221"/>
    <cellStyle name="Normal 3 6 3 2 2" xfId="26996"/>
    <cellStyle name="Normal 3 6 3 3" xfId="24700"/>
    <cellStyle name="Normal 3 6 30" xfId="21277"/>
    <cellStyle name="Normal 3 6 30 2" xfId="44052"/>
    <cellStyle name="Normal 3 6 31" xfId="21933"/>
    <cellStyle name="Normal 3 6 31 2" xfId="44708"/>
    <cellStyle name="Normal 3 6 32" xfId="22589"/>
    <cellStyle name="Normal 3 6 32 2" xfId="45364"/>
    <cellStyle name="Normal 3 6 33" xfId="23388"/>
    <cellStyle name="Normal 3 6 4" xfId="4877"/>
    <cellStyle name="Normal 3 6 4 2" xfId="27652"/>
    <cellStyle name="Normal 3 6 5" xfId="5533"/>
    <cellStyle name="Normal 3 6 5 2" xfId="28308"/>
    <cellStyle name="Normal 3 6 6" xfId="6189"/>
    <cellStyle name="Normal 3 6 6 2" xfId="28964"/>
    <cellStyle name="Normal 3 6 7" xfId="2909"/>
    <cellStyle name="Normal 3 6 7 2" xfId="25684"/>
    <cellStyle name="Normal 3 6 8" xfId="6845"/>
    <cellStyle name="Normal 3 6 8 2" xfId="29620"/>
    <cellStyle name="Normal 3 6 9" xfId="7501"/>
    <cellStyle name="Normal 3 6 9 2" xfId="30276"/>
    <cellStyle name="Normal 3 7" xfId="286"/>
    <cellStyle name="Normal 3 7 2" xfId="2581"/>
    <cellStyle name="Normal 3 7 2 2" xfId="25356"/>
    <cellStyle name="Normal 3 7 3" xfId="23060"/>
    <cellStyle name="Normal 3 8" xfId="941"/>
    <cellStyle name="Normal 3 8 2" xfId="3237"/>
    <cellStyle name="Normal 3 8 2 2" xfId="26012"/>
    <cellStyle name="Normal 3 8 3" xfId="23716"/>
    <cellStyle name="Normal 3 9" xfId="1597"/>
    <cellStyle name="Normal 3 9 2" xfId="3893"/>
    <cellStyle name="Normal 3 9 2 2" xfId="26668"/>
    <cellStyle name="Normal 3 9 3" xfId="24372"/>
    <cellStyle name="Normal 4" xfId="67"/>
    <cellStyle name="Normal 4 10" xfId="5863"/>
    <cellStyle name="Normal 4 10 2" xfId="28638"/>
    <cellStyle name="Normal 4 11" xfId="2255"/>
    <cellStyle name="Normal 4 11 2" xfId="25030"/>
    <cellStyle name="Normal 4 12" xfId="6519"/>
    <cellStyle name="Normal 4 12 2" xfId="29294"/>
    <cellStyle name="Normal 4 13" xfId="7175"/>
    <cellStyle name="Normal 4 13 2" xfId="29950"/>
    <cellStyle name="Normal 4 14" xfId="7831"/>
    <cellStyle name="Normal 4 14 2" xfId="30606"/>
    <cellStyle name="Normal 4 15" xfId="8487"/>
    <cellStyle name="Normal 4 15 2" xfId="31262"/>
    <cellStyle name="Normal 4 16" xfId="9143"/>
    <cellStyle name="Normal 4 16 2" xfId="31918"/>
    <cellStyle name="Normal 4 17" xfId="9799"/>
    <cellStyle name="Normal 4 17 2" xfId="32574"/>
    <cellStyle name="Normal 4 18" xfId="10455"/>
    <cellStyle name="Normal 4 18 2" xfId="33230"/>
    <cellStyle name="Normal 4 19" xfId="11111"/>
    <cellStyle name="Normal 4 19 2" xfId="33886"/>
    <cellStyle name="Normal 4 2" xfId="143"/>
    <cellStyle name="Normal 4 2 10" xfId="2341"/>
    <cellStyle name="Normal 4 2 10 2" xfId="25116"/>
    <cellStyle name="Normal 4 2 11" xfId="6605"/>
    <cellStyle name="Normal 4 2 11 2" xfId="29380"/>
    <cellStyle name="Normal 4 2 12" xfId="7261"/>
    <cellStyle name="Normal 4 2 12 2" xfId="30036"/>
    <cellStyle name="Normal 4 2 13" xfId="7917"/>
    <cellStyle name="Normal 4 2 13 2" xfId="30692"/>
    <cellStyle name="Normal 4 2 14" xfId="8573"/>
    <cellStyle name="Normal 4 2 14 2" xfId="31348"/>
    <cellStyle name="Normal 4 2 15" xfId="9229"/>
    <cellStyle name="Normal 4 2 15 2" xfId="32004"/>
    <cellStyle name="Normal 4 2 16" xfId="9885"/>
    <cellStyle name="Normal 4 2 16 2" xfId="32660"/>
    <cellStyle name="Normal 4 2 17" xfId="10541"/>
    <cellStyle name="Normal 4 2 17 2" xfId="33316"/>
    <cellStyle name="Normal 4 2 18" xfId="11197"/>
    <cellStyle name="Normal 4 2 18 2" xfId="33972"/>
    <cellStyle name="Normal 4 2 19" xfId="11853"/>
    <cellStyle name="Normal 4 2 19 2" xfId="34628"/>
    <cellStyle name="Normal 4 2 2" xfId="557"/>
    <cellStyle name="Normal 4 2 2 10" xfId="6790"/>
    <cellStyle name="Normal 4 2 2 10 2" xfId="29565"/>
    <cellStyle name="Normal 4 2 2 11" xfId="7446"/>
    <cellStyle name="Normal 4 2 2 11 2" xfId="30221"/>
    <cellStyle name="Normal 4 2 2 12" xfId="8102"/>
    <cellStyle name="Normal 4 2 2 12 2" xfId="30877"/>
    <cellStyle name="Normal 4 2 2 13" xfId="8758"/>
    <cellStyle name="Normal 4 2 2 13 2" xfId="31533"/>
    <cellStyle name="Normal 4 2 2 14" xfId="9414"/>
    <cellStyle name="Normal 4 2 2 14 2" xfId="32189"/>
    <cellStyle name="Normal 4 2 2 15" xfId="10070"/>
    <cellStyle name="Normal 4 2 2 15 2" xfId="32845"/>
    <cellStyle name="Normal 4 2 2 16" xfId="10726"/>
    <cellStyle name="Normal 4 2 2 16 2" xfId="33501"/>
    <cellStyle name="Normal 4 2 2 17" xfId="11382"/>
    <cellStyle name="Normal 4 2 2 17 2" xfId="34157"/>
    <cellStyle name="Normal 4 2 2 18" xfId="12038"/>
    <cellStyle name="Normal 4 2 2 18 2" xfId="34813"/>
    <cellStyle name="Normal 4 2 2 19" xfId="12694"/>
    <cellStyle name="Normal 4 2 2 19 2" xfId="35469"/>
    <cellStyle name="Normal 4 2 2 2" xfId="886"/>
    <cellStyle name="Normal 4 2 2 2 10" xfId="8430"/>
    <cellStyle name="Normal 4 2 2 2 10 2" xfId="31205"/>
    <cellStyle name="Normal 4 2 2 2 11" xfId="9086"/>
    <cellStyle name="Normal 4 2 2 2 11 2" xfId="31861"/>
    <cellStyle name="Normal 4 2 2 2 12" xfId="9742"/>
    <cellStyle name="Normal 4 2 2 2 12 2" xfId="32517"/>
    <cellStyle name="Normal 4 2 2 2 13" xfId="10398"/>
    <cellStyle name="Normal 4 2 2 2 13 2" xfId="33173"/>
    <cellStyle name="Normal 4 2 2 2 14" xfId="11054"/>
    <cellStyle name="Normal 4 2 2 2 14 2" xfId="33829"/>
    <cellStyle name="Normal 4 2 2 2 15" xfId="11710"/>
    <cellStyle name="Normal 4 2 2 2 15 2" xfId="34485"/>
    <cellStyle name="Normal 4 2 2 2 16" xfId="12366"/>
    <cellStyle name="Normal 4 2 2 2 16 2" xfId="35141"/>
    <cellStyle name="Normal 4 2 2 2 17" xfId="13022"/>
    <cellStyle name="Normal 4 2 2 2 17 2" xfId="35797"/>
    <cellStyle name="Normal 4 2 2 2 18" xfId="13678"/>
    <cellStyle name="Normal 4 2 2 2 18 2" xfId="36453"/>
    <cellStyle name="Normal 4 2 2 2 19" xfId="14334"/>
    <cellStyle name="Normal 4 2 2 2 19 2" xfId="37109"/>
    <cellStyle name="Normal 4 2 2 2 2" xfId="1542"/>
    <cellStyle name="Normal 4 2 2 2 2 2" xfId="3838"/>
    <cellStyle name="Normal 4 2 2 2 2 2 2" xfId="26613"/>
    <cellStyle name="Normal 4 2 2 2 2 3" xfId="24317"/>
    <cellStyle name="Normal 4 2 2 2 20" xfId="14990"/>
    <cellStyle name="Normal 4 2 2 2 20 2" xfId="37765"/>
    <cellStyle name="Normal 4 2 2 2 21" xfId="15646"/>
    <cellStyle name="Normal 4 2 2 2 21 2" xfId="38421"/>
    <cellStyle name="Normal 4 2 2 2 22" xfId="16302"/>
    <cellStyle name="Normal 4 2 2 2 22 2" xfId="39077"/>
    <cellStyle name="Normal 4 2 2 2 23" xfId="16958"/>
    <cellStyle name="Normal 4 2 2 2 23 2" xfId="39733"/>
    <cellStyle name="Normal 4 2 2 2 24" xfId="17614"/>
    <cellStyle name="Normal 4 2 2 2 24 2" xfId="40389"/>
    <cellStyle name="Normal 4 2 2 2 25" xfId="18270"/>
    <cellStyle name="Normal 4 2 2 2 25 2" xfId="41045"/>
    <cellStyle name="Normal 4 2 2 2 26" xfId="18926"/>
    <cellStyle name="Normal 4 2 2 2 26 2" xfId="41701"/>
    <cellStyle name="Normal 4 2 2 2 27" xfId="19582"/>
    <cellStyle name="Normal 4 2 2 2 27 2" xfId="42357"/>
    <cellStyle name="Normal 4 2 2 2 28" xfId="20238"/>
    <cellStyle name="Normal 4 2 2 2 28 2" xfId="43013"/>
    <cellStyle name="Normal 4 2 2 2 29" xfId="20894"/>
    <cellStyle name="Normal 4 2 2 2 29 2" xfId="43669"/>
    <cellStyle name="Normal 4 2 2 2 3" xfId="2198"/>
    <cellStyle name="Normal 4 2 2 2 3 2" xfId="4494"/>
    <cellStyle name="Normal 4 2 2 2 3 2 2" xfId="27269"/>
    <cellStyle name="Normal 4 2 2 2 3 3" xfId="24973"/>
    <cellStyle name="Normal 4 2 2 2 30" xfId="21550"/>
    <cellStyle name="Normal 4 2 2 2 30 2" xfId="44325"/>
    <cellStyle name="Normal 4 2 2 2 31" xfId="22206"/>
    <cellStyle name="Normal 4 2 2 2 31 2" xfId="44981"/>
    <cellStyle name="Normal 4 2 2 2 32" xfId="22862"/>
    <cellStyle name="Normal 4 2 2 2 32 2" xfId="45637"/>
    <cellStyle name="Normal 4 2 2 2 33" xfId="23661"/>
    <cellStyle name="Normal 4 2 2 2 4" xfId="5150"/>
    <cellStyle name="Normal 4 2 2 2 4 2" xfId="27925"/>
    <cellStyle name="Normal 4 2 2 2 5" xfId="5806"/>
    <cellStyle name="Normal 4 2 2 2 5 2" xfId="28581"/>
    <cellStyle name="Normal 4 2 2 2 6" xfId="6462"/>
    <cellStyle name="Normal 4 2 2 2 6 2" xfId="29237"/>
    <cellStyle name="Normal 4 2 2 2 7" xfId="3182"/>
    <cellStyle name="Normal 4 2 2 2 7 2" xfId="25957"/>
    <cellStyle name="Normal 4 2 2 2 8" xfId="7118"/>
    <cellStyle name="Normal 4 2 2 2 8 2" xfId="29893"/>
    <cellStyle name="Normal 4 2 2 2 9" xfId="7774"/>
    <cellStyle name="Normal 4 2 2 2 9 2" xfId="30549"/>
    <cellStyle name="Normal 4 2 2 20" xfId="13350"/>
    <cellStyle name="Normal 4 2 2 20 2" xfId="36125"/>
    <cellStyle name="Normal 4 2 2 21" xfId="14006"/>
    <cellStyle name="Normal 4 2 2 21 2" xfId="36781"/>
    <cellStyle name="Normal 4 2 2 22" xfId="14662"/>
    <cellStyle name="Normal 4 2 2 22 2" xfId="37437"/>
    <cellStyle name="Normal 4 2 2 23" xfId="15318"/>
    <cellStyle name="Normal 4 2 2 23 2" xfId="38093"/>
    <cellStyle name="Normal 4 2 2 24" xfId="15974"/>
    <cellStyle name="Normal 4 2 2 24 2" xfId="38749"/>
    <cellStyle name="Normal 4 2 2 25" xfId="16630"/>
    <cellStyle name="Normal 4 2 2 25 2" xfId="39405"/>
    <cellStyle name="Normal 4 2 2 26" xfId="17286"/>
    <cellStyle name="Normal 4 2 2 26 2" xfId="40061"/>
    <cellStyle name="Normal 4 2 2 27" xfId="17942"/>
    <cellStyle name="Normal 4 2 2 27 2" xfId="40717"/>
    <cellStyle name="Normal 4 2 2 28" xfId="18598"/>
    <cellStyle name="Normal 4 2 2 28 2" xfId="41373"/>
    <cellStyle name="Normal 4 2 2 29" xfId="19254"/>
    <cellStyle name="Normal 4 2 2 29 2" xfId="42029"/>
    <cellStyle name="Normal 4 2 2 3" xfId="1214"/>
    <cellStyle name="Normal 4 2 2 3 2" xfId="2854"/>
    <cellStyle name="Normal 4 2 2 3 2 2" xfId="25629"/>
    <cellStyle name="Normal 4 2 2 3 3" xfId="23989"/>
    <cellStyle name="Normal 4 2 2 30" xfId="19910"/>
    <cellStyle name="Normal 4 2 2 30 2" xfId="42685"/>
    <cellStyle name="Normal 4 2 2 31" xfId="20566"/>
    <cellStyle name="Normal 4 2 2 31 2" xfId="43341"/>
    <cellStyle name="Normal 4 2 2 32" xfId="21222"/>
    <cellStyle name="Normal 4 2 2 32 2" xfId="43997"/>
    <cellStyle name="Normal 4 2 2 33" xfId="21878"/>
    <cellStyle name="Normal 4 2 2 33 2" xfId="44653"/>
    <cellStyle name="Normal 4 2 2 34" xfId="22534"/>
    <cellStyle name="Normal 4 2 2 34 2" xfId="45309"/>
    <cellStyle name="Normal 4 2 2 35" xfId="23333"/>
    <cellStyle name="Normal 4 2 2 4" xfId="1870"/>
    <cellStyle name="Normal 4 2 2 4 2" xfId="3510"/>
    <cellStyle name="Normal 4 2 2 4 2 2" xfId="26285"/>
    <cellStyle name="Normal 4 2 2 4 3" xfId="24645"/>
    <cellStyle name="Normal 4 2 2 5" xfId="4166"/>
    <cellStyle name="Normal 4 2 2 5 2" xfId="26941"/>
    <cellStyle name="Normal 4 2 2 6" xfId="4822"/>
    <cellStyle name="Normal 4 2 2 6 2" xfId="27597"/>
    <cellStyle name="Normal 4 2 2 7" xfId="5478"/>
    <cellStyle name="Normal 4 2 2 7 2" xfId="28253"/>
    <cellStyle name="Normal 4 2 2 8" xfId="6134"/>
    <cellStyle name="Normal 4 2 2 8 2" xfId="28909"/>
    <cellStyle name="Normal 4 2 2 9" xfId="2526"/>
    <cellStyle name="Normal 4 2 2 9 2" xfId="25301"/>
    <cellStyle name="Normal 4 2 20" xfId="12509"/>
    <cellStyle name="Normal 4 2 20 2" xfId="35284"/>
    <cellStyle name="Normal 4 2 21" xfId="13165"/>
    <cellStyle name="Normal 4 2 21 2" xfId="35940"/>
    <cellStyle name="Normal 4 2 22" xfId="13821"/>
    <cellStyle name="Normal 4 2 22 2" xfId="36596"/>
    <cellStyle name="Normal 4 2 23" xfId="14477"/>
    <cellStyle name="Normal 4 2 23 2" xfId="37252"/>
    <cellStyle name="Normal 4 2 24" xfId="15133"/>
    <cellStyle name="Normal 4 2 24 2" xfId="37908"/>
    <cellStyle name="Normal 4 2 25" xfId="15789"/>
    <cellStyle name="Normal 4 2 25 2" xfId="38564"/>
    <cellStyle name="Normal 4 2 26" xfId="16445"/>
    <cellStyle name="Normal 4 2 26 2" xfId="39220"/>
    <cellStyle name="Normal 4 2 27" xfId="17101"/>
    <cellStyle name="Normal 4 2 27 2" xfId="39876"/>
    <cellStyle name="Normal 4 2 28" xfId="17757"/>
    <cellStyle name="Normal 4 2 28 2" xfId="40532"/>
    <cellStyle name="Normal 4 2 29" xfId="18413"/>
    <cellStyle name="Normal 4 2 29 2" xfId="41188"/>
    <cellStyle name="Normal 4 2 3" xfId="701"/>
    <cellStyle name="Normal 4 2 3 10" xfId="8245"/>
    <cellStyle name="Normal 4 2 3 10 2" xfId="31020"/>
    <cellStyle name="Normal 4 2 3 11" xfId="8901"/>
    <cellStyle name="Normal 4 2 3 11 2" xfId="31676"/>
    <cellStyle name="Normal 4 2 3 12" xfId="9557"/>
    <cellStyle name="Normal 4 2 3 12 2" xfId="32332"/>
    <cellStyle name="Normal 4 2 3 13" xfId="10213"/>
    <cellStyle name="Normal 4 2 3 13 2" xfId="32988"/>
    <cellStyle name="Normal 4 2 3 14" xfId="10869"/>
    <cellStyle name="Normal 4 2 3 14 2" xfId="33644"/>
    <cellStyle name="Normal 4 2 3 15" xfId="11525"/>
    <cellStyle name="Normal 4 2 3 15 2" xfId="34300"/>
    <cellStyle name="Normal 4 2 3 16" xfId="12181"/>
    <cellStyle name="Normal 4 2 3 16 2" xfId="34956"/>
    <cellStyle name="Normal 4 2 3 17" xfId="12837"/>
    <cellStyle name="Normal 4 2 3 17 2" xfId="35612"/>
    <cellStyle name="Normal 4 2 3 18" xfId="13493"/>
    <cellStyle name="Normal 4 2 3 18 2" xfId="36268"/>
    <cellStyle name="Normal 4 2 3 19" xfId="14149"/>
    <cellStyle name="Normal 4 2 3 19 2" xfId="36924"/>
    <cellStyle name="Normal 4 2 3 2" xfId="1357"/>
    <cellStyle name="Normal 4 2 3 2 2" xfId="3653"/>
    <cellStyle name="Normal 4 2 3 2 2 2" xfId="26428"/>
    <cellStyle name="Normal 4 2 3 2 3" xfId="24132"/>
    <cellStyle name="Normal 4 2 3 20" xfId="14805"/>
    <cellStyle name="Normal 4 2 3 20 2" xfId="37580"/>
    <cellStyle name="Normal 4 2 3 21" xfId="15461"/>
    <cellStyle name="Normal 4 2 3 21 2" xfId="38236"/>
    <cellStyle name="Normal 4 2 3 22" xfId="16117"/>
    <cellStyle name="Normal 4 2 3 22 2" xfId="38892"/>
    <cellStyle name="Normal 4 2 3 23" xfId="16773"/>
    <cellStyle name="Normal 4 2 3 23 2" xfId="39548"/>
    <cellStyle name="Normal 4 2 3 24" xfId="17429"/>
    <cellStyle name="Normal 4 2 3 24 2" xfId="40204"/>
    <cellStyle name="Normal 4 2 3 25" xfId="18085"/>
    <cellStyle name="Normal 4 2 3 25 2" xfId="40860"/>
    <cellStyle name="Normal 4 2 3 26" xfId="18741"/>
    <cellStyle name="Normal 4 2 3 26 2" xfId="41516"/>
    <cellStyle name="Normal 4 2 3 27" xfId="19397"/>
    <cellStyle name="Normal 4 2 3 27 2" xfId="42172"/>
    <cellStyle name="Normal 4 2 3 28" xfId="20053"/>
    <cellStyle name="Normal 4 2 3 28 2" xfId="42828"/>
    <cellStyle name="Normal 4 2 3 29" xfId="20709"/>
    <cellStyle name="Normal 4 2 3 29 2" xfId="43484"/>
    <cellStyle name="Normal 4 2 3 3" xfId="2013"/>
    <cellStyle name="Normal 4 2 3 3 2" xfId="4309"/>
    <cellStyle name="Normal 4 2 3 3 2 2" xfId="27084"/>
    <cellStyle name="Normal 4 2 3 3 3" xfId="24788"/>
    <cellStyle name="Normal 4 2 3 30" xfId="21365"/>
    <cellStyle name="Normal 4 2 3 30 2" xfId="44140"/>
    <cellStyle name="Normal 4 2 3 31" xfId="22021"/>
    <cellStyle name="Normal 4 2 3 31 2" xfId="44796"/>
    <cellStyle name="Normal 4 2 3 32" xfId="22677"/>
    <cellStyle name="Normal 4 2 3 32 2" xfId="45452"/>
    <cellStyle name="Normal 4 2 3 33" xfId="23476"/>
    <cellStyle name="Normal 4 2 3 4" xfId="4965"/>
    <cellStyle name="Normal 4 2 3 4 2" xfId="27740"/>
    <cellStyle name="Normal 4 2 3 5" xfId="5621"/>
    <cellStyle name="Normal 4 2 3 5 2" xfId="28396"/>
    <cellStyle name="Normal 4 2 3 6" xfId="6277"/>
    <cellStyle name="Normal 4 2 3 6 2" xfId="29052"/>
    <cellStyle name="Normal 4 2 3 7" xfId="2997"/>
    <cellStyle name="Normal 4 2 3 7 2" xfId="25772"/>
    <cellStyle name="Normal 4 2 3 8" xfId="6933"/>
    <cellStyle name="Normal 4 2 3 8 2" xfId="29708"/>
    <cellStyle name="Normal 4 2 3 9" xfId="7589"/>
    <cellStyle name="Normal 4 2 3 9 2" xfId="30364"/>
    <cellStyle name="Normal 4 2 30" xfId="19069"/>
    <cellStyle name="Normal 4 2 30 2" xfId="41844"/>
    <cellStyle name="Normal 4 2 31" xfId="19725"/>
    <cellStyle name="Normal 4 2 31 2" xfId="42500"/>
    <cellStyle name="Normal 4 2 32" xfId="20381"/>
    <cellStyle name="Normal 4 2 32 2" xfId="43156"/>
    <cellStyle name="Normal 4 2 33" xfId="21037"/>
    <cellStyle name="Normal 4 2 33 2" xfId="43812"/>
    <cellStyle name="Normal 4 2 34" xfId="21693"/>
    <cellStyle name="Normal 4 2 34 2" xfId="44468"/>
    <cellStyle name="Normal 4 2 35" xfId="22349"/>
    <cellStyle name="Normal 4 2 35 2" xfId="45124"/>
    <cellStyle name="Normal 4 2 36" xfId="23005"/>
    <cellStyle name="Normal 4 2 4" xfId="374"/>
    <cellStyle name="Normal 4 2 4 2" xfId="2669"/>
    <cellStyle name="Normal 4 2 4 2 2" xfId="25444"/>
    <cellStyle name="Normal 4 2 4 3" xfId="23148"/>
    <cellStyle name="Normal 4 2 5" xfId="1029"/>
    <cellStyle name="Normal 4 2 5 2" xfId="3325"/>
    <cellStyle name="Normal 4 2 5 2 2" xfId="26100"/>
    <cellStyle name="Normal 4 2 5 3" xfId="23804"/>
    <cellStyle name="Normal 4 2 6" xfId="1685"/>
    <cellStyle name="Normal 4 2 6 2" xfId="3981"/>
    <cellStyle name="Normal 4 2 6 2 2" xfId="26756"/>
    <cellStyle name="Normal 4 2 6 3" xfId="24460"/>
    <cellStyle name="Normal 4 2 7" xfId="4637"/>
    <cellStyle name="Normal 4 2 7 2" xfId="27412"/>
    <cellStyle name="Normal 4 2 8" xfId="5293"/>
    <cellStyle name="Normal 4 2 8 2" xfId="28068"/>
    <cellStyle name="Normal 4 2 9" xfId="5949"/>
    <cellStyle name="Normal 4 2 9 2" xfId="28724"/>
    <cellStyle name="Normal 4 20" xfId="11767"/>
    <cellStyle name="Normal 4 20 2" xfId="34542"/>
    <cellStyle name="Normal 4 21" xfId="12423"/>
    <cellStyle name="Normal 4 21 2" xfId="35198"/>
    <cellStyle name="Normal 4 22" xfId="13079"/>
    <cellStyle name="Normal 4 22 2" xfId="35854"/>
    <cellStyle name="Normal 4 23" xfId="13735"/>
    <cellStyle name="Normal 4 23 2" xfId="36510"/>
    <cellStyle name="Normal 4 24" xfId="14391"/>
    <cellStyle name="Normal 4 24 2" xfId="37166"/>
    <cellStyle name="Normal 4 25" xfId="15047"/>
    <cellStyle name="Normal 4 25 2" xfId="37822"/>
    <cellStyle name="Normal 4 26" xfId="15703"/>
    <cellStyle name="Normal 4 26 2" xfId="38478"/>
    <cellStyle name="Normal 4 27" xfId="16359"/>
    <cellStyle name="Normal 4 27 2" xfId="39134"/>
    <cellStyle name="Normal 4 28" xfId="17015"/>
    <cellStyle name="Normal 4 28 2" xfId="39790"/>
    <cellStyle name="Normal 4 29" xfId="17671"/>
    <cellStyle name="Normal 4 29 2" xfId="40446"/>
    <cellStyle name="Normal 4 3" xfId="473"/>
    <cellStyle name="Normal 4 3 10" xfId="6704"/>
    <cellStyle name="Normal 4 3 10 2" xfId="29479"/>
    <cellStyle name="Normal 4 3 11" xfId="7360"/>
    <cellStyle name="Normal 4 3 11 2" xfId="30135"/>
    <cellStyle name="Normal 4 3 12" xfId="8016"/>
    <cellStyle name="Normal 4 3 12 2" xfId="30791"/>
    <cellStyle name="Normal 4 3 13" xfId="8672"/>
    <cellStyle name="Normal 4 3 13 2" xfId="31447"/>
    <cellStyle name="Normal 4 3 14" xfId="9328"/>
    <cellStyle name="Normal 4 3 14 2" xfId="32103"/>
    <cellStyle name="Normal 4 3 15" xfId="9984"/>
    <cellStyle name="Normal 4 3 15 2" xfId="32759"/>
    <cellStyle name="Normal 4 3 16" xfId="10640"/>
    <cellStyle name="Normal 4 3 16 2" xfId="33415"/>
    <cellStyle name="Normal 4 3 17" xfId="11296"/>
    <cellStyle name="Normal 4 3 17 2" xfId="34071"/>
    <cellStyle name="Normal 4 3 18" xfId="11952"/>
    <cellStyle name="Normal 4 3 18 2" xfId="34727"/>
    <cellStyle name="Normal 4 3 19" xfId="12608"/>
    <cellStyle name="Normal 4 3 19 2" xfId="35383"/>
    <cellStyle name="Normal 4 3 2" xfId="800"/>
    <cellStyle name="Normal 4 3 2 10" xfId="8344"/>
    <cellStyle name="Normal 4 3 2 10 2" xfId="31119"/>
    <cellStyle name="Normal 4 3 2 11" xfId="9000"/>
    <cellStyle name="Normal 4 3 2 11 2" xfId="31775"/>
    <cellStyle name="Normal 4 3 2 12" xfId="9656"/>
    <cellStyle name="Normal 4 3 2 12 2" xfId="32431"/>
    <cellStyle name="Normal 4 3 2 13" xfId="10312"/>
    <cellStyle name="Normal 4 3 2 13 2" xfId="33087"/>
    <cellStyle name="Normal 4 3 2 14" xfId="10968"/>
    <cellStyle name="Normal 4 3 2 14 2" xfId="33743"/>
    <cellStyle name="Normal 4 3 2 15" xfId="11624"/>
    <cellStyle name="Normal 4 3 2 15 2" xfId="34399"/>
    <cellStyle name="Normal 4 3 2 16" xfId="12280"/>
    <cellStyle name="Normal 4 3 2 16 2" xfId="35055"/>
    <cellStyle name="Normal 4 3 2 17" xfId="12936"/>
    <cellStyle name="Normal 4 3 2 17 2" xfId="35711"/>
    <cellStyle name="Normal 4 3 2 18" xfId="13592"/>
    <cellStyle name="Normal 4 3 2 18 2" xfId="36367"/>
    <cellStyle name="Normal 4 3 2 19" xfId="14248"/>
    <cellStyle name="Normal 4 3 2 19 2" xfId="37023"/>
    <cellStyle name="Normal 4 3 2 2" xfId="1456"/>
    <cellStyle name="Normal 4 3 2 2 2" xfId="3752"/>
    <cellStyle name="Normal 4 3 2 2 2 2" xfId="26527"/>
    <cellStyle name="Normal 4 3 2 2 3" xfId="24231"/>
    <cellStyle name="Normal 4 3 2 20" xfId="14904"/>
    <cellStyle name="Normal 4 3 2 20 2" xfId="37679"/>
    <cellStyle name="Normal 4 3 2 21" xfId="15560"/>
    <cellStyle name="Normal 4 3 2 21 2" xfId="38335"/>
    <cellStyle name="Normal 4 3 2 22" xfId="16216"/>
    <cellStyle name="Normal 4 3 2 22 2" xfId="38991"/>
    <cellStyle name="Normal 4 3 2 23" xfId="16872"/>
    <cellStyle name="Normal 4 3 2 23 2" xfId="39647"/>
    <cellStyle name="Normal 4 3 2 24" xfId="17528"/>
    <cellStyle name="Normal 4 3 2 24 2" xfId="40303"/>
    <cellStyle name="Normal 4 3 2 25" xfId="18184"/>
    <cellStyle name="Normal 4 3 2 25 2" xfId="40959"/>
    <cellStyle name="Normal 4 3 2 26" xfId="18840"/>
    <cellStyle name="Normal 4 3 2 26 2" xfId="41615"/>
    <cellStyle name="Normal 4 3 2 27" xfId="19496"/>
    <cellStyle name="Normal 4 3 2 27 2" xfId="42271"/>
    <cellStyle name="Normal 4 3 2 28" xfId="20152"/>
    <cellStyle name="Normal 4 3 2 28 2" xfId="42927"/>
    <cellStyle name="Normal 4 3 2 29" xfId="20808"/>
    <cellStyle name="Normal 4 3 2 29 2" xfId="43583"/>
    <cellStyle name="Normal 4 3 2 3" xfId="2112"/>
    <cellStyle name="Normal 4 3 2 3 2" xfId="4408"/>
    <cellStyle name="Normal 4 3 2 3 2 2" xfId="27183"/>
    <cellStyle name="Normal 4 3 2 3 3" xfId="24887"/>
    <cellStyle name="Normal 4 3 2 30" xfId="21464"/>
    <cellStyle name="Normal 4 3 2 30 2" xfId="44239"/>
    <cellStyle name="Normal 4 3 2 31" xfId="22120"/>
    <cellStyle name="Normal 4 3 2 31 2" xfId="44895"/>
    <cellStyle name="Normal 4 3 2 32" xfId="22776"/>
    <cellStyle name="Normal 4 3 2 32 2" xfId="45551"/>
    <cellStyle name="Normal 4 3 2 33" xfId="23575"/>
    <cellStyle name="Normal 4 3 2 4" xfId="5064"/>
    <cellStyle name="Normal 4 3 2 4 2" xfId="27839"/>
    <cellStyle name="Normal 4 3 2 5" xfId="5720"/>
    <cellStyle name="Normal 4 3 2 5 2" xfId="28495"/>
    <cellStyle name="Normal 4 3 2 6" xfId="6376"/>
    <cellStyle name="Normal 4 3 2 6 2" xfId="29151"/>
    <cellStyle name="Normal 4 3 2 7" xfId="3096"/>
    <cellStyle name="Normal 4 3 2 7 2" xfId="25871"/>
    <cellStyle name="Normal 4 3 2 8" xfId="7032"/>
    <cellStyle name="Normal 4 3 2 8 2" xfId="29807"/>
    <cellStyle name="Normal 4 3 2 9" xfId="7688"/>
    <cellStyle name="Normal 4 3 2 9 2" xfId="30463"/>
    <cellStyle name="Normal 4 3 20" xfId="13264"/>
    <cellStyle name="Normal 4 3 20 2" xfId="36039"/>
    <cellStyle name="Normal 4 3 21" xfId="13920"/>
    <cellStyle name="Normal 4 3 21 2" xfId="36695"/>
    <cellStyle name="Normal 4 3 22" xfId="14576"/>
    <cellStyle name="Normal 4 3 22 2" xfId="37351"/>
    <cellStyle name="Normal 4 3 23" xfId="15232"/>
    <cellStyle name="Normal 4 3 23 2" xfId="38007"/>
    <cellStyle name="Normal 4 3 24" xfId="15888"/>
    <cellStyle name="Normal 4 3 24 2" xfId="38663"/>
    <cellStyle name="Normal 4 3 25" xfId="16544"/>
    <cellStyle name="Normal 4 3 25 2" xfId="39319"/>
    <cellStyle name="Normal 4 3 26" xfId="17200"/>
    <cellStyle name="Normal 4 3 26 2" xfId="39975"/>
    <cellStyle name="Normal 4 3 27" xfId="17856"/>
    <cellStyle name="Normal 4 3 27 2" xfId="40631"/>
    <cellStyle name="Normal 4 3 28" xfId="18512"/>
    <cellStyle name="Normal 4 3 28 2" xfId="41287"/>
    <cellStyle name="Normal 4 3 29" xfId="19168"/>
    <cellStyle name="Normal 4 3 29 2" xfId="41943"/>
    <cellStyle name="Normal 4 3 3" xfId="1128"/>
    <cellStyle name="Normal 4 3 3 2" xfId="2768"/>
    <cellStyle name="Normal 4 3 3 2 2" xfId="25543"/>
    <cellStyle name="Normal 4 3 3 3" xfId="23903"/>
    <cellStyle name="Normal 4 3 30" xfId="19824"/>
    <cellStyle name="Normal 4 3 30 2" xfId="42599"/>
    <cellStyle name="Normal 4 3 31" xfId="20480"/>
    <cellStyle name="Normal 4 3 31 2" xfId="43255"/>
    <cellStyle name="Normal 4 3 32" xfId="21136"/>
    <cellStyle name="Normal 4 3 32 2" xfId="43911"/>
    <cellStyle name="Normal 4 3 33" xfId="21792"/>
    <cellStyle name="Normal 4 3 33 2" xfId="44567"/>
    <cellStyle name="Normal 4 3 34" xfId="22448"/>
    <cellStyle name="Normal 4 3 34 2" xfId="45223"/>
    <cellStyle name="Normal 4 3 35" xfId="23247"/>
    <cellStyle name="Normal 4 3 4" xfId="1784"/>
    <cellStyle name="Normal 4 3 4 2" xfId="3424"/>
    <cellStyle name="Normal 4 3 4 2 2" xfId="26199"/>
    <cellStyle name="Normal 4 3 4 3" xfId="24559"/>
    <cellStyle name="Normal 4 3 5" xfId="4080"/>
    <cellStyle name="Normal 4 3 5 2" xfId="26855"/>
    <cellStyle name="Normal 4 3 6" xfId="4736"/>
    <cellStyle name="Normal 4 3 6 2" xfId="27511"/>
    <cellStyle name="Normal 4 3 7" xfId="5392"/>
    <cellStyle name="Normal 4 3 7 2" xfId="28167"/>
    <cellStyle name="Normal 4 3 8" xfId="6048"/>
    <cellStyle name="Normal 4 3 8 2" xfId="28823"/>
    <cellStyle name="Normal 4 3 9" xfId="2440"/>
    <cellStyle name="Normal 4 3 9 2" xfId="25215"/>
    <cellStyle name="Normal 4 30" xfId="18327"/>
    <cellStyle name="Normal 4 30 2" xfId="41102"/>
    <cellStyle name="Normal 4 31" xfId="18983"/>
    <cellStyle name="Normal 4 31 2" xfId="41758"/>
    <cellStyle name="Normal 4 32" xfId="19639"/>
    <cellStyle name="Normal 4 32 2" xfId="42414"/>
    <cellStyle name="Normal 4 33" xfId="20295"/>
    <cellStyle name="Normal 4 33 2" xfId="43070"/>
    <cellStyle name="Normal 4 34" xfId="20951"/>
    <cellStyle name="Normal 4 34 2" xfId="43726"/>
    <cellStyle name="Normal 4 35" xfId="21607"/>
    <cellStyle name="Normal 4 35 2" xfId="44382"/>
    <cellStyle name="Normal 4 36" xfId="22263"/>
    <cellStyle name="Normal 4 36 2" xfId="45038"/>
    <cellStyle name="Normal 4 37" xfId="202"/>
    <cellStyle name="Normal 4 38" xfId="22919"/>
    <cellStyle name="Normal 4 4" xfId="615"/>
    <cellStyle name="Normal 4 4 10" xfId="8159"/>
    <cellStyle name="Normal 4 4 10 2" xfId="30934"/>
    <cellStyle name="Normal 4 4 11" xfId="8815"/>
    <cellStyle name="Normal 4 4 11 2" xfId="31590"/>
    <cellStyle name="Normal 4 4 12" xfId="9471"/>
    <cellStyle name="Normal 4 4 12 2" xfId="32246"/>
    <cellStyle name="Normal 4 4 13" xfId="10127"/>
    <cellStyle name="Normal 4 4 13 2" xfId="32902"/>
    <cellStyle name="Normal 4 4 14" xfId="10783"/>
    <cellStyle name="Normal 4 4 14 2" xfId="33558"/>
    <cellStyle name="Normal 4 4 15" xfId="11439"/>
    <cellStyle name="Normal 4 4 15 2" xfId="34214"/>
    <cellStyle name="Normal 4 4 16" xfId="12095"/>
    <cellStyle name="Normal 4 4 16 2" xfId="34870"/>
    <cellStyle name="Normal 4 4 17" xfId="12751"/>
    <cellStyle name="Normal 4 4 17 2" xfId="35526"/>
    <cellStyle name="Normal 4 4 18" xfId="13407"/>
    <cellStyle name="Normal 4 4 18 2" xfId="36182"/>
    <cellStyle name="Normal 4 4 19" xfId="14063"/>
    <cellStyle name="Normal 4 4 19 2" xfId="36838"/>
    <cellStyle name="Normal 4 4 2" xfId="1271"/>
    <cellStyle name="Normal 4 4 2 2" xfId="3567"/>
    <cellStyle name="Normal 4 4 2 2 2" xfId="26342"/>
    <cellStyle name="Normal 4 4 2 3" xfId="24046"/>
    <cellStyle name="Normal 4 4 20" xfId="14719"/>
    <cellStyle name="Normal 4 4 20 2" xfId="37494"/>
    <cellStyle name="Normal 4 4 21" xfId="15375"/>
    <cellStyle name="Normal 4 4 21 2" xfId="38150"/>
    <cellStyle name="Normal 4 4 22" xfId="16031"/>
    <cellStyle name="Normal 4 4 22 2" xfId="38806"/>
    <cellStyle name="Normal 4 4 23" xfId="16687"/>
    <cellStyle name="Normal 4 4 23 2" xfId="39462"/>
    <cellStyle name="Normal 4 4 24" xfId="17343"/>
    <cellStyle name="Normal 4 4 24 2" xfId="40118"/>
    <cellStyle name="Normal 4 4 25" xfId="17999"/>
    <cellStyle name="Normal 4 4 25 2" xfId="40774"/>
    <cellStyle name="Normal 4 4 26" xfId="18655"/>
    <cellStyle name="Normal 4 4 26 2" xfId="41430"/>
    <cellStyle name="Normal 4 4 27" xfId="19311"/>
    <cellStyle name="Normal 4 4 27 2" xfId="42086"/>
    <cellStyle name="Normal 4 4 28" xfId="19967"/>
    <cellStyle name="Normal 4 4 28 2" xfId="42742"/>
    <cellStyle name="Normal 4 4 29" xfId="20623"/>
    <cellStyle name="Normal 4 4 29 2" xfId="43398"/>
    <cellStyle name="Normal 4 4 3" xfId="1927"/>
    <cellStyle name="Normal 4 4 3 2" xfId="4223"/>
    <cellStyle name="Normal 4 4 3 2 2" xfId="26998"/>
    <cellStyle name="Normal 4 4 3 3" xfId="24702"/>
    <cellStyle name="Normal 4 4 30" xfId="21279"/>
    <cellStyle name="Normal 4 4 30 2" xfId="44054"/>
    <cellStyle name="Normal 4 4 31" xfId="21935"/>
    <cellStyle name="Normal 4 4 31 2" xfId="44710"/>
    <cellStyle name="Normal 4 4 32" xfId="22591"/>
    <cellStyle name="Normal 4 4 32 2" xfId="45366"/>
    <cellStyle name="Normal 4 4 33" xfId="23390"/>
    <cellStyle name="Normal 4 4 4" xfId="4879"/>
    <cellStyle name="Normal 4 4 4 2" xfId="27654"/>
    <cellStyle name="Normal 4 4 5" xfId="5535"/>
    <cellStyle name="Normal 4 4 5 2" xfId="28310"/>
    <cellStyle name="Normal 4 4 6" xfId="6191"/>
    <cellStyle name="Normal 4 4 6 2" xfId="28966"/>
    <cellStyle name="Normal 4 4 7" xfId="2911"/>
    <cellStyle name="Normal 4 4 7 2" xfId="25686"/>
    <cellStyle name="Normal 4 4 8" xfId="6847"/>
    <cellStyle name="Normal 4 4 8 2" xfId="29622"/>
    <cellStyle name="Normal 4 4 9" xfId="7503"/>
    <cellStyle name="Normal 4 4 9 2" xfId="30278"/>
    <cellStyle name="Normal 4 5" xfId="288"/>
    <cellStyle name="Normal 4 5 2" xfId="2583"/>
    <cellStyle name="Normal 4 5 2 2" xfId="25358"/>
    <cellStyle name="Normal 4 5 3" xfId="23062"/>
    <cellStyle name="Normal 4 6" xfId="943"/>
    <cellStyle name="Normal 4 6 2" xfId="3239"/>
    <cellStyle name="Normal 4 6 2 2" xfId="26014"/>
    <cellStyle name="Normal 4 6 3" xfId="23718"/>
    <cellStyle name="Normal 4 7" xfId="1599"/>
    <cellStyle name="Normal 4 7 2" xfId="3895"/>
    <cellStyle name="Normal 4 7 2 2" xfId="26670"/>
    <cellStyle name="Normal 4 7 3" xfId="24374"/>
    <cellStyle name="Normal 4 8" xfId="4551"/>
    <cellStyle name="Normal 4 8 2" xfId="27326"/>
    <cellStyle name="Normal 4 9" xfId="5207"/>
    <cellStyle name="Normal 4 9 2" xfId="27982"/>
    <cellStyle name="Normal 5" xfId="45"/>
    <cellStyle name="Normal 5 10" xfId="5878"/>
    <cellStyle name="Normal 5 10 2" xfId="28653"/>
    <cellStyle name="Normal 5 11" xfId="2270"/>
    <cellStyle name="Normal 5 11 2" xfId="25045"/>
    <cellStyle name="Normal 5 12" xfId="6534"/>
    <cellStyle name="Normal 5 12 2" xfId="29309"/>
    <cellStyle name="Normal 5 13" xfId="7190"/>
    <cellStyle name="Normal 5 13 2" xfId="29965"/>
    <cellStyle name="Normal 5 14" xfId="7846"/>
    <cellStyle name="Normal 5 14 2" xfId="30621"/>
    <cellStyle name="Normal 5 15" xfId="8502"/>
    <cellStyle name="Normal 5 15 2" xfId="31277"/>
    <cellStyle name="Normal 5 16" xfId="9158"/>
    <cellStyle name="Normal 5 16 2" xfId="31933"/>
    <cellStyle name="Normal 5 17" xfId="9814"/>
    <cellStyle name="Normal 5 17 2" xfId="32589"/>
    <cellStyle name="Normal 5 18" xfId="10470"/>
    <cellStyle name="Normal 5 18 2" xfId="33245"/>
    <cellStyle name="Normal 5 19" xfId="11126"/>
    <cellStyle name="Normal 5 19 2" xfId="33901"/>
    <cellStyle name="Normal 5 2" xfId="157"/>
    <cellStyle name="Normal 5 2 10" xfId="2355"/>
    <cellStyle name="Normal 5 2 10 2" xfId="25130"/>
    <cellStyle name="Normal 5 2 11" xfId="6619"/>
    <cellStyle name="Normal 5 2 11 2" xfId="29394"/>
    <cellStyle name="Normal 5 2 12" xfId="7275"/>
    <cellStyle name="Normal 5 2 12 2" xfId="30050"/>
    <cellStyle name="Normal 5 2 13" xfId="7931"/>
    <cellStyle name="Normal 5 2 13 2" xfId="30706"/>
    <cellStyle name="Normal 5 2 14" xfId="8587"/>
    <cellStyle name="Normal 5 2 14 2" xfId="31362"/>
    <cellStyle name="Normal 5 2 15" xfId="9243"/>
    <cellStyle name="Normal 5 2 15 2" xfId="32018"/>
    <cellStyle name="Normal 5 2 16" xfId="9899"/>
    <cellStyle name="Normal 5 2 16 2" xfId="32674"/>
    <cellStyle name="Normal 5 2 17" xfId="10555"/>
    <cellStyle name="Normal 5 2 17 2" xfId="33330"/>
    <cellStyle name="Normal 5 2 18" xfId="11211"/>
    <cellStyle name="Normal 5 2 18 2" xfId="33986"/>
    <cellStyle name="Normal 5 2 19" xfId="11867"/>
    <cellStyle name="Normal 5 2 19 2" xfId="34642"/>
    <cellStyle name="Normal 5 2 2" xfId="571"/>
    <cellStyle name="Normal 5 2 2 10" xfId="6804"/>
    <cellStyle name="Normal 5 2 2 10 2" xfId="29579"/>
    <cellStyle name="Normal 5 2 2 11" xfId="7460"/>
    <cellStyle name="Normal 5 2 2 11 2" xfId="30235"/>
    <cellStyle name="Normal 5 2 2 12" xfId="8116"/>
    <cellStyle name="Normal 5 2 2 12 2" xfId="30891"/>
    <cellStyle name="Normal 5 2 2 13" xfId="8772"/>
    <cellStyle name="Normal 5 2 2 13 2" xfId="31547"/>
    <cellStyle name="Normal 5 2 2 14" xfId="9428"/>
    <cellStyle name="Normal 5 2 2 14 2" xfId="32203"/>
    <cellStyle name="Normal 5 2 2 15" xfId="10084"/>
    <cellStyle name="Normal 5 2 2 15 2" xfId="32859"/>
    <cellStyle name="Normal 5 2 2 16" xfId="10740"/>
    <cellStyle name="Normal 5 2 2 16 2" xfId="33515"/>
    <cellStyle name="Normal 5 2 2 17" xfId="11396"/>
    <cellStyle name="Normal 5 2 2 17 2" xfId="34171"/>
    <cellStyle name="Normal 5 2 2 18" xfId="12052"/>
    <cellStyle name="Normal 5 2 2 18 2" xfId="34827"/>
    <cellStyle name="Normal 5 2 2 19" xfId="12708"/>
    <cellStyle name="Normal 5 2 2 19 2" xfId="35483"/>
    <cellStyle name="Normal 5 2 2 2" xfId="900"/>
    <cellStyle name="Normal 5 2 2 2 10" xfId="8444"/>
    <cellStyle name="Normal 5 2 2 2 10 2" xfId="31219"/>
    <cellStyle name="Normal 5 2 2 2 11" xfId="9100"/>
    <cellStyle name="Normal 5 2 2 2 11 2" xfId="31875"/>
    <cellStyle name="Normal 5 2 2 2 12" xfId="9756"/>
    <cellStyle name="Normal 5 2 2 2 12 2" xfId="32531"/>
    <cellStyle name="Normal 5 2 2 2 13" xfId="10412"/>
    <cellStyle name="Normal 5 2 2 2 13 2" xfId="33187"/>
    <cellStyle name="Normal 5 2 2 2 14" xfId="11068"/>
    <cellStyle name="Normal 5 2 2 2 14 2" xfId="33843"/>
    <cellStyle name="Normal 5 2 2 2 15" xfId="11724"/>
    <cellStyle name="Normal 5 2 2 2 15 2" xfId="34499"/>
    <cellStyle name="Normal 5 2 2 2 16" xfId="12380"/>
    <cellStyle name="Normal 5 2 2 2 16 2" xfId="35155"/>
    <cellStyle name="Normal 5 2 2 2 17" xfId="13036"/>
    <cellStyle name="Normal 5 2 2 2 17 2" xfId="35811"/>
    <cellStyle name="Normal 5 2 2 2 18" xfId="13692"/>
    <cellStyle name="Normal 5 2 2 2 18 2" xfId="36467"/>
    <cellStyle name="Normal 5 2 2 2 19" xfId="14348"/>
    <cellStyle name="Normal 5 2 2 2 19 2" xfId="37123"/>
    <cellStyle name="Normal 5 2 2 2 2" xfId="1556"/>
    <cellStyle name="Normal 5 2 2 2 2 2" xfId="3852"/>
    <cellStyle name="Normal 5 2 2 2 2 2 2" xfId="26627"/>
    <cellStyle name="Normal 5 2 2 2 2 3" xfId="24331"/>
    <cellStyle name="Normal 5 2 2 2 20" xfId="15004"/>
    <cellStyle name="Normal 5 2 2 2 20 2" xfId="37779"/>
    <cellStyle name="Normal 5 2 2 2 21" xfId="15660"/>
    <cellStyle name="Normal 5 2 2 2 21 2" xfId="38435"/>
    <cellStyle name="Normal 5 2 2 2 22" xfId="16316"/>
    <cellStyle name="Normal 5 2 2 2 22 2" xfId="39091"/>
    <cellStyle name="Normal 5 2 2 2 23" xfId="16972"/>
    <cellStyle name="Normal 5 2 2 2 23 2" xfId="39747"/>
    <cellStyle name="Normal 5 2 2 2 24" xfId="17628"/>
    <cellStyle name="Normal 5 2 2 2 24 2" xfId="40403"/>
    <cellStyle name="Normal 5 2 2 2 25" xfId="18284"/>
    <cellStyle name="Normal 5 2 2 2 25 2" xfId="41059"/>
    <cellStyle name="Normal 5 2 2 2 26" xfId="18940"/>
    <cellStyle name="Normal 5 2 2 2 26 2" xfId="41715"/>
    <cellStyle name="Normal 5 2 2 2 27" xfId="19596"/>
    <cellStyle name="Normal 5 2 2 2 27 2" xfId="42371"/>
    <cellStyle name="Normal 5 2 2 2 28" xfId="20252"/>
    <cellStyle name="Normal 5 2 2 2 28 2" xfId="43027"/>
    <cellStyle name="Normal 5 2 2 2 29" xfId="20908"/>
    <cellStyle name="Normal 5 2 2 2 29 2" xfId="43683"/>
    <cellStyle name="Normal 5 2 2 2 3" xfId="2212"/>
    <cellStyle name="Normal 5 2 2 2 3 2" xfId="4508"/>
    <cellStyle name="Normal 5 2 2 2 3 2 2" xfId="27283"/>
    <cellStyle name="Normal 5 2 2 2 3 3" xfId="24987"/>
    <cellStyle name="Normal 5 2 2 2 30" xfId="21564"/>
    <cellStyle name="Normal 5 2 2 2 30 2" xfId="44339"/>
    <cellStyle name="Normal 5 2 2 2 31" xfId="22220"/>
    <cellStyle name="Normal 5 2 2 2 31 2" xfId="44995"/>
    <cellStyle name="Normal 5 2 2 2 32" xfId="22876"/>
    <cellStyle name="Normal 5 2 2 2 32 2" xfId="45651"/>
    <cellStyle name="Normal 5 2 2 2 33" xfId="23675"/>
    <cellStyle name="Normal 5 2 2 2 4" xfId="5164"/>
    <cellStyle name="Normal 5 2 2 2 4 2" xfId="27939"/>
    <cellStyle name="Normal 5 2 2 2 5" xfId="5820"/>
    <cellStyle name="Normal 5 2 2 2 5 2" xfId="28595"/>
    <cellStyle name="Normal 5 2 2 2 6" xfId="6476"/>
    <cellStyle name="Normal 5 2 2 2 6 2" xfId="29251"/>
    <cellStyle name="Normal 5 2 2 2 7" xfId="3196"/>
    <cellStyle name="Normal 5 2 2 2 7 2" xfId="25971"/>
    <cellStyle name="Normal 5 2 2 2 8" xfId="7132"/>
    <cellStyle name="Normal 5 2 2 2 8 2" xfId="29907"/>
    <cellStyle name="Normal 5 2 2 2 9" xfId="7788"/>
    <cellStyle name="Normal 5 2 2 2 9 2" xfId="30563"/>
    <cellStyle name="Normal 5 2 2 20" xfId="13364"/>
    <cellStyle name="Normal 5 2 2 20 2" xfId="36139"/>
    <cellStyle name="Normal 5 2 2 21" xfId="14020"/>
    <cellStyle name="Normal 5 2 2 21 2" xfId="36795"/>
    <cellStyle name="Normal 5 2 2 22" xfId="14676"/>
    <cellStyle name="Normal 5 2 2 22 2" xfId="37451"/>
    <cellStyle name="Normal 5 2 2 23" xfId="15332"/>
    <cellStyle name="Normal 5 2 2 23 2" xfId="38107"/>
    <cellStyle name="Normal 5 2 2 24" xfId="15988"/>
    <cellStyle name="Normal 5 2 2 24 2" xfId="38763"/>
    <cellStyle name="Normal 5 2 2 25" xfId="16644"/>
    <cellStyle name="Normal 5 2 2 25 2" xfId="39419"/>
    <cellStyle name="Normal 5 2 2 26" xfId="17300"/>
    <cellStyle name="Normal 5 2 2 26 2" xfId="40075"/>
    <cellStyle name="Normal 5 2 2 27" xfId="17956"/>
    <cellStyle name="Normal 5 2 2 27 2" xfId="40731"/>
    <cellStyle name="Normal 5 2 2 28" xfId="18612"/>
    <cellStyle name="Normal 5 2 2 28 2" xfId="41387"/>
    <cellStyle name="Normal 5 2 2 29" xfId="19268"/>
    <cellStyle name="Normal 5 2 2 29 2" xfId="42043"/>
    <cellStyle name="Normal 5 2 2 3" xfId="1228"/>
    <cellStyle name="Normal 5 2 2 3 2" xfId="2868"/>
    <cellStyle name="Normal 5 2 2 3 2 2" xfId="25643"/>
    <cellStyle name="Normal 5 2 2 3 3" xfId="24003"/>
    <cellStyle name="Normal 5 2 2 30" xfId="19924"/>
    <cellStyle name="Normal 5 2 2 30 2" xfId="42699"/>
    <cellStyle name="Normal 5 2 2 31" xfId="20580"/>
    <cellStyle name="Normal 5 2 2 31 2" xfId="43355"/>
    <cellStyle name="Normal 5 2 2 32" xfId="21236"/>
    <cellStyle name="Normal 5 2 2 32 2" xfId="44011"/>
    <cellStyle name="Normal 5 2 2 33" xfId="21892"/>
    <cellStyle name="Normal 5 2 2 33 2" xfId="44667"/>
    <cellStyle name="Normal 5 2 2 34" xfId="22548"/>
    <cellStyle name="Normal 5 2 2 34 2" xfId="45323"/>
    <cellStyle name="Normal 5 2 2 35" xfId="23347"/>
    <cellStyle name="Normal 5 2 2 4" xfId="1884"/>
    <cellStyle name="Normal 5 2 2 4 2" xfId="3524"/>
    <cellStyle name="Normal 5 2 2 4 2 2" xfId="26299"/>
    <cellStyle name="Normal 5 2 2 4 3" xfId="24659"/>
    <cellStyle name="Normal 5 2 2 5" xfId="4180"/>
    <cellStyle name="Normal 5 2 2 5 2" xfId="26955"/>
    <cellStyle name="Normal 5 2 2 6" xfId="4836"/>
    <cellStyle name="Normal 5 2 2 6 2" xfId="27611"/>
    <cellStyle name="Normal 5 2 2 7" xfId="5492"/>
    <cellStyle name="Normal 5 2 2 7 2" xfId="28267"/>
    <cellStyle name="Normal 5 2 2 8" xfId="6148"/>
    <cellStyle name="Normal 5 2 2 8 2" xfId="28923"/>
    <cellStyle name="Normal 5 2 2 9" xfId="2540"/>
    <cellStyle name="Normal 5 2 2 9 2" xfId="25315"/>
    <cellStyle name="Normal 5 2 20" xfId="12523"/>
    <cellStyle name="Normal 5 2 20 2" xfId="35298"/>
    <cellStyle name="Normal 5 2 21" xfId="13179"/>
    <cellStyle name="Normal 5 2 21 2" xfId="35954"/>
    <cellStyle name="Normal 5 2 22" xfId="13835"/>
    <cellStyle name="Normal 5 2 22 2" xfId="36610"/>
    <cellStyle name="Normal 5 2 23" xfId="14491"/>
    <cellStyle name="Normal 5 2 23 2" xfId="37266"/>
    <cellStyle name="Normal 5 2 24" xfId="15147"/>
    <cellStyle name="Normal 5 2 24 2" xfId="37922"/>
    <cellStyle name="Normal 5 2 25" xfId="15803"/>
    <cellStyle name="Normal 5 2 25 2" xfId="38578"/>
    <cellStyle name="Normal 5 2 26" xfId="16459"/>
    <cellStyle name="Normal 5 2 26 2" xfId="39234"/>
    <cellStyle name="Normal 5 2 27" xfId="17115"/>
    <cellStyle name="Normal 5 2 27 2" xfId="39890"/>
    <cellStyle name="Normal 5 2 28" xfId="17771"/>
    <cellStyle name="Normal 5 2 28 2" xfId="40546"/>
    <cellStyle name="Normal 5 2 29" xfId="18427"/>
    <cellStyle name="Normal 5 2 29 2" xfId="41202"/>
    <cellStyle name="Normal 5 2 3" xfId="715"/>
    <cellStyle name="Normal 5 2 3 10" xfId="8259"/>
    <cellStyle name="Normal 5 2 3 10 2" xfId="31034"/>
    <cellStyle name="Normal 5 2 3 11" xfId="8915"/>
    <cellStyle name="Normal 5 2 3 11 2" xfId="31690"/>
    <cellStyle name="Normal 5 2 3 12" xfId="9571"/>
    <cellStyle name="Normal 5 2 3 12 2" xfId="32346"/>
    <cellStyle name="Normal 5 2 3 13" xfId="10227"/>
    <cellStyle name="Normal 5 2 3 13 2" xfId="33002"/>
    <cellStyle name="Normal 5 2 3 14" xfId="10883"/>
    <cellStyle name="Normal 5 2 3 14 2" xfId="33658"/>
    <cellStyle name="Normal 5 2 3 15" xfId="11539"/>
    <cellStyle name="Normal 5 2 3 15 2" xfId="34314"/>
    <cellStyle name="Normal 5 2 3 16" xfId="12195"/>
    <cellStyle name="Normal 5 2 3 16 2" xfId="34970"/>
    <cellStyle name="Normal 5 2 3 17" xfId="12851"/>
    <cellStyle name="Normal 5 2 3 17 2" xfId="35626"/>
    <cellStyle name="Normal 5 2 3 18" xfId="13507"/>
    <cellStyle name="Normal 5 2 3 18 2" xfId="36282"/>
    <cellStyle name="Normal 5 2 3 19" xfId="14163"/>
    <cellStyle name="Normal 5 2 3 19 2" xfId="36938"/>
    <cellStyle name="Normal 5 2 3 2" xfId="1371"/>
    <cellStyle name="Normal 5 2 3 2 2" xfId="3667"/>
    <cellStyle name="Normal 5 2 3 2 2 2" xfId="26442"/>
    <cellStyle name="Normal 5 2 3 2 3" xfId="24146"/>
    <cellStyle name="Normal 5 2 3 20" xfId="14819"/>
    <cellStyle name="Normal 5 2 3 20 2" xfId="37594"/>
    <cellStyle name="Normal 5 2 3 21" xfId="15475"/>
    <cellStyle name="Normal 5 2 3 21 2" xfId="38250"/>
    <cellStyle name="Normal 5 2 3 22" xfId="16131"/>
    <cellStyle name="Normal 5 2 3 22 2" xfId="38906"/>
    <cellStyle name="Normal 5 2 3 23" xfId="16787"/>
    <cellStyle name="Normal 5 2 3 23 2" xfId="39562"/>
    <cellStyle name="Normal 5 2 3 24" xfId="17443"/>
    <cellStyle name="Normal 5 2 3 24 2" xfId="40218"/>
    <cellStyle name="Normal 5 2 3 25" xfId="18099"/>
    <cellStyle name="Normal 5 2 3 25 2" xfId="40874"/>
    <cellStyle name="Normal 5 2 3 26" xfId="18755"/>
    <cellStyle name="Normal 5 2 3 26 2" xfId="41530"/>
    <cellStyle name="Normal 5 2 3 27" xfId="19411"/>
    <cellStyle name="Normal 5 2 3 27 2" xfId="42186"/>
    <cellStyle name="Normal 5 2 3 28" xfId="20067"/>
    <cellStyle name="Normal 5 2 3 28 2" xfId="42842"/>
    <cellStyle name="Normal 5 2 3 29" xfId="20723"/>
    <cellStyle name="Normal 5 2 3 29 2" xfId="43498"/>
    <cellStyle name="Normal 5 2 3 3" xfId="2027"/>
    <cellStyle name="Normal 5 2 3 3 2" xfId="4323"/>
    <cellStyle name="Normal 5 2 3 3 2 2" xfId="27098"/>
    <cellStyle name="Normal 5 2 3 3 3" xfId="24802"/>
    <cellStyle name="Normal 5 2 3 30" xfId="21379"/>
    <cellStyle name="Normal 5 2 3 30 2" xfId="44154"/>
    <cellStyle name="Normal 5 2 3 31" xfId="22035"/>
    <cellStyle name="Normal 5 2 3 31 2" xfId="44810"/>
    <cellStyle name="Normal 5 2 3 32" xfId="22691"/>
    <cellStyle name="Normal 5 2 3 32 2" xfId="45466"/>
    <cellStyle name="Normal 5 2 3 33" xfId="23490"/>
    <cellStyle name="Normal 5 2 3 4" xfId="4979"/>
    <cellStyle name="Normal 5 2 3 4 2" xfId="27754"/>
    <cellStyle name="Normal 5 2 3 5" xfId="5635"/>
    <cellStyle name="Normal 5 2 3 5 2" xfId="28410"/>
    <cellStyle name="Normal 5 2 3 6" xfId="6291"/>
    <cellStyle name="Normal 5 2 3 6 2" xfId="29066"/>
    <cellStyle name="Normal 5 2 3 7" xfId="3011"/>
    <cellStyle name="Normal 5 2 3 7 2" xfId="25786"/>
    <cellStyle name="Normal 5 2 3 8" xfId="6947"/>
    <cellStyle name="Normal 5 2 3 8 2" xfId="29722"/>
    <cellStyle name="Normal 5 2 3 9" xfId="7603"/>
    <cellStyle name="Normal 5 2 3 9 2" xfId="30378"/>
    <cellStyle name="Normal 5 2 30" xfId="19083"/>
    <cellStyle name="Normal 5 2 30 2" xfId="41858"/>
    <cellStyle name="Normal 5 2 31" xfId="19739"/>
    <cellStyle name="Normal 5 2 31 2" xfId="42514"/>
    <cellStyle name="Normal 5 2 32" xfId="20395"/>
    <cellStyle name="Normal 5 2 32 2" xfId="43170"/>
    <cellStyle name="Normal 5 2 33" xfId="21051"/>
    <cellStyle name="Normal 5 2 33 2" xfId="43826"/>
    <cellStyle name="Normal 5 2 34" xfId="21707"/>
    <cellStyle name="Normal 5 2 34 2" xfId="44482"/>
    <cellStyle name="Normal 5 2 35" xfId="22363"/>
    <cellStyle name="Normal 5 2 35 2" xfId="45138"/>
    <cellStyle name="Normal 5 2 36" xfId="23019"/>
    <cellStyle name="Normal 5 2 4" xfId="388"/>
    <cellStyle name="Normal 5 2 4 2" xfId="2683"/>
    <cellStyle name="Normal 5 2 4 2 2" xfId="25458"/>
    <cellStyle name="Normal 5 2 4 3" xfId="23162"/>
    <cellStyle name="Normal 5 2 5" xfId="1043"/>
    <cellStyle name="Normal 5 2 5 2" xfId="3339"/>
    <cellStyle name="Normal 5 2 5 2 2" xfId="26114"/>
    <cellStyle name="Normal 5 2 5 3" xfId="23818"/>
    <cellStyle name="Normal 5 2 6" xfId="1699"/>
    <cellStyle name="Normal 5 2 6 2" xfId="3995"/>
    <cellStyle name="Normal 5 2 6 2 2" xfId="26770"/>
    <cellStyle name="Normal 5 2 6 3" xfId="24474"/>
    <cellStyle name="Normal 5 2 7" xfId="4651"/>
    <cellStyle name="Normal 5 2 7 2" xfId="27426"/>
    <cellStyle name="Normal 5 2 8" xfId="5307"/>
    <cellStyle name="Normal 5 2 8 2" xfId="28082"/>
    <cellStyle name="Normal 5 2 9" xfId="5963"/>
    <cellStyle name="Normal 5 2 9 2" xfId="28738"/>
    <cellStyle name="Normal 5 20" xfId="11782"/>
    <cellStyle name="Normal 5 20 2" xfId="34557"/>
    <cellStyle name="Normal 5 21" xfId="12438"/>
    <cellStyle name="Normal 5 21 2" xfId="35213"/>
    <cellStyle name="Normal 5 22" xfId="13094"/>
    <cellStyle name="Normal 5 22 2" xfId="35869"/>
    <cellStyle name="Normal 5 23" xfId="13750"/>
    <cellStyle name="Normal 5 23 2" xfId="36525"/>
    <cellStyle name="Normal 5 24" xfId="14406"/>
    <cellStyle name="Normal 5 24 2" xfId="37181"/>
    <cellStyle name="Normal 5 25" xfId="15062"/>
    <cellStyle name="Normal 5 25 2" xfId="37837"/>
    <cellStyle name="Normal 5 26" xfId="15718"/>
    <cellStyle name="Normal 5 26 2" xfId="38493"/>
    <cellStyle name="Normal 5 27" xfId="16374"/>
    <cellStyle name="Normal 5 27 2" xfId="39149"/>
    <cellStyle name="Normal 5 28" xfId="17030"/>
    <cellStyle name="Normal 5 28 2" xfId="39805"/>
    <cellStyle name="Normal 5 29" xfId="17686"/>
    <cellStyle name="Normal 5 29 2" xfId="40461"/>
    <cellStyle name="Normal 5 3" xfId="84"/>
    <cellStyle name="Normal 5 3 10" xfId="6719"/>
    <cellStyle name="Normal 5 3 10 2" xfId="29494"/>
    <cellStyle name="Normal 5 3 11" xfId="7375"/>
    <cellStyle name="Normal 5 3 11 2" xfId="30150"/>
    <cellStyle name="Normal 5 3 12" xfId="8031"/>
    <cellStyle name="Normal 5 3 12 2" xfId="30806"/>
    <cellStyle name="Normal 5 3 13" xfId="8687"/>
    <cellStyle name="Normal 5 3 13 2" xfId="31462"/>
    <cellStyle name="Normal 5 3 14" xfId="9343"/>
    <cellStyle name="Normal 5 3 14 2" xfId="32118"/>
    <cellStyle name="Normal 5 3 15" xfId="9999"/>
    <cellStyle name="Normal 5 3 15 2" xfId="32774"/>
    <cellStyle name="Normal 5 3 16" xfId="10655"/>
    <cellStyle name="Normal 5 3 16 2" xfId="33430"/>
    <cellStyle name="Normal 5 3 17" xfId="11311"/>
    <cellStyle name="Normal 5 3 17 2" xfId="34086"/>
    <cellStyle name="Normal 5 3 18" xfId="11967"/>
    <cellStyle name="Normal 5 3 18 2" xfId="34742"/>
    <cellStyle name="Normal 5 3 19" xfId="12623"/>
    <cellStyle name="Normal 5 3 19 2" xfId="35398"/>
    <cellStyle name="Normal 5 3 2" xfId="815"/>
    <cellStyle name="Normal 5 3 2 10" xfId="8359"/>
    <cellStyle name="Normal 5 3 2 10 2" xfId="31134"/>
    <cellStyle name="Normal 5 3 2 11" xfId="9015"/>
    <cellStyle name="Normal 5 3 2 11 2" xfId="31790"/>
    <cellStyle name="Normal 5 3 2 12" xfId="9671"/>
    <cellStyle name="Normal 5 3 2 12 2" xfId="32446"/>
    <cellStyle name="Normal 5 3 2 13" xfId="10327"/>
    <cellStyle name="Normal 5 3 2 13 2" xfId="33102"/>
    <cellStyle name="Normal 5 3 2 14" xfId="10983"/>
    <cellStyle name="Normal 5 3 2 14 2" xfId="33758"/>
    <cellStyle name="Normal 5 3 2 15" xfId="11639"/>
    <cellStyle name="Normal 5 3 2 15 2" xfId="34414"/>
    <cellStyle name="Normal 5 3 2 16" xfId="12295"/>
    <cellStyle name="Normal 5 3 2 16 2" xfId="35070"/>
    <cellStyle name="Normal 5 3 2 17" xfId="12951"/>
    <cellStyle name="Normal 5 3 2 17 2" xfId="35726"/>
    <cellStyle name="Normal 5 3 2 18" xfId="13607"/>
    <cellStyle name="Normal 5 3 2 18 2" xfId="36382"/>
    <cellStyle name="Normal 5 3 2 19" xfId="14263"/>
    <cellStyle name="Normal 5 3 2 19 2" xfId="37038"/>
    <cellStyle name="Normal 5 3 2 2" xfId="1471"/>
    <cellStyle name="Normal 5 3 2 2 2" xfId="3767"/>
    <cellStyle name="Normal 5 3 2 2 2 2" xfId="26542"/>
    <cellStyle name="Normal 5 3 2 2 3" xfId="24246"/>
    <cellStyle name="Normal 5 3 2 20" xfId="14919"/>
    <cellStyle name="Normal 5 3 2 20 2" xfId="37694"/>
    <cellStyle name="Normal 5 3 2 21" xfId="15575"/>
    <cellStyle name="Normal 5 3 2 21 2" xfId="38350"/>
    <cellStyle name="Normal 5 3 2 22" xfId="16231"/>
    <cellStyle name="Normal 5 3 2 22 2" xfId="39006"/>
    <cellStyle name="Normal 5 3 2 23" xfId="16887"/>
    <cellStyle name="Normal 5 3 2 23 2" xfId="39662"/>
    <cellStyle name="Normal 5 3 2 24" xfId="17543"/>
    <cellStyle name="Normal 5 3 2 24 2" xfId="40318"/>
    <cellStyle name="Normal 5 3 2 25" xfId="18199"/>
    <cellStyle name="Normal 5 3 2 25 2" xfId="40974"/>
    <cellStyle name="Normal 5 3 2 26" xfId="18855"/>
    <cellStyle name="Normal 5 3 2 26 2" xfId="41630"/>
    <cellStyle name="Normal 5 3 2 27" xfId="19511"/>
    <cellStyle name="Normal 5 3 2 27 2" xfId="42286"/>
    <cellStyle name="Normal 5 3 2 28" xfId="20167"/>
    <cellStyle name="Normal 5 3 2 28 2" xfId="42942"/>
    <cellStyle name="Normal 5 3 2 29" xfId="20823"/>
    <cellStyle name="Normal 5 3 2 29 2" xfId="43598"/>
    <cellStyle name="Normal 5 3 2 3" xfId="2127"/>
    <cellStyle name="Normal 5 3 2 3 2" xfId="4423"/>
    <cellStyle name="Normal 5 3 2 3 2 2" xfId="27198"/>
    <cellStyle name="Normal 5 3 2 3 3" xfId="24902"/>
    <cellStyle name="Normal 5 3 2 30" xfId="21479"/>
    <cellStyle name="Normal 5 3 2 30 2" xfId="44254"/>
    <cellStyle name="Normal 5 3 2 31" xfId="22135"/>
    <cellStyle name="Normal 5 3 2 31 2" xfId="44910"/>
    <cellStyle name="Normal 5 3 2 32" xfId="22791"/>
    <cellStyle name="Normal 5 3 2 32 2" xfId="45566"/>
    <cellStyle name="Normal 5 3 2 33" xfId="23590"/>
    <cellStyle name="Normal 5 3 2 4" xfId="5079"/>
    <cellStyle name="Normal 5 3 2 4 2" xfId="27854"/>
    <cellStyle name="Normal 5 3 2 5" xfId="5735"/>
    <cellStyle name="Normal 5 3 2 5 2" xfId="28510"/>
    <cellStyle name="Normal 5 3 2 6" xfId="6391"/>
    <cellStyle name="Normal 5 3 2 6 2" xfId="29166"/>
    <cellStyle name="Normal 5 3 2 7" xfId="3111"/>
    <cellStyle name="Normal 5 3 2 7 2" xfId="25886"/>
    <cellStyle name="Normal 5 3 2 8" xfId="7047"/>
    <cellStyle name="Normal 5 3 2 8 2" xfId="29822"/>
    <cellStyle name="Normal 5 3 2 9" xfId="7703"/>
    <cellStyle name="Normal 5 3 2 9 2" xfId="30478"/>
    <cellStyle name="Normal 5 3 20" xfId="13279"/>
    <cellStyle name="Normal 5 3 20 2" xfId="36054"/>
    <cellStyle name="Normal 5 3 21" xfId="13935"/>
    <cellStyle name="Normal 5 3 21 2" xfId="36710"/>
    <cellStyle name="Normal 5 3 22" xfId="14591"/>
    <cellStyle name="Normal 5 3 22 2" xfId="37366"/>
    <cellStyle name="Normal 5 3 23" xfId="15247"/>
    <cellStyle name="Normal 5 3 23 2" xfId="38022"/>
    <cellStyle name="Normal 5 3 24" xfId="15903"/>
    <cellStyle name="Normal 5 3 24 2" xfId="38678"/>
    <cellStyle name="Normal 5 3 25" xfId="16559"/>
    <cellStyle name="Normal 5 3 25 2" xfId="39334"/>
    <cellStyle name="Normal 5 3 26" xfId="17215"/>
    <cellStyle name="Normal 5 3 26 2" xfId="39990"/>
    <cellStyle name="Normal 5 3 27" xfId="17871"/>
    <cellStyle name="Normal 5 3 27 2" xfId="40646"/>
    <cellStyle name="Normal 5 3 28" xfId="18527"/>
    <cellStyle name="Normal 5 3 28 2" xfId="41302"/>
    <cellStyle name="Normal 5 3 29" xfId="19183"/>
    <cellStyle name="Normal 5 3 29 2" xfId="41958"/>
    <cellStyle name="Normal 5 3 3" xfId="1143"/>
    <cellStyle name="Normal 5 3 3 2" xfId="2783"/>
    <cellStyle name="Normal 5 3 3 2 2" xfId="25558"/>
    <cellStyle name="Normal 5 3 3 3" xfId="23918"/>
    <cellStyle name="Normal 5 3 30" xfId="19839"/>
    <cellStyle name="Normal 5 3 30 2" xfId="42614"/>
    <cellStyle name="Normal 5 3 31" xfId="20495"/>
    <cellStyle name="Normal 5 3 31 2" xfId="43270"/>
    <cellStyle name="Normal 5 3 32" xfId="21151"/>
    <cellStyle name="Normal 5 3 32 2" xfId="43926"/>
    <cellStyle name="Normal 5 3 33" xfId="21807"/>
    <cellStyle name="Normal 5 3 33 2" xfId="44582"/>
    <cellStyle name="Normal 5 3 34" xfId="22463"/>
    <cellStyle name="Normal 5 3 34 2" xfId="45238"/>
    <cellStyle name="Normal 5 3 35" xfId="23262"/>
    <cellStyle name="Normal 5 3 4" xfId="1799"/>
    <cellStyle name="Normal 5 3 4 2" xfId="3439"/>
    <cellStyle name="Normal 5 3 4 2 2" xfId="26214"/>
    <cellStyle name="Normal 5 3 4 3" xfId="24574"/>
    <cellStyle name="Normal 5 3 5" xfId="4095"/>
    <cellStyle name="Normal 5 3 5 2" xfId="26870"/>
    <cellStyle name="Normal 5 3 6" xfId="4751"/>
    <cellStyle name="Normal 5 3 6 2" xfId="27526"/>
    <cellStyle name="Normal 5 3 7" xfId="5407"/>
    <cellStyle name="Normal 5 3 7 2" xfId="28182"/>
    <cellStyle name="Normal 5 3 8" xfId="6063"/>
    <cellStyle name="Normal 5 3 8 2" xfId="28838"/>
    <cellStyle name="Normal 5 3 9" xfId="2455"/>
    <cellStyle name="Normal 5 3 9 2" xfId="25230"/>
    <cellStyle name="Normal 5 30" xfId="18342"/>
    <cellStyle name="Normal 5 30 2" xfId="41117"/>
    <cellStyle name="Normal 5 31" xfId="18998"/>
    <cellStyle name="Normal 5 31 2" xfId="41773"/>
    <cellStyle name="Normal 5 32" xfId="19654"/>
    <cellStyle name="Normal 5 32 2" xfId="42429"/>
    <cellStyle name="Normal 5 33" xfId="20310"/>
    <cellStyle name="Normal 5 33 2" xfId="43085"/>
    <cellStyle name="Normal 5 34" xfId="20966"/>
    <cellStyle name="Normal 5 34 2" xfId="43741"/>
    <cellStyle name="Normal 5 35" xfId="21622"/>
    <cellStyle name="Normal 5 35 2" xfId="44397"/>
    <cellStyle name="Normal 5 36" xfId="22278"/>
    <cellStyle name="Normal 5 36 2" xfId="45053"/>
    <cellStyle name="Normal 5 37" xfId="217"/>
    <cellStyle name="Normal 5 38" xfId="22934"/>
    <cellStyle name="Normal 5 4" xfId="630"/>
    <cellStyle name="Normal 5 4 10" xfId="8174"/>
    <cellStyle name="Normal 5 4 10 2" xfId="30949"/>
    <cellStyle name="Normal 5 4 11" xfId="8830"/>
    <cellStyle name="Normal 5 4 11 2" xfId="31605"/>
    <cellStyle name="Normal 5 4 12" xfId="9486"/>
    <cellStyle name="Normal 5 4 12 2" xfId="32261"/>
    <cellStyle name="Normal 5 4 13" xfId="10142"/>
    <cellStyle name="Normal 5 4 13 2" xfId="32917"/>
    <cellStyle name="Normal 5 4 14" xfId="10798"/>
    <cellStyle name="Normal 5 4 14 2" xfId="33573"/>
    <cellStyle name="Normal 5 4 15" xfId="11454"/>
    <cellStyle name="Normal 5 4 15 2" xfId="34229"/>
    <cellStyle name="Normal 5 4 16" xfId="12110"/>
    <cellStyle name="Normal 5 4 16 2" xfId="34885"/>
    <cellStyle name="Normal 5 4 17" xfId="12766"/>
    <cellStyle name="Normal 5 4 17 2" xfId="35541"/>
    <cellStyle name="Normal 5 4 18" xfId="13422"/>
    <cellStyle name="Normal 5 4 18 2" xfId="36197"/>
    <cellStyle name="Normal 5 4 19" xfId="14078"/>
    <cellStyle name="Normal 5 4 19 2" xfId="36853"/>
    <cellStyle name="Normal 5 4 2" xfId="1286"/>
    <cellStyle name="Normal 5 4 2 2" xfId="3582"/>
    <cellStyle name="Normal 5 4 2 2 2" xfId="26357"/>
    <cellStyle name="Normal 5 4 2 3" xfId="24061"/>
    <cellStyle name="Normal 5 4 20" xfId="14734"/>
    <cellStyle name="Normal 5 4 20 2" xfId="37509"/>
    <cellStyle name="Normal 5 4 21" xfId="15390"/>
    <cellStyle name="Normal 5 4 21 2" xfId="38165"/>
    <cellStyle name="Normal 5 4 22" xfId="16046"/>
    <cellStyle name="Normal 5 4 22 2" xfId="38821"/>
    <cellStyle name="Normal 5 4 23" xfId="16702"/>
    <cellStyle name="Normal 5 4 23 2" xfId="39477"/>
    <cellStyle name="Normal 5 4 24" xfId="17358"/>
    <cellStyle name="Normal 5 4 24 2" xfId="40133"/>
    <cellStyle name="Normal 5 4 25" xfId="18014"/>
    <cellStyle name="Normal 5 4 25 2" xfId="40789"/>
    <cellStyle name="Normal 5 4 26" xfId="18670"/>
    <cellStyle name="Normal 5 4 26 2" xfId="41445"/>
    <cellStyle name="Normal 5 4 27" xfId="19326"/>
    <cellStyle name="Normal 5 4 27 2" xfId="42101"/>
    <cellStyle name="Normal 5 4 28" xfId="19982"/>
    <cellStyle name="Normal 5 4 28 2" xfId="42757"/>
    <cellStyle name="Normal 5 4 29" xfId="20638"/>
    <cellStyle name="Normal 5 4 29 2" xfId="43413"/>
    <cellStyle name="Normal 5 4 3" xfId="1942"/>
    <cellStyle name="Normal 5 4 3 2" xfId="4238"/>
    <cellStyle name="Normal 5 4 3 2 2" xfId="27013"/>
    <cellStyle name="Normal 5 4 3 3" xfId="24717"/>
    <cellStyle name="Normal 5 4 30" xfId="21294"/>
    <cellStyle name="Normal 5 4 30 2" xfId="44069"/>
    <cellStyle name="Normal 5 4 31" xfId="21950"/>
    <cellStyle name="Normal 5 4 31 2" xfId="44725"/>
    <cellStyle name="Normal 5 4 32" xfId="22606"/>
    <cellStyle name="Normal 5 4 32 2" xfId="45381"/>
    <cellStyle name="Normal 5 4 33" xfId="23405"/>
    <cellStyle name="Normal 5 4 4" xfId="4894"/>
    <cellStyle name="Normal 5 4 4 2" xfId="27669"/>
    <cellStyle name="Normal 5 4 5" xfId="5550"/>
    <cellStyle name="Normal 5 4 5 2" xfId="28325"/>
    <cellStyle name="Normal 5 4 6" xfId="6206"/>
    <cellStyle name="Normal 5 4 6 2" xfId="28981"/>
    <cellStyle name="Normal 5 4 7" xfId="2926"/>
    <cellStyle name="Normal 5 4 7 2" xfId="25701"/>
    <cellStyle name="Normal 5 4 8" xfId="6862"/>
    <cellStyle name="Normal 5 4 8 2" xfId="29637"/>
    <cellStyle name="Normal 5 4 9" xfId="7518"/>
    <cellStyle name="Normal 5 4 9 2" xfId="30293"/>
    <cellStyle name="Normal 5 5" xfId="303"/>
    <cellStyle name="Normal 5 5 2" xfId="2598"/>
    <cellStyle name="Normal 5 5 2 2" xfId="25373"/>
    <cellStyle name="Normal 5 5 3" xfId="23077"/>
    <cellStyle name="Normal 5 6" xfId="958"/>
    <cellStyle name="Normal 5 6 2" xfId="3254"/>
    <cellStyle name="Normal 5 6 2 2" xfId="26029"/>
    <cellStyle name="Normal 5 6 3" xfId="23733"/>
    <cellStyle name="Normal 5 7" xfId="1614"/>
    <cellStyle name="Normal 5 7 2" xfId="3910"/>
    <cellStyle name="Normal 5 7 2 2" xfId="26685"/>
    <cellStyle name="Normal 5 7 3" xfId="24389"/>
    <cellStyle name="Normal 5 8" xfId="4566"/>
    <cellStyle name="Normal 5 8 2" xfId="27341"/>
    <cellStyle name="Normal 5 9" xfId="5222"/>
    <cellStyle name="Normal 5 9 2" xfId="27997"/>
    <cellStyle name="Normal 6" xfId="86"/>
    <cellStyle name="Normal 6 10" xfId="5892"/>
    <cellStyle name="Normal 6 10 2" xfId="28667"/>
    <cellStyle name="Normal 6 11" xfId="2284"/>
    <cellStyle name="Normal 6 11 2" xfId="25059"/>
    <cellStyle name="Normal 6 12" xfId="6548"/>
    <cellStyle name="Normal 6 12 2" xfId="29323"/>
    <cellStyle name="Normal 6 13" xfId="7204"/>
    <cellStyle name="Normal 6 13 2" xfId="29979"/>
    <cellStyle name="Normal 6 14" xfId="7860"/>
    <cellStyle name="Normal 6 14 2" xfId="30635"/>
    <cellStyle name="Normal 6 15" xfId="8516"/>
    <cellStyle name="Normal 6 15 2" xfId="31291"/>
    <cellStyle name="Normal 6 16" xfId="9172"/>
    <cellStyle name="Normal 6 16 2" xfId="31947"/>
    <cellStyle name="Normal 6 17" xfId="9828"/>
    <cellStyle name="Normal 6 17 2" xfId="32603"/>
    <cellStyle name="Normal 6 18" xfId="10484"/>
    <cellStyle name="Normal 6 18 2" xfId="33259"/>
    <cellStyle name="Normal 6 19" xfId="11140"/>
    <cellStyle name="Normal 6 19 2" xfId="33915"/>
    <cellStyle name="Normal 6 2" xfId="171"/>
    <cellStyle name="Normal 6 2 10" xfId="2369"/>
    <cellStyle name="Normal 6 2 10 2" xfId="25144"/>
    <cellStyle name="Normal 6 2 11" xfId="6633"/>
    <cellStyle name="Normal 6 2 11 2" xfId="29408"/>
    <cellStyle name="Normal 6 2 12" xfId="7289"/>
    <cellStyle name="Normal 6 2 12 2" xfId="30064"/>
    <cellStyle name="Normal 6 2 13" xfId="7945"/>
    <cellStyle name="Normal 6 2 13 2" xfId="30720"/>
    <cellStyle name="Normal 6 2 14" xfId="8601"/>
    <cellStyle name="Normal 6 2 14 2" xfId="31376"/>
    <cellStyle name="Normal 6 2 15" xfId="9257"/>
    <cellStyle name="Normal 6 2 15 2" xfId="32032"/>
    <cellStyle name="Normal 6 2 16" xfId="9913"/>
    <cellStyle name="Normal 6 2 16 2" xfId="32688"/>
    <cellStyle name="Normal 6 2 17" xfId="10569"/>
    <cellStyle name="Normal 6 2 17 2" xfId="33344"/>
    <cellStyle name="Normal 6 2 18" xfId="11225"/>
    <cellStyle name="Normal 6 2 18 2" xfId="34000"/>
    <cellStyle name="Normal 6 2 19" xfId="11881"/>
    <cellStyle name="Normal 6 2 19 2" xfId="34656"/>
    <cellStyle name="Normal 6 2 2" xfId="585"/>
    <cellStyle name="Normal 6 2 2 10" xfId="6818"/>
    <cellStyle name="Normal 6 2 2 10 2" xfId="29593"/>
    <cellStyle name="Normal 6 2 2 11" xfId="7474"/>
    <cellStyle name="Normal 6 2 2 11 2" xfId="30249"/>
    <cellStyle name="Normal 6 2 2 12" xfId="8130"/>
    <cellStyle name="Normal 6 2 2 12 2" xfId="30905"/>
    <cellStyle name="Normal 6 2 2 13" xfId="8786"/>
    <cellStyle name="Normal 6 2 2 13 2" xfId="31561"/>
    <cellStyle name="Normal 6 2 2 14" xfId="9442"/>
    <cellStyle name="Normal 6 2 2 14 2" xfId="32217"/>
    <cellStyle name="Normal 6 2 2 15" xfId="10098"/>
    <cellStyle name="Normal 6 2 2 15 2" xfId="32873"/>
    <cellStyle name="Normal 6 2 2 16" xfId="10754"/>
    <cellStyle name="Normal 6 2 2 16 2" xfId="33529"/>
    <cellStyle name="Normal 6 2 2 17" xfId="11410"/>
    <cellStyle name="Normal 6 2 2 17 2" xfId="34185"/>
    <cellStyle name="Normal 6 2 2 18" xfId="12066"/>
    <cellStyle name="Normal 6 2 2 18 2" xfId="34841"/>
    <cellStyle name="Normal 6 2 2 19" xfId="12722"/>
    <cellStyle name="Normal 6 2 2 19 2" xfId="35497"/>
    <cellStyle name="Normal 6 2 2 2" xfId="914"/>
    <cellStyle name="Normal 6 2 2 2 10" xfId="8458"/>
    <cellStyle name="Normal 6 2 2 2 10 2" xfId="31233"/>
    <cellStyle name="Normal 6 2 2 2 11" xfId="9114"/>
    <cellStyle name="Normal 6 2 2 2 11 2" xfId="31889"/>
    <cellStyle name="Normal 6 2 2 2 12" xfId="9770"/>
    <cellStyle name="Normal 6 2 2 2 12 2" xfId="32545"/>
    <cellStyle name="Normal 6 2 2 2 13" xfId="10426"/>
    <cellStyle name="Normal 6 2 2 2 13 2" xfId="33201"/>
    <cellStyle name="Normal 6 2 2 2 14" xfId="11082"/>
    <cellStyle name="Normal 6 2 2 2 14 2" xfId="33857"/>
    <cellStyle name="Normal 6 2 2 2 15" xfId="11738"/>
    <cellStyle name="Normal 6 2 2 2 15 2" xfId="34513"/>
    <cellStyle name="Normal 6 2 2 2 16" xfId="12394"/>
    <cellStyle name="Normal 6 2 2 2 16 2" xfId="35169"/>
    <cellStyle name="Normal 6 2 2 2 17" xfId="13050"/>
    <cellStyle name="Normal 6 2 2 2 17 2" xfId="35825"/>
    <cellStyle name="Normal 6 2 2 2 18" xfId="13706"/>
    <cellStyle name="Normal 6 2 2 2 18 2" xfId="36481"/>
    <cellStyle name="Normal 6 2 2 2 19" xfId="14362"/>
    <cellStyle name="Normal 6 2 2 2 19 2" xfId="37137"/>
    <cellStyle name="Normal 6 2 2 2 2" xfId="1570"/>
    <cellStyle name="Normal 6 2 2 2 2 2" xfId="3866"/>
    <cellStyle name="Normal 6 2 2 2 2 2 2" xfId="26641"/>
    <cellStyle name="Normal 6 2 2 2 2 3" xfId="24345"/>
    <cellStyle name="Normal 6 2 2 2 20" xfId="15018"/>
    <cellStyle name="Normal 6 2 2 2 20 2" xfId="37793"/>
    <cellStyle name="Normal 6 2 2 2 21" xfId="15674"/>
    <cellStyle name="Normal 6 2 2 2 21 2" xfId="38449"/>
    <cellStyle name="Normal 6 2 2 2 22" xfId="16330"/>
    <cellStyle name="Normal 6 2 2 2 22 2" xfId="39105"/>
    <cellStyle name="Normal 6 2 2 2 23" xfId="16986"/>
    <cellStyle name="Normal 6 2 2 2 23 2" xfId="39761"/>
    <cellStyle name="Normal 6 2 2 2 24" xfId="17642"/>
    <cellStyle name="Normal 6 2 2 2 24 2" xfId="40417"/>
    <cellStyle name="Normal 6 2 2 2 25" xfId="18298"/>
    <cellStyle name="Normal 6 2 2 2 25 2" xfId="41073"/>
    <cellStyle name="Normal 6 2 2 2 26" xfId="18954"/>
    <cellStyle name="Normal 6 2 2 2 26 2" xfId="41729"/>
    <cellStyle name="Normal 6 2 2 2 27" xfId="19610"/>
    <cellStyle name="Normal 6 2 2 2 27 2" xfId="42385"/>
    <cellStyle name="Normal 6 2 2 2 28" xfId="20266"/>
    <cellStyle name="Normal 6 2 2 2 28 2" xfId="43041"/>
    <cellStyle name="Normal 6 2 2 2 29" xfId="20922"/>
    <cellStyle name="Normal 6 2 2 2 29 2" xfId="43697"/>
    <cellStyle name="Normal 6 2 2 2 3" xfId="2226"/>
    <cellStyle name="Normal 6 2 2 2 3 2" xfId="4522"/>
    <cellStyle name="Normal 6 2 2 2 3 2 2" xfId="27297"/>
    <cellStyle name="Normal 6 2 2 2 3 3" xfId="25001"/>
    <cellStyle name="Normal 6 2 2 2 30" xfId="21578"/>
    <cellStyle name="Normal 6 2 2 2 30 2" xfId="44353"/>
    <cellStyle name="Normal 6 2 2 2 31" xfId="22234"/>
    <cellStyle name="Normal 6 2 2 2 31 2" xfId="45009"/>
    <cellStyle name="Normal 6 2 2 2 32" xfId="22890"/>
    <cellStyle name="Normal 6 2 2 2 32 2" xfId="45665"/>
    <cellStyle name="Normal 6 2 2 2 33" xfId="23689"/>
    <cellStyle name="Normal 6 2 2 2 4" xfId="5178"/>
    <cellStyle name="Normal 6 2 2 2 4 2" xfId="27953"/>
    <cellStyle name="Normal 6 2 2 2 5" xfId="5834"/>
    <cellStyle name="Normal 6 2 2 2 5 2" xfId="28609"/>
    <cellStyle name="Normal 6 2 2 2 6" xfId="6490"/>
    <cellStyle name="Normal 6 2 2 2 6 2" xfId="29265"/>
    <cellStyle name="Normal 6 2 2 2 7" xfId="3210"/>
    <cellStyle name="Normal 6 2 2 2 7 2" xfId="25985"/>
    <cellStyle name="Normal 6 2 2 2 8" xfId="7146"/>
    <cellStyle name="Normal 6 2 2 2 8 2" xfId="29921"/>
    <cellStyle name="Normal 6 2 2 2 9" xfId="7802"/>
    <cellStyle name="Normal 6 2 2 2 9 2" xfId="30577"/>
    <cellStyle name="Normal 6 2 2 20" xfId="13378"/>
    <cellStyle name="Normal 6 2 2 20 2" xfId="36153"/>
    <cellStyle name="Normal 6 2 2 21" xfId="14034"/>
    <cellStyle name="Normal 6 2 2 21 2" xfId="36809"/>
    <cellStyle name="Normal 6 2 2 22" xfId="14690"/>
    <cellStyle name="Normal 6 2 2 22 2" xfId="37465"/>
    <cellStyle name="Normal 6 2 2 23" xfId="15346"/>
    <cellStyle name="Normal 6 2 2 23 2" xfId="38121"/>
    <cellStyle name="Normal 6 2 2 24" xfId="16002"/>
    <cellStyle name="Normal 6 2 2 24 2" xfId="38777"/>
    <cellStyle name="Normal 6 2 2 25" xfId="16658"/>
    <cellStyle name="Normal 6 2 2 25 2" xfId="39433"/>
    <cellStyle name="Normal 6 2 2 26" xfId="17314"/>
    <cellStyle name="Normal 6 2 2 26 2" xfId="40089"/>
    <cellStyle name="Normal 6 2 2 27" xfId="17970"/>
    <cellStyle name="Normal 6 2 2 27 2" xfId="40745"/>
    <cellStyle name="Normal 6 2 2 28" xfId="18626"/>
    <cellStyle name="Normal 6 2 2 28 2" xfId="41401"/>
    <cellStyle name="Normal 6 2 2 29" xfId="19282"/>
    <cellStyle name="Normal 6 2 2 29 2" xfId="42057"/>
    <cellStyle name="Normal 6 2 2 3" xfId="1242"/>
    <cellStyle name="Normal 6 2 2 3 2" xfId="2882"/>
    <cellStyle name="Normal 6 2 2 3 2 2" xfId="25657"/>
    <cellStyle name="Normal 6 2 2 3 3" xfId="24017"/>
    <cellStyle name="Normal 6 2 2 30" xfId="19938"/>
    <cellStyle name="Normal 6 2 2 30 2" xfId="42713"/>
    <cellStyle name="Normal 6 2 2 31" xfId="20594"/>
    <cellStyle name="Normal 6 2 2 31 2" xfId="43369"/>
    <cellStyle name="Normal 6 2 2 32" xfId="21250"/>
    <cellStyle name="Normal 6 2 2 32 2" xfId="44025"/>
    <cellStyle name="Normal 6 2 2 33" xfId="21906"/>
    <cellStyle name="Normal 6 2 2 33 2" xfId="44681"/>
    <cellStyle name="Normal 6 2 2 34" xfId="22562"/>
    <cellStyle name="Normal 6 2 2 34 2" xfId="45337"/>
    <cellStyle name="Normal 6 2 2 35" xfId="23361"/>
    <cellStyle name="Normal 6 2 2 4" xfId="1898"/>
    <cellStyle name="Normal 6 2 2 4 2" xfId="3538"/>
    <cellStyle name="Normal 6 2 2 4 2 2" xfId="26313"/>
    <cellStyle name="Normal 6 2 2 4 3" xfId="24673"/>
    <cellStyle name="Normal 6 2 2 5" xfId="4194"/>
    <cellStyle name="Normal 6 2 2 5 2" xfId="26969"/>
    <cellStyle name="Normal 6 2 2 6" xfId="4850"/>
    <cellStyle name="Normal 6 2 2 6 2" xfId="27625"/>
    <cellStyle name="Normal 6 2 2 7" xfId="5506"/>
    <cellStyle name="Normal 6 2 2 7 2" xfId="28281"/>
    <cellStyle name="Normal 6 2 2 8" xfId="6162"/>
    <cellStyle name="Normal 6 2 2 8 2" xfId="28937"/>
    <cellStyle name="Normal 6 2 2 9" xfId="2554"/>
    <cellStyle name="Normal 6 2 2 9 2" xfId="25329"/>
    <cellStyle name="Normal 6 2 20" xfId="12537"/>
    <cellStyle name="Normal 6 2 20 2" xfId="35312"/>
    <cellStyle name="Normal 6 2 21" xfId="13193"/>
    <cellStyle name="Normal 6 2 21 2" xfId="35968"/>
    <cellStyle name="Normal 6 2 22" xfId="13849"/>
    <cellStyle name="Normal 6 2 22 2" xfId="36624"/>
    <cellStyle name="Normal 6 2 23" xfId="14505"/>
    <cellStyle name="Normal 6 2 23 2" xfId="37280"/>
    <cellStyle name="Normal 6 2 24" xfId="15161"/>
    <cellStyle name="Normal 6 2 24 2" xfId="37936"/>
    <cellStyle name="Normal 6 2 25" xfId="15817"/>
    <cellStyle name="Normal 6 2 25 2" xfId="38592"/>
    <cellStyle name="Normal 6 2 26" xfId="16473"/>
    <cellStyle name="Normal 6 2 26 2" xfId="39248"/>
    <cellStyle name="Normal 6 2 27" xfId="17129"/>
    <cellStyle name="Normal 6 2 27 2" xfId="39904"/>
    <cellStyle name="Normal 6 2 28" xfId="17785"/>
    <cellStyle name="Normal 6 2 28 2" xfId="40560"/>
    <cellStyle name="Normal 6 2 29" xfId="18441"/>
    <cellStyle name="Normal 6 2 29 2" xfId="41216"/>
    <cellStyle name="Normal 6 2 3" xfId="729"/>
    <cellStyle name="Normal 6 2 3 10" xfId="8273"/>
    <cellStyle name="Normal 6 2 3 10 2" xfId="31048"/>
    <cellStyle name="Normal 6 2 3 11" xfId="8929"/>
    <cellStyle name="Normal 6 2 3 11 2" xfId="31704"/>
    <cellStyle name="Normal 6 2 3 12" xfId="9585"/>
    <cellStyle name="Normal 6 2 3 12 2" xfId="32360"/>
    <cellStyle name="Normal 6 2 3 13" xfId="10241"/>
    <cellStyle name="Normal 6 2 3 13 2" xfId="33016"/>
    <cellStyle name="Normal 6 2 3 14" xfId="10897"/>
    <cellStyle name="Normal 6 2 3 14 2" xfId="33672"/>
    <cellStyle name="Normal 6 2 3 15" xfId="11553"/>
    <cellStyle name="Normal 6 2 3 15 2" xfId="34328"/>
    <cellStyle name="Normal 6 2 3 16" xfId="12209"/>
    <cellStyle name="Normal 6 2 3 16 2" xfId="34984"/>
    <cellStyle name="Normal 6 2 3 17" xfId="12865"/>
    <cellStyle name="Normal 6 2 3 17 2" xfId="35640"/>
    <cellStyle name="Normal 6 2 3 18" xfId="13521"/>
    <cellStyle name="Normal 6 2 3 18 2" xfId="36296"/>
    <cellStyle name="Normal 6 2 3 19" xfId="14177"/>
    <cellStyle name="Normal 6 2 3 19 2" xfId="36952"/>
    <cellStyle name="Normal 6 2 3 2" xfId="1385"/>
    <cellStyle name="Normal 6 2 3 2 2" xfId="3681"/>
    <cellStyle name="Normal 6 2 3 2 2 2" xfId="26456"/>
    <cellStyle name="Normal 6 2 3 2 3" xfId="24160"/>
    <cellStyle name="Normal 6 2 3 20" xfId="14833"/>
    <cellStyle name="Normal 6 2 3 20 2" xfId="37608"/>
    <cellStyle name="Normal 6 2 3 21" xfId="15489"/>
    <cellStyle name="Normal 6 2 3 21 2" xfId="38264"/>
    <cellStyle name="Normal 6 2 3 22" xfId="16145"/>
    <cellStyle name="Normal 6 2 3 22 2" xfId="38920"/>
    <cellStyle name="Normal 6 2 3 23" xfId="16801"/>
    <cellStyle name="Normal 6 2 3 23 2" xfId="39576"/>
    <cellStyle name="Normal 6 2 3 24" xfId="17457"/>
    <cellStyle name="Normal 6 2 3 24 2" xfId="40232"/>
    <cellStyle name="Normal 6 2 3 25" xfId="18113"/>
    <cellStyle name="Normal 6 2 3 25 2" xfId="40888"/>
    <cellStyle name="Normal 6 2 3 26" xfId="18769"/>
    <cellStyle name="Normal 6 2 3 26 2" xfId="41544"/>
    <cellStyle name="Normal 6 2 3 27" xfId="19425"/>
    <cellStyle name="Normal 6 2 3 27 2" xfId="42200"/>
    <cellStyle name="Normal 6 2 3 28" xfId="20081"/>
    <cellStyle name="Normal 6 2 3 28 2" xfId="42856"/>
    <cellStyle name="Normal 6 2 3 29" xfId="20737"/>
    <cellStyle name="Normal 6 2 3 29 2" xfId="43512"/>
    <cellStyle name="Normal 6 2 3 3" xfId="2041"/>
    <cellStyle name="Normal 6 2 3 3 2" xfId="4337"/>
    <cellStyle name="Normal 6 2 3 3 2 2" xfId="27112"/>
    <cellStyle name="Normal 6 2 3 3 3" xfId="24816"/>
    <cellStyle name="Normal 6 2 3 30" xfId="21393"/>
    <cellStyle name="Normal 6 2 3 30 2" xfId="44168"/>
    <cellStyle name="Normal 6 2 3 31" xfId="22049"/>
    <cellStyle name="Normal 6 2 3 31 2" xfId="44824"/>
    <cellStyle name="Normal 6 2 3 32" xfId="22705"/>
    <cellStyle name="Normal 6 2 3 32 2" xfId="45480"/>
    <cellStyle name="Normal 6 2 3 33" xfId="23504"/>
    <cellStyle name="Normal 6 2 3 4" xfId="4993"/>
    <cellStyle name="Normal 6 2 3 4 2" xfId="27768"/>
    <cellStyle name="Normal 6 2 3 5" xfId="5649"/>
    <cellStyle name="Normal 6 2 3 5 2" xfId="28424"/>
    <cellStyle name="Normal 6 2 3 6" xfId="6305"/>
    <cellStyle name="Normal 6 2 3 6 2" xfId="29080"/>
    <cellStyle name="Normal 6 2 3 7" xfId="3025"/>
    <cellStyle name="Normal 6 2 3 7 2" xfId="25800"/>
    <cellStyle name="Normal 6 2 3 8" xfId="6961"/>
    <cellStyle name="Normal 6 2 3 8 2" xfId="29736"/>
    <cellStyle name="Normal 6 2 3 9" xfId="7617"/>
    <cellStyle name="Normal 6 2 3 9 2" xfId="30392"/>
    <cellStyle name="Normal 6 2 30" xfId="19097"/>
    <cellStyle name="Normal 6 2 30 2" xfId="41872"/>
    <cellStyle name="Normal 6 2 31" xfId="19753"/>
    <cellStyle name="Normal 6 2 31 2" xfId="42528"/>
    <cellStyle name="Normal 6 2 32" xfId="20409"/>
    <cellStyle name="Normal 6 2 32 2" xfId="43184"/>
    <cellStyle name="Normal 6 2 33" xfId="21065"/>
    <cellStyle name="Normal 6 2 33 2" xfId="43840"/>
    <cellStyle name="Normal 6 2 34" xfId="21721"/>
    <cellStyle name="Normal 6 2 34 2" xfId="44496"/>
    <cellStyle name="Normal 6 2 35" xfId="22377"/>
    <cellStyle name="Normal 6 2 35 2" xfId="45152"/>
    <cellStyle name="Normal 6 2 36" xfId="23033"/>
    <cellStyle name="Normal 6 2 4" xfId="402"/>
    <cellStyle name="Normal 6 2 4 2" xfId="2697"/>
    <cellStyle name="Normal 6 2 4 2 2" xfId="25472"/>
    <cellStyle name="Normal 6 2 4 3" xfId="23176"/>
    <cellStyle name="Normal 6 2 5" xfId="1057"/>
    <cellStyle name="Normal 6 2 5 2" xfId="3353"/>
    <cellStyle name="Normal 6 2 5 2 2" xfId="26128"/>
    <cellStyle name="Normal 6 2 5 3" xfId="23832"/>
    <cellStyle name="Normal 6 2 6" xfId="1713"/>
    <cellStyle name="Normal 6 2 6 2" xfId="4009"/>
    <cellStyle name="Normal 6 2 6 2 2" xfId="26784"/>
    <cellStyle name="Normal 6 2 6 3" xfId="24488"/>
    <cellStyle name="Normal 6 2 7" xfId="4665"/>
    <cellStyle name="Normal 6 2 7 2" xfId="27440"/>
    <cellStyle name="Normal 6 2 8" xfId="5321"/>
    <cellStyle name="Normal 6 2 8 2" xfId="28096"/>
    <cellStyle name="Normal 6 2 9" xfId="5977"/>
    <cellStyle name="Normal 6 2 9 2" xfId="28752"/>
    <cellStyle name="Normal 6 20" xfId="11796"/>
    <cellStyle name="Normal 6 20 2" xfId="34571"/>
    <cellStyle name="Normal 6 21" xfId="12452"/>
    <cellStyle name="Normal 6 21 2" xfId="35227"/>
    <cellStyle name="Normal 6 22" xfId="13108"/>
    <cellStyle name="Normal 6 22 2" xfId="35883"/>
    <cellStyle name="Normal 6 23" xfId="13764"/>
    <cellStyle name="Normal 6 23 2" xfId="36539"/>
    <cellStyle name="Normal 6 24" xfId="14420"/>
    <cellStyle name="Normal 6 24 2" xfId="37195"/>
    <cellStyle name="Normal 6 25" xfId="15076"/>
    <cellStyle name="Normal 6 25 2" xfId="37851"/>
    <cellStyle name="Normal 6 26" xfId="15732"/>
    <cellStyle name="Normal 6 26 2" xfId="38507"/>
    <cellStyle name="Normal 6 27" xfId="16388"/>
    <cellStyle name="Normal 6 27 2" xfId="39163"/>
    <cellStyle name="Normal 6 28" xfId="17044"/>
    <cellStyle name="Normal 6 28 2" xfId="39819"/>
    <cellStyle name="Normal 6 29" xfId="17700"/>
    <cellStyle name="Normal 6 29 2" xfId="40475"/>
    <cellStyle name="Normal 6 3" xfId="501"/>
    <cellStyle name="Normal 6 3 10" xfId="6733"/>
    <cellStyle name="Normal 6 3 10 2" xfId="29508"/>
    <cellStyle name="Normal 6 3 11" xfId="7389"/>
    <cellStyle name="Normal 6 3 11 2" xfId="30164"/>
    <cellStyle name="Normal 6 3 12" xfId="8045"/>
    <cellStyle name="Normal 6 3 12 2" xfId="30820"/>
    <cellStyle name="Normal 6 3 13" xfId="8701"/>
    <cellStyle name="Normal 6 3 13 2" xfId="31476"/>
    <cellStyle name="Normal 6 3 14" xfId="9357"/>
    <cellStyle name="Normal 6 3 14 2" xfId="32132"/>
    <cellStyle name="Normal 6 3 15" xfId="10013"/>
    <cellStyle name="Normal 6 3 15 2" xfId="32788"/>
    <cellStyle name="Normal 6 3 16" xfId="10669"/>
    <cellStyle name="Normal 6 3 16 2" xfId="33444"/>
    <cellStyle name="Normal 6 3 17" xfId="11325"/>
    <cellStyle name="Normal 6 3 17 2" xfId="34100"/>
    <cellStyle name="Normal 6 3 18" xfId="11981"/>
    <cellStyle name="Normal 6 3 18 2" xfId="34756"/>
    <cellStyle name="Normal 6 3 19" xfId="12637"/>
    <cellStyle name="Normal 6 3 19 2" xfId="35412"/>
    <cellStyle name="Normal 6 3 2" xfId="829"/>
    <cellStyle name="Normal 6 3 2 10" xfId="8373"/>
    <cellStyle name="Normal 6 3 2 10 2" xfId="31148"/>
    <cellStyle name="Normal 6 3 2 11" xfId="9029"/>
    <cellStyle name="Normal 6 3 2 11 2" xfId="31804"/>
    <cellStyle name="Normal 6 3 2 12" xfId="9685"/>
    <cellStyle name="Normal 6 3 2 12 2" xfId="32460"/>
    <cellStyle name="Normal 6 3 2 13" xfId="10341"/>
    <cellStyle name="Normal 6 3 2 13 2" xfId="33116"/>
    <cellStyle name="Normal 6 3 2 14" xfId="10997"/>
    <cellStyle name="Normal 6 3 2 14 2" xfId="33772"/>
    <cellStyle name="Normal 6 3 2 15" xfId="11653"/>
    <cellStyle name="Normal 6 3 2 15 2" xfId="34428"/>
    <cellStyle name="Normal 6 3 2 16" xfId="12309"/>
    <cellStyle name="Normal 6 3 2 16 2" xfId="35084"/>
    <cellStyle name="Normal 6 3 2 17" xfId="12965"/>
    <cellStyle name="Normal 6 3 2 17 2" xfId="35740"/>
    <cellStyle name="Normal 6 3 2 18" xfId="13621"/>
    <cellStyle name="Normal 6 3 2 18 2" xfId="36396"/>
    <cellStyle name="Normal 6 3 2 19" xfId="14277"/>
    <cellStyle name="Normal 6 3 2 19 2" xfId="37052"/>
    <cellStyle name="Normal 6 3 2 2" xfId="1485"/>
    <cellStyle name="Normal 6 3 2 2 2" xfId="3781"/>
    <cellStyle name="Normal 6 3 2 2 2 2" xfId="26556"/>
    <cellStyle name="Normal 6 3 2 2 3" xfId="24260"/>
    <cellStyle name="Normal 6 3 2 20" xfId="14933"/>
    <cellStyle name="Normal 6 3 2 20 2" xfId="37708"/>
    <cellStyle name="Normal 6 3 2 21" xfId="15589"/>
    <cellStyle name="Normal 6 3 2 21 2" xfId="38364"/>
    <cellStyle name="Normal 6 3 2 22" xfId="16245"/>
    <cellStyle name="Normal 6 3 2 22 2" xfId="39020"/>
    <cellStyle name="Normal 6 3 2 23" xfId="16901"/>
    <cellStyle name="Normal 6 3 2 23 2" xfId="39676"/>
    <cellStyle name="Normal 6 3 2 24" xfId="17557"/>
    <cellStyle name="Normal 6 3 2 24 2" xfId="40332"/>
    <cellStyle name="Normal 6 3 2 25" xfId="18213"/>
    <cellStyle name="Normal 6 3 2 25 2" xfId="40988"/>
    <cellStyle name="Normal 6 3 2 26" xfId="18869"/>
    <cellStyle name="Normal 6 3 2 26 2" xfId="41644"/>
    <cellStyle name="Normal 6 3 2 27" xfId="19525"/>
    <cellStyle name="Normal 6 3 2 27 2" xfId="42300"/>
    <cellStyle name="Normal 6 3 2 28" xfId="20181"/>
    <cellStyle name="Normal 6 3 2 28 2" xfId="42956"/>
    <cellStyle name="Normal 6 3 2 29" xfId="20837"/>
    <cellStyle name="Normal 6 3 2 29 2" xfId="43612"/>
    <cellStyle name="Normal 6 3 2 3" xfId="2141"/>
    <cellStyle name="Normal 6 3 2 3 2" xfId="4437"/>
    <cellStyle name="Normal 6 3 2 3 2 2" xfId="27212"/>
    <cellStyle name="Normal 6 3 2 3 3" xfId="24916"/>
    <cellStyle name="Normal 6 3 2 30" xfId="21493"/>
    <cellStyle name="Normal 6 3 2 30 2" xfId="44268"/>
    <cellStyle name="Normal 6 3 2 31" xfId="22149"/>
    <cellStyle name="Normal 6 3 2 31 2" xfId="44924"/>
    <cellStyle name="Normal 6 3 2 32" xfId="22805"/>
    <cellStyle name="Normal 6 3 2 32 2" xfId="45580"/>
    <cellStyle name="Normal 6 3 2 33" xfId="23604"/>
    <cellStyle name="Normal 6 3 2 4" xfId="5093"/>
    <cellStyle name="Normal 6 3 2 4 2" xfId="27868"/>
    <cellStyle name="Normal 6 3 2 5" xfId="5749"/>
    <cellStyle name="Normal 6 3 2 5 2" xfId="28524"/>
    <cellStyle name="Normal 6 3 2 6" xfId="6405"/>
    <cellStyle name="Normal 6 3 2 6 2" xfId="29180"/>
    <cellStyle name="Normal 6 3 2 7" xfId="3125"/>
    <cellStyle name="Normal 6 3 2 7 2" xfId="25900"/>
    <cellStyle name="Normal 6 3 2 8" xfId="7061"/>
    <cellStyle name="Normal 6 3 2 8 2" xfId="29836"/>
    <cellStyle name="Normal 6 3 2 9" xfId="7717"/>
    <cellStyle name="Normal 6 3 2 9 2" xfId="30492"/>
    <cellStyle name="Normal 6 3 20" xfId="13293"/>
    <cellStyle name="Normal 6 3 20 2" xfId="36068"/>
    <cellStyle name="Normal 6 3 21" xfId="13949"/>
    <cellStyle name="Normal 6 3 21 2" xfId="36724"/>
    <cellStyle name="Normal 6 3 22" xfId="14605"/>
    <cellStyle name="Normal 6 3 22 2" xfId="37380"/>
    <cellStyle name="Normal 6 3 23" xfId="15261"/>
    <cellStyle name="Normal 6 3 23 2" xfId="38036"/>
    <cellStyle name="Normal 6 3 24" xfId="15917"/>
    <cellStyle name="Normal 6 3 24 2" xfId="38692"/>
    <cellStyle name="Normal 6 3 25" xfId="16573"/>
    <cellStyle name="Normal 6 3 25 2" xfId="39348"/>
    <cellStyle name="Normal 6 3 26" xfId="17229"/>
    <cellStyle name="Normal 6 3 26 2" xfId="40004"/>
    <cellStyle name="Normal 6 3 27" xfId="17885"/>
    <cellStyle name="Normal 6 3 27 2" xfId="40660"/>
    <cellStyle name="Normal 6 3 28" xfId="18541"/>
    <cellStyle name="Normal 6 3 28 2" xfId="41316"/>
    <cellStyle name="Normal 6 3 29" xfId="19197"/>
    <cellStyle name="Normal 6 3 29 2" xfId="41972"/>
    <cellStyle name="Normal 6 3 3" xfId="1157"/>
    <cellStyle name="Normal 6 3 3 2" xfId="2797"/>
    <cellStyle name="Normal 6 3 3 2 2" xfId="25572"/>
    <cellStyle name="Normal 6 3 3 3" xfId="23932"/>
    <cellStyle name="Normal 6 3 30" xfId="19853"/>
    <cellStyle name="Normal 6 3 30 2" xfId="42628"/>
    <cellStyle name="Normal 6 3 31" xfId="20509"/>
    <cellStyle name="Normal 6 3 31 2" xfId="43284"/>
    <cellStyle name="Normal 6 3 32" xfId="21165"/>
    <cellStyle name="Normal 6 3 32 2" xfId="43940"/>
    <cellStyle name="Normal 6 3 33" xfId="21821"/>
    <cellStyle name="Normal 6 3 33 2" xfId="44596"/>
    <cellStyle name="Normal 6 3 34" xfId="22477"/>
    <cellStyle name="Normal 6 3 34 2" xfId="45252"/>
    <cellStyle name="Normal 6 3 35" xfId="23276"/>
    <cellStyle name="Normal 6 3 4" xfId="1813"/>
    <cellStyle name="Normal 6 3 4 2" xfId="3453"/>
    <cellStyle name="Normal 6 3 4 2 2" xfId="26228"/>
    <cellStyle name="Normal 6 3 4 3" xfId="24588"/>
    <cellStyle name="Normal 6 3 5" xfId="4109"/>
    <cellStyle name="Normal 6 3 5 2" xfId="26884"/>
    <cellStyle name="Normal 6 3 6" xfId="4765"/>
    <cellStyle name="Normal 6 3 6 2" xfId="27540"/>
    <cellStyle name="Normal 6 3 7" xfId="5421"/>
    <cellStyle name="Normal 6 3 7 2" xfId="28196"/>
    <cellStyle name="Normal 6 3 8" xfId="6077"/>
    <cellStyle name="Normal 6 3 8 2" xfId="28852"/>
    <cellStyle name="Normal 6 3 9" xfId="2469"/>
    <cellStyle name="Normal 6 3 9 2" xfId="25244"/>
    <cellStyle name="Normal 6 30" xfId="18356"/>
    <cellStyle name="Normal 6 30 2" xfId="41131"/>
    <cellStyle name="Normal 6 31" xfId="19012"/>
    <cellStyle name="Normal 6 31 2" xfId="41787"/>
    <cellStyle name="Normal 6 32" xfId="19668"/>
    <cellStyle name="Normal 6 32 2" xfId="42443"/>
    <cellStyle name="Normal 6 33" xfId="20324"/>
    <cellStyle name="Normal 6 33 2" xfId="43099"/>
    <cellStyle name="Normal 6 34" xfId="20980"/>
    <cellStyle name="Normal 6 34 2" xfId="43755"/>
    <cellStyle name="Normal 6 35" xfId="21636"/>
    <cellStyle name="Normal 6 35 2" xfId="44411"/>
    <cellStyle name="Normal 6 36" xfId="22292"/>
    <cellStyle name="Normal 6 36 2" xfId="45067"/>
    <cellStyle name="Normal 6 37" xfId="231"/>
    <cellStyle name="Normal 6 38" xfId="22948"/>
    <cellStyle name="Normal 6 4" xfId="644"/>
    <cellStyle name="Normal 6 4 10" xfId="8188"/>
    <cellStyle name="Normal 6 4 10 2" xfId="30963"/>
    <cellStyle name="Normal 6 4 11" xfId="8844"/>
    <cellStyle name="Normal 6 4 11 2" xfId="31619"/>
    <cellStyle name="Normal 6 4 12" xfId="9500"/>
    <cellStyle name="Normal 6 4 12 2" xfId="32275"/>
    <cellStyle name="Normal 6 4 13" xfId="10156"/>
    <cellStyle name="Normal 6 4 13 2" xfId="32931"/>
    <cellStyle name="Normal 6 4 14" xfId="10812"/>
    <cellStyle name="Normal 6 4 14 2" xfId="33587"/>
    <cellStyle name="Normal 6 4 15" xfId="11468"/>
    <cellStyle name="Normal 6 4 15 2" xfId="34243"/>
    <cellStyle name="Normal 6 4 16" xfId="12124"/>
    <cellStyle name="Normal 6 4 16 2" xfId="34899"/>
    <cellStyle name="Normal 6 4 17" xfId="12780"/>
    <cellStyle name="Normal 6 4 17 2" xfId="35555"/>
    <cellStyle name="Normal 6 4 18" xfId="13436"/>
    <cellStyle name="Normal 6 4 18 2" xfId="36211"/>
    <cellStyle name="Normal 6 4 19" xfId="14092"/>
    <cellStyle name="Normal 6 4 19 2" xfId="36867"/>
    <cellStyle name="Normal 6 4 2" xfId="1300"/>
    <cellStyle name="Normal 6 4 2 2" xfId="3596"/>
    <cellStyle name="Normal 6 4 2 2 2" xfId="26371"/>
    <cellStyle name="Normal 6 4 2 3" xfId="24075"/>
    <cellStyle name="Normal 6 4 20" xfId="14748"/>
    <cellStyle name="Normal 6 4 20 2" xfId="37523"/>
    <cellStyle name="Normal 6 4 21" xfId="15404"/>
    <cellStyle name="Normal 6 4 21 2" xfId="38179"/>
    <cellStyle name="Normal 6 4 22" xfId="16060"/>
    <cellStyle name="Normal 6 4 22 2" xfId="38835"/>
    <cellStyle name="Normal 6 4 23" xfId="16716"/>
    <cellStyle name="Normal 6 4 23 2" xfId="39491"/>
    <cellStyle name="Normal 6 4 24" xfId="17372"/>
    <cellStyle name="Normal 6 4 24 2" xfId="40147"/>
    <cellStyle name="Normal 6 4 25" xfId="18028"/>
    <cellStyle name="Normal 6 4 25 2" xfId="40803"/>
    <cellStyle name="Normal 6 4 26" xfId="18684"/>
    <cellStyle name="Normal 6 4 26 2" xfId="41459"/>
    <cellStyle name="Normal 6 4 27" xfId="19340"/>
    <cellStyle name="Normal 6 4 27 2" xfId="42115"/>
    <cellStyle name="Normal 6 4 28" xfId="19996"/>
    <cellStyle name="Normal 6 4 28 2" xfId="42771"/>
    <cellStyle name="Normal 6 4 29" xfId="20652"/>
    <cellStyle name="Normal 6 4 29 2" xfId="43427"/>
    <cellStyle name="Normal 6 4 3" xfId="1956"/>
    <cellStyle name="Normal 6 4 3 2" xfId="4252"/>
    <cellStyle name="Normal 6 4 3 2 2" xfId="27027"/>
    <cellStyle name="Normal 6 4 3 3" xfId="24731"/>
    <cellStyle name="Normal 6 4 30" xfId="21308"/>
    <cellStyle name="Normal 6 4 30 2" xfId="44083"/>
    <cellStyle name="Normal 6 4 31" xfId="21964"/>
    <cellStyle name="Normal 6 4 31 2" xfId="44739"/>
    <cellStyle name="Normal 6 4 32" xfId="22620"/>
    <cellStyle name="Normal 6 4 32 2" xfId="45395"/>
    <cellStyle name="Normal 6 4 33" xfId="23419"/>
    <cellStyle name="Normal 6 4 4" xfId="4908"/>
    <cellStyle name="Normal 6 4 4 2" xfId="27683"/>
    <cellStyle name="Normal 6 4 5" xfId="5564"/>
    <cellStyle name="Normal 6 4 5 2" xfId="28339"/>
    <cellStyle name="Normal 6 4 6" xfId="6220"/>
    <cellStyle name="Normal 6 4 6 2" xfId="28995"/>
    <cellStyle name="Normal 6 4 7" xfId="2940"/>
    <cellStyle name="Normal 6 4 7 2" xfId="25715"/>
    <cellStyle name="Normal 6 4 8" xfId="6876"/>
    <cellStyle name="Normal 6 4 8 2" xfId="29651"/>
    <cellStyle name="Normal 6 4 9" xfId="7532"/>
    <cellStyle name="Normal 6 4 9 2" xfId="30307"/>
    <cellStyle name="Normal 6 5" xfId="317"/>
    <cellStyle name="Normal 6 5 2" xfId="2612"/>
    <cellStyle name="Normal 6 5 2 2" xfId="25387"/>
    <cellStyle name="Normal 6 5 3" xfId="23091"/>
    <cellStyle name="Normal 6 6" xfId="972"/>
    <cellStyle name="Normal 6 6 2" xfId="3268"/>
    <cellStyle name="Normal 6 6 2 2" xfId="26043"/>
    <cellStyle name="Normal 6 6 3" xfId="23747"/>
    <cellStyle name="Normal 6 7" xfId="1628"/>
    <cellStyle name="Normal 6 7 2" xfId="3924"/>
    <cellStyle name="Normal 6 7 2 2" xfId="26699"/>
    <cellStyle name="Normal 6 7 3" xfId="24403"/>
    <cellStyle name="Normal 6 8" xfId="4580"/>
    <cellStyle name="Normal 6 8 2" xfId="27355"/>
    <cellStyle name="Normal 6 9" xfId="5236"/>
    <cellStyle name="Normal 6 9 2" xfId="28011"/>
    <cellStyle name="Normal 7" xfId="100"/>
    <cellStyle name="Normal 7 10" xfId="2298"/>
    <cellStyle name="Normal 7 10 2" xfId="25073"/>
    <cellStyle name="Normal 7 11" xfId="6562"/>
    <cellStyle name="Normal 7 11 2" xfId="29337"/>
    <cellStyle name="Normal 7 12" xfId="7218"/>
    <cellStyle name="Normal 7 12 2" xfId="29993"/>
    <cellStyle name="Normal 7 13" xfId="7874"/>
    <cellStyle name="Normal 7 13 2" xfId="30649"/>
    <cellStyle name="Normal 7 14" xfId="8530"/>
    <cellStyle name="Normal 7 14 2" xfId="31305"/>
    <cellStyle name="Normal 7 15" xfId="9186"/>
    <cellStyle name="Normal 7 15 2" xfId="31961"/>
    <cellStyle name="Normal 7 16" xfId="9842"/>
    <cellStyle name="Normal 7 16 2" xfId="32617"/>
    <cellStyle name="Normal 7 17" xfId="10498"/>
    <cellStyle name="Normal 7 17 2" xfId="33273"/>
    <cellStyle name="Normal 7 18" xfId="11154"/>
    <cellStyle name="Normal 7 18 2" xfId="33929"/>
    <cellStyle name="Normal 7 19" xfId="11810"/>
    <cellStyle name="Normal 7 19 2" xfId="34585"/>
    <cellStyle name="Normal 7 2" xfId="515"/>
    <cellStyle name="Normal 7 2 10" xfId="6747"/>
    <cellStyle name="Normal 7 2 10 2" xfId="29522"/>
    <cellStyle name="Normal 7 2 11" xfId="7403"/>
    <cellStyle name="Normal 7 2 11 2" xfId="30178"/>
    <cellStyle name="Normal 7 2 12" xfId="8059"/>
    <cellStyle name="Normal 7 2 12 2" xfId="30834"/>
    <cellStyle name="Normal 7 2 13" xfId="8715"/>
    <cellStyle name="Normal 7 2 13 2" xfId="31490"/>
    <cellStyle name="Normal 7 2 14" xfId="9371"/>
    <cellStyle name="Normal 7 2 14 2" xfId="32146"/>
    <cellStyle name="Normal 7 2 15" xfId="10027"/>
    <cellStyle name="Normal 7 2 15 2" xfId="32802"/>
    <cellStyle name="Normal 7 2 16" xfId="10683"/>
    <cellStyle name="Normal 7 2 16 2" xfId="33458"/>
    <cellStyle name="Normal 7 2 17" xfId="11339"/>
    <cellStyle name="Normal 7 2 17 2" xfId="34114"/>
    <cellStyle name="Normal 7 2 18" xfId="11995"/>
    <cellStyle name="Normal 7 2 18 2" xfId="34770"/>
    <cellStyle name="Normal 7 2 19" xfId="12651"/>
    <cellStyle name="Normal 7 2 19 2" xfId="35426"/>
    <cellStyle name="Normal 7 2 2" xfId="843"/>
    <cellStyle name="Normal 7 2 2 10" xfId="8387"/>
    <cellStyle name="Normal 7 2 2 10 2" xfId="31162"/>
    <cellStyle name="Normal 7 2 2 11" xfId="9043"/>
    <cellStyle name="Normal 7 2 2 11 2" xfId="31818"/>
    <cellStyle name="Normal 7 2 2 12" xfId="9699"/>
    <cellStyle name="Normal 7 2 2 12 2" xfId="32474"/>
    <cellStyle name="Normal 7 2 2 13" xfId="10355"/>
    <cellStyle name="Normal 7 2 2 13 2" xfId="33130"/>
    <cellStyle name="Normal 7 2 2 14" xfId="11011"/>
    <cellStyle name="Normal 7 2 2 14 2" xfId="33786"/>
    <cellStyle name="Normal 7 2 2 15" xfId="11667"/>
    <cellStyle name="Normal 7 2 2 15 2" xfId="34442"/>
    <cellStyle name="Normal 7 2 2 16" xfId="12323"/>
    <cellStyle name="Normal 7 2 2 16 2" xfId="35098"/>
    <cellStyle name="Normal 7 2 2 17" xfId="12979"/>
    <cellStyle name="Normal 7 2 2 17 2" xfId="35754"/>
    <cellStyle name="Normal 7 2 2 18" xfId="13635"/>
    <cellStyle name="Normal 7 2 2 18 2" xfId="36410"/>
    <cellStyle name="Normal 7 2 2 19" xfId="14291"/>
    <cellStyle name="Normal 7 2 2 19 2" xfId="37066"/>
    <cellStyle name="Normal 7 2 2 2" xfId="1499"/>
    <cellStyle name="Normal 7 2 2 2 2" xfId="3795"/>
    <cellStyle name="Normal 7 2 2 2 2 2" xfId="26570"/>
    <cellStyle name="Normal 7 2 2 2 3" xfId="24274"/>
    <cellStyle name="Normal 7 2 2 20" xfId="14947"/>
    <cellStyle name="Normal 7 2 2 20 2" xfId="37722"/>
    <cellStyle name="Normal 7 2 2 21" xfId="15603"/>
    <cellStyle name="Normal 7 2 2 21 2" xfId="38378"/>
    <cellStyle name="Normal 7 2 2 22" xfId="16259"/>
    <cellStyle name="Normal 7 2 2 22 2" xfId="39034"/>
    <cellStyle name="Normal 7 2 2 23" xfId="16915"/>
    <cellStyle name="Normal 7 2 2 23 2" xfId="39690"/>
    <cellStyle name="Normal 7 2 2 24" xfId="17571"/>
    <cellStyle name="Normal 7 2 2 24 2" xfId="40346"/>
    <cellStyle name="Normal 7 2 2 25" xfId="18227"/>
    <cellStyle name="Normal 7 2 2 25 2" xfId="41002"/>
    <cellStyle name="Normal 7 2 2 26" xfId="18883"/>
    <cellStyle name="Normal 7 2 2 26 2" xfId="41658"/>
    <cellStyle name="Normal 7 2 2 27" xfId="19539"/>
    <cellStyle name="Normal 7 2 2 27 2" xfId="42314"/>
    <cellStyle name="Normal 7 2 2 28" xfId="20195"/>
    <cellStyle name="Normal 7 2 2 28 2" xfId="42970"/>
    <cellStyle name="Normal 7 2 2 29" xfId="20851"/>
    <cellStyle name="Normal 7 2 2 29 2" xfId="43626"/>
    <cellStyle name="Normal 7 2 2 3" xfId="2155"/>
    <cellStyle name="Normal 7 2 2 3 2" xfId="4451"/>
    <cellStyle name="Normal 7 2 2 3 2 2" xfId="27226"/>
    <cellStyle name="Normal 7 2 2 3 3" xfId="24930"/>
    <cellStyle name="Normal 7 2 2 30" xfId="21507"/>
    <cellStyle name="Normal 7 2 2 30 2" xfId="44282"/>
    <cellStyle name="Normal 7 2 2 31" xfId="22163"/>
    <cellStyle name="Normal 7 2 2 31 2" xfId="44938"/>
    <cellStyle name="Normal 7 2 2 32" xfId="22819"/>
    <cellStyle name="Normal 7 2 2 32 2" xfId="45594"/>
    <cellStyle name="Normal 7 2 2 33" xfId="23618"/>
    <cellStyle name="Normal 7 2 2 4" xfId="5107"/>
    <cellStyle name="Normal 7 2 2 4 2" xfId="27882"/>
    <cellStyle name="Normal 7 2 2 5" xfId="5763"/>
    <cellStyle name="Normal 7 2 2 5 2" xfId="28538"/>
    <cellStyle name="Normal 7 2 2 6" xfId="6419"/>
    <cellStyle name="Normal 7 2 2 6 2" xfId="29194"/>
    <cellStyle name="Normal 7 2 2 7" xfId="3139"/>
    <cellStyle name="Normal 7 2 2 7 2" xfId="25914"/>
    <cellStyle name="Normal 7 2 2 8" xfId="7075"/>
    <cellStyle name="Normal 7 2 2 8 2" xfId="29850"/>
    <cellStyle name="Normal 7 2 2 9" xfId="7731"/>
    <cellStyle name="Normal 7 2 2 9 2" xfId="30506"/>
    <cellStyle name="Normal 7 2 20" xfId="13307"/>
    <cellStyle name="Normal 7 2 20 2" xfId="36082"/>
    <cellStyle name="Normal 7 2 21" xfId="13963"/>
    <cellStyle name="Normal 7 2 21 2" xfId="36738"/>
    <cellStyle name="Normal 7 2 22" xfId="14619"/>
    <cellStyle name="Normal 7 2 22 2" xfId="37394"/>
    <cellStyle name="Normal 7 2 23" xfId="15275"/>
    <cellStyle name="Normal 7 2 23 2" xfId="38050"/>
    <cellStyle name="Normal 7 2 24" xfId="15931"/>
    <cellStyle name="Normal 7 2 24 2" xfId="38706"/>
    <cellStyle name="Normal 7 2 25" xfId="16587"/>
    <cellStyle name="Normal 7 2 25 2" xfId="39362"/>
    <cellStyle name="Normal 7 2 26" xfId="17243"/>
    <cellStyle name="Normal 7 2 26 2" xfId="40018"/>
    <cellStyle name="Normal 7 2 27" xfId="17899"/>
    <cellStyle name="Normal 7 2 27 2" xfId="40674"/>
    <cellStyle name="Normal 7 2 28" xfId="18555"/>
    <cellStyle name="Normal 7 2 28 2" xfId="41330"/>
    <cellStyle name="Normal 7 2 29" xfId="19211"/>
    <cellStyle name="Normal 7 2 29 2" xfId="41986"/>
    <cellStyle name="Normal 7 2 3" xfId="1171"/>
    <cellStyle name="Normal 7 2 3 2" xfId="2811"/>
    <cellStyle name="Normal 7 2 3 2 2" xfId="25586"/>
    <cellStyle name="Normal 7 2 3 3" xfId="23946"/>
    <cellStyle name="Normal 7 2 30" xfId="19867"/>
    <cellStyle name="Normal 7 2 30 2" xfId="42642"/>
    <cellStyle name="Normal 7 2 31" xfId="20523"/>
    <cellStyle name="Normal 7 2 31 2" xfId="43298"/>
    <cellStyle name="Normal 7 2 32" xfId="21179"/>
    <cellStyle name="Normal 7 2 32 2" xfId="43954"/>
    <cellStyle name="Normal 7 2 33" xfId="21835"/>
    <cellStyle name="Normal 7 2 33 2" xfId="44610"/>
    <cellStyle name="Normal 7 2 34" xfId="22491"/>
    <cellStyle name="Normal 7 2 34 2" xfId="45266"/>
    <cellStyle name="Normal 7 2 35" xfId="23290"/>
    <cellStyle name="Normal 7 2 4" xfId="1827"/>
    <cellStyle name="Normal 7 2 4 2" xfId="3467"/>
    <cellStyle name="Normal 7 2 4 2 2" xfId="26242"/>
    <cellStyle name="Normal 7 2 4 3" xfId="24602"/>
    <cellStyle name="Normal 7 2 5" xfId="4123"/>
    <cellStyle name="Normal 7 2 5 2" xfId="26898"/>
    <cellStyle name="Normal 7 2 6" xfId="4779"/>
    <cellStyle name="Normal 7 2 6 2" xfId="27554"/>
    <cellStyle name="Normal 7 2 7" xfId="5435"/>
    <cellStyle name="Normal 7 2 7 2" xfId="28210"/>
    <cellStyle name="Normal 7 2 8" xfId="6091"/>
    <cellStyle name="Normal 7 2 8 2" xfId="28866"/>
    <cellStyle name="Normal 7 2 9" xfId="2483"/>
    <cellStyle name="Normal 7 2 9 2" xfId="25258"/>
    <cellStyle name="Normal 7 20" xfId="12466"/>
    <cellStyle name="Normal 7 20 2" xfId="35241"/>
    <cellStyle name="Normal 7 21" xfId="13122"/>
    <cellStyle name="Normal 7 21 2" xfId="35897"/>
    <cellStyle name="Normal 7 22" xfId="13778"/>
    <cellStyle name="Normal 7 22 2" xfId="36553"/>
    <cellStyle name="Normal 7 23" xfId="14434"/>
    <cellStyle name="Normal 7 23 2" xfId="37209"/>
    <cellStyle name="Normal 7 24" xfId="15090"/>
    <cellStyle name="Normal 7 24 2" xfId="37865"/>
    <cellStyle name="Normal 7 25" xfId="15746"/>
    <cellStyle name="Normal 7 25 2" xfId="38521"/>
    <cellStyle name="Normal 7 26" xfId="16402"/>
    <cellStyle name="Normal 7 26 2" xfId="39177"/>
    <cellStyle name="Normal 7 27" xfId="17058"/>
    <cellStyle name="Normal 7 27 2" xfId="39833"/>
    <cellStyle name="Normal 7 28" xfId="17714"/>
    <cellStyle name="Normal 7 28 2" xfId="40489"/>
    <cellStyle name="Normal 7 29" xfId="18370"/>
    <cellStyle name="Normal 7 29 2" xfId="41145"/>
    <cellStyle name="Normal 7 3" xfId="658"/>
    <cellStyle name="Normal 7 3 10" xfId="8202"/>
    <cellStyle name="Normal 7 3 10 2" xfId="30977"/>
    <cellStyle name="Normal 7 3 11" xfId="8858"/>
    <cellStyle name="Normal 7 3 11 2" xfId="31633"/>
    <cellStyle name="Normal 7 3 12" xfId="9514"/>
    <cellStyle name="Normal 7 3 12 2" xfId="32289"/>
    <cellStyle name="Normal 7 3 13" xfId="10170"/>
    <cellStyle name="Normal 7 3 13 2" xfId="32945"/>
    <cellStyle name="Normal 7 3 14" xfId="10826"/>
    <cellStyle name="Normal 7 3 14 2" xfId="33601"/>
    <cellStyle name="Normal 7 3 15" xfId="11482"/>
    <cellStyle name="Normal 7 3 15 2" xfId="34257"/>
    <cellStyle name="Normal 7 3 16" xfId="12138"/>
    <cellStyle name="Normal 7 3 16 2" xfId="34913"/>
    <cellStyle name="Normal 7 3 17" xfId="12794"/>
    <cellStyle name="Normal 7 3 17 2" xfId="35569"/>
    <cellStyle name="Normal 7 3 18" xfId="13450"/>
    <cellStyle name="Normal 7 3 18 2" xfId="36225"/>
    <cellStyle name="Normal 7 3 19" xfId="14106"/>
    <cellStyle name="Normal 7 3 19 2" xfId="36881"/>
    <cellStyle name="Normal 7 3 2" xfId="1314"/>
    <cellStyle name="Normal 7 3 2 2" xfId="3610"/>
    <cellStyle name="Normal 7 3 2 2 2" xfId="26385"/>
    <cellStyle name="Normal 7 3 2 3" xfId="24089"/>
    <cellStyle name="Normal 7 3 20" xfId="14762"/>
    <cellStyle name="Normal 7 3 20 2" xfId="37537"/>
    <cellStyle name="Normal 7 3 21" xfId="15418"/>
    <cellStyle name="Normal 7 3 21 2" xfId="38193"/>
    <cellStyle name="Normal 7 3 22" xfId="16074"/>
    <cellStyle name="Normal 7 3 22 2" xfId="38849"/>
    <cellStyle name="Normal 7 3 23" xfId="16730"/>
    <cellStyle name="Normal 7 3 23 2" xfId="39505"/>
    <cellStyle name="Normal 7 3 24" xfId="17386"/>
    <cellStyle name="Normal 7 3 24 2" xfId="40161"/>
    <cellStyle name="Normal 7 3 25" xfId="18042"/>
    <cellStyle name="Normal 7 3 25 2" xfId="40817"/>
    <cellStyle name="Normal 7 3 26" xfId="18698"/>
    <cellStyle name="Normal 7 3 26 2" xfId="41473"/>
    <cellStyle name="Normal 7 3 27" xfId="19354"/>
    <cellStyle name="Normal 7 3 27 2" xfId="42129"/>
    <cellStyle name="Normal 7 3 28" xfId="20010"/>
    <cellStyle name="Normal 7 3 28 2" xfId="42785"/>
    <cellStyle name="Normal 7 3 29" xfId="20666"/>
    <cellStyle name="Normal 7 3 29 2" xfId="43441"/>
    <cellStyle name="Normal 7 3 3" xfId="1970"/>
    <cellStyle name="Normal 7 3 3 2" xfId="4266"/>
    <cellStyle name="Normal 7 3 3 2 2" xfId="27041"/>
    <cellStyle name="Normal 7 3 3 3" xfId="24745"/>
    <cellStyle name="Normal 7 3 30" xfId="21322"/>
    <cellStyle name="Normal 7 3 30 2" xfId="44097"/>
    <cellStyle name="Normal 7 3 31" xfId="21978"/>
    <cellStyle name="Normal 7 3 31 2" xfId="44753"/>
    <cellStyle name="Normal 7 3 32" xfId="22634"/>
    <cellStyle name="Normal 7 3 32 2" xfId="45409"/>
    <cellStyle name="Normal 7 3 33" xfId="23433"/>
    <cellStyle name="Normal 7 3 4" xfId="4922"/>
    <cellStyle name="Normal 7 3 4 2" xfId="27697"/>
    <cellStyle name="Normal 7 3 5" xfId="5578"/>
    <cellStyle name="Normal 7 3 5 2" xfId="28353"/>
    <cellStyle name="Normal 7 3 6" xfId="6234"/>
    <cellStyle name="Normal 7 3 6 2" xfId="29009"/>
    <cellStyle name="Normal 7 3 7" xfId="2954"/>
    <cellStyle name="Normal 7 3 7 2" xfId="25729"/>
    <cellStyle name="Normal 7 3 8" xfId="6890"/>
    <cellStyle name="Normal 7 3 8 2" xfId="29665"/>
    <cellStyle name="Normal 7 3 9" xfId="7546"/>
    <cellStyle name="Normal 7 3 9 2" xfId="30321"/>
    <cellStyle name="Normal 7 30" xfId="19026"/>
    <cellStyle name="Normal 7 30 2" xfId="41801"/>
    <cellStyle name="Normal 7 31" xfId="19682"/>
    <cellStyle name="Normal 7 31 2" xfId="42457"/>
    <cellStyle name="Normal 7 32" xfId="20338"/>
    <cellStyle name="Normal 7 32 2" xfId="43113"/>
    <cellStyle name="Normal 7 33" xfId="20994"/>
    <cellStyle name="Normal 7 33 2" xfId="43769"/>
    <cellStyle name="Normal 7 34" xfId="21650"/>
    <cellStyle name="Normal 7 34 2" xfId="44425"/>
    <cellStyle name="Normal 7 35" xfId="22306"/>
    <cellStyle name="Normal 7 35 2" xfId="45081"/>
    <cellStyle name="Normal 7 36" xfId="245"/>
    <cellStyle name="Normal 7 37" xfId="22962"/>
    <cellStyle name="Normal 7 4" xfId="331"/>
    <cellStyle name="Normal 7 4 2" xfId="2626"/>
    <cellStyle name="Normal 7 4 2 2" xfId="25401"/>
    <cellStyle name="Normal 7 4 3" xfId="23105"/>
    <cellStyle name="Normal 7 5" xfId="986"/>
    <cellStyle name="Normal 7 5 2" xfId="3282"/>
    <cellStyle name="Normal 7 5 2 2" xfId="26057"/>
    <cellStyle name="Normal 7 5 3" xfId="23761"/>
    <cellStyle name="Normal 7 6" xfId="1642"/>
    <cellStyle name="Normal 7 6 2" xfId="3938"/>
    <cellStyle name="Normal 7 6 2 2" xfId="26713"/>
    <cellStyle name="Normal 7 6 3" xfId="24417"/>
    <cellStyle name="Normal 7 7" xfId="4594"/>
    <cellStyle name="Normal 7 7 2" xfId="27369"/>
    <cellStyle name="Normal 7 8" xfId="5250"/>
    <cellStyle name="Normal 7 8 2" xfId="28025"/>
    <cellStyle name="Normal 7 9" xfId="5906"/>
    <cellStyle name="Normal 7 9 2" xfId="28681"/>
    <cellStyle name="Normal 8" xfId="185"/>
    <cellStyle name="Normal 8 10" xfId="2383"/>
    <cellStyle name="Normal 8 10 2" xfId="25158"/>
    <cellStyle name="Normal 8 11" xfId="6647"/>
    <cellStyle name="Normal 8 11 2" xfId="29422"/>
    <cellStyle name="Normal 8 12" xfId="7303"/>
    <cellStyle name="Normal 8 12 2" xfId="30078"/>
    <cellStyle name="Normal 8 13" xfId="7959"/>
    <cellStyle name="Normal 8 13 2" xfId="30734"/>
    <cellStyle name="Normal 8 14" xfId="8615"/>
    <cellStyle name="Normal 8 14 2" xfId="31390"/>
    <cellStyle name="Normal 8 15" xfId="9271"/>
    <cellStyle name="Normal 8 15 2" xfId="32046"/>
    <cellStyle name="Normal 8 16" xfId="9927"/>
    <cellStyle name="Normal 8 16 2" xfId="32702"/>
    <cellStyle name="Normal 8 17" xfId="10583"/>
    <cellStyle name="Normal 8 17 2" xfId="33358"/>
    <cellStyle name="Normal 8 18" xfId="11239"/>
    <cellStyle name="Normal 8 18 2" xfId="34014"/>
    <cellStyle name="Normal 8 19" xfId="11895"/>
    <cellStyle name="Normal 8 19 2" xfId="34670"/>
    <cellStyle name="Normal 8 2" xfId="599"/>
    <cellStyle name="Normal 8 2 10" xfId="6832"/>
    <cellStyle name="Normal 8 2 10 2" xfId="29607"/>
    <cellStyle name="Normal 8 2 11" xfId="7488"/>
    <cellStyle name="Normal 8 2 11 2" xfId="30263"/>
    <cellStyle name="Normal 8 2 12" xfId="8144"/>
    <cellStyle name="Normal 8 2 12 2" xfId="30919"/>
    <cellStyle name="Normal 8 2 13" xfId="8800"/>
    <cellStyle name="Normal 8 2 13 2" xfId="31575"/>
    <cellStyle name="Normal 8 2 14" xfId="9456"/>
    <cellStyle name="Normal 8 2 14 2" xfId="32231"/>
    <cellStyle name="Normal 8 2 15" xfId="10112"/>
    <cellStyle name="Normal 8 2 15 2" xfId="32887"/>
    <cellStyle name="Normal 8 2 16" xfId="10768"/>
    <cellStyle name="Normal 8 2 16 2" xfId="33543"/>
    <cellStyle name="Normal 8 2 17" xfId="11424"/>
    <cellStyle name="Normal 8 2 17 2" xfId="34199"/>
    <cellStyle name="Normal 8 2 18" xfId="12080"/>
    <cellStyle name="Normal 8 2 18 2" xfId="34855"/>
    <cellStyle name="Normal 8 2 19" xfId="12736"/>
    <cellStyle name="Normal 8 2 19 2" xfId="35511"/>
    <cellStyle name="Normal 8 2 2" xfId="928"/>
    <cellStyle name="Normal 8 2 2 10" xfId="8472"/>
    <cellStyle name="Normal 8 2 2 10 2" xfId="31247"/>
    <cellStyle name="Normal 8 2 2 11" xfId="9128"/>
    <cellStyle name="Normal 8 2 2 11 2" xfId="31903"/>
    <cellStyle name="Normal 8 2 2 12" xfId="9784"/>
    <cellStyle name="Normal 8 2 2 12 2" xfId="32559"/>
    <cellStyle name="Normal 8 2 2 13" xfId="10440"/>
    <cellStyle name="Normal 8 2 2 13 2" xfId="33215"/>
    <cellStyle name="Normal 8 2 2 14" xfId="11096"/>
    <cellStyle name="Normal 8 2 2 14 2" xfId="33871"/>
    <cellStyle name="Normal 8 2 2 15" xfId="11752"/>
    <cellStyle name="Normal 8 2 2 15 2" xfId="34527"/>
    <cellStyle name="Normal 8 2 2 16" xfId="12408"/>
    <cellStyle name="Normal 8 2 2 16 2" xfId="35183"/>
    <cellStyle name="Normal 8 2 2 17" xfId="13064"/>
    <cellStyle name="Normal 8 2 2 17 2" xfId="35839"/>
    <cellStyle name="Normal 8 2 2 18" xfId="13720"/>
    <cellStyle name="Normal 8 2 2 18 2" xfId="36495"/>
    <cellStyle name="Normal 8 2 2 19" xfId="14376"/>
    <cellStyle name="Normal 8 2 2 19 2" xfId="37151"/>
    <cellStyle name="Normal 8 2 2 2" xfId="1584"/>
    <cellStyle name="Normal 8 2 2 2 2" xfId="3880"/>
    <cellStyle name="Normal 8 2 2 2 2 2" xfId="26655"/>
    <cellStyle name="Normal 8 2 2 2 3" xfId="24359"/>
    <cellStyle name="Normal 8 2 2 20" xfId="15032"/>
    <cellStyle name="Normal 8 2 2 20 2" xfId="37807"/>
    <cellStyle name="Normal 8 2 2 21" xfId="15688"/>
    <cellStyle name="Normal 8 2 2 21 2" xfId="38463"/>
    <cellStyle name="Normal 8 2 2 22" xfId="16344"/>
    <cellStyle name="Normal 8 2 2 22 2" xfId="39119"/>
    <cellStyle name="Normal 8 2 2 23" xfId="17000"/>
    <cellStyle name="Normal 8 2 2 23 2" xfId="39775"/>
    <cellStyle name="Normal 8 2 2 24" xfId="17656"/>
    <cellStyle name="Normal 8 2 2 24 2" xfId="40431"/>
    <cellStyle name="Normal 8 2 2 25" xfId="18312"/>
    <cellStyle name="Normal 8 2 2 25 2" xfId="41087"/>
    <cellStyle name="Normal 8 2 2 26" xfId="18968"/>
    <cellStyle name="Normal 8 2 2 26 2" xfId="41743"/>
    <cellStyle name="Normal 8 2 2 27" xfId="19624"/>
    <cellStyle name="Normal 8 2 2 27 2" xfId="42399"/>
    <cellStyle name="Normal 8 2 2 28" xfId="20280"/>
    <cellStyle name="Normal 8 2 2 28 2" xfId="43055"/>
    <cellStyle name="Normal 8 2 2 29" xfId="20936"/>
    <cellStyle name="Normal 8 2 2 29 2" xfId="43711"/>
    <cellStyle name="Normal 8 2 2 3" xfId="2240"/>
    <cellStyle name="Normal 8 2 2 3 2" xfId="4536"/>
    <cellStyle name="Normal 8 2 2 3 2 2" xfId="27311"/>
    <cellStyle name="Normal 8 2 2 3 3" xfId="25015"/>
    <cellStyle name="Normal 8 2 2 30" xfId="21592"/>
    <cellStyle name="Normal 8 2 2 30 2" xfId="44367"/>
    <cellStyle name="Normal 8 2 2 31" xfId="22248"/>
    <cellStyle name="Normal 8 2 2 31 2" xfId="45023"/>
    <cellStyle name="Normal 8 2 2 32" xfId="22904"/>
    <cellStyle name="Normal 8 2 2 32 2" xfId="45679"/>
    <cellStyle name="Normal 8 2 2 33" xfId="23703"/>
    <cellStyle name="Normal 8 2 2 4" xfId="5192"/>
    <cellStyle name="Normal 8 2 2 4 2" xfId="27967"/>
    <cellStyle name="Normal 8 2 2 5" xfId="5848"/>
    <cellStyle name="Normal 8 2 2 5 2" xfId="28623"/>
    <cellStyle name="Normal 8 2 2 6" xfId="6504"/>
    <cellStyle name="Normal 8 2 2 6 2" xfId="29279"/>
    <cellStyle name="Normal 8 2 2 7" xfId="3224"/>
    <cellStyle name="Normal 8 2 2 7 2" xfId="25999"/>
    <cellStyle name="Normal 8 2 2 8" xfId="7160"/>
    <cellStyle name="Normal 8 2 2 8 2" xfId="29935"/>
    <cellStyle name="Normal 8 2 2 9" xfId="7816"/>
    <cellStyle name="Normal 8 2 2 9 2" xfId="30591"/>
    <cellStyle name="Normal 8 2 20" xfId="13392"/>
    <cellStyle name="Normal 8 2 20 2" xfId="36167"/>
    <cellStyle name="Normal 8 2 21" xfId="14048"/>
    <cellStyle name="Normal 8 2 21 2" xfId="36823"/>
    <cellStyle name="Normal 8 2 22" xfId="14704"/>
    <cellStyle name="Normal 8 2 22 2" xfId="37479"/>
    <cellStyle name="Normal 8 2 23" xfId="15360"/>
    <cellStyle name="Normal 8 2 23 2" xfId="38135"/>
    <cellStyle name="Normal 8 2 24" xfId="16016"/>
    <cellStyle name="Normal 8 2 24 2" xfId="38791"/>
    <cellStyle name="Normal 8 2 25" xfId="16672"/>
    <cellStyle name="Normal 8 2 25 2" xfId="39447"/>
    <cellStyle name="Normal 8 2 26" xfId="17328"/>
    <cellStyle name="Normal 8 2 26 2" xfId="40103"/>
    <cellStyle name="Normal 8 2 27" xfId="17984"/>
    <cellStyle name="Normal 8 2 27 2" xfId="40759"/>
    <cellStyle name="Normal 8 2 28" xfId="18640"/>
    <cellStyle name="Normal 8 2 28 2" xfId="41415"/>
    <cellStyle name="Normal 8 2 29" xfId="19296"/>
    <cellStyle name="Normal 8 2 29 2" xfId="42071"/>
    <cellStyle name="Normal 8 2 3" xfId="1256"/>
    <cellStyle name="Normal 8 2 3 2" xfId="2896"/>
    <cellStyle name="Normal 8 2 3 2 2" xfId="25671"/>
    <cellStyle name="Normal 8 2 3 3" xfId="24031"/>
    <cellStyle name="Normal 8 2 30" xfId="19952"/>
    <cellStyle name="Normal 8 2 30 2" xfId="42727"/>
    <cellStyle name="Normal 8 2 31" xfId="20608"/>
    <cellStyle name="Normal 8 2 31 2" xfId="43383"/>
    <cellStyle name="Normal 8 2 32" xfId="21264"/>
    <cellStyle name="Normal 8 2 32 2" xfId="44039"/>
    <cellStyle name="Normal 8 2 33" xfId="21920"/>
    <cellStyle name="Normal 8 2 33 2" xfId="44695"/>
    <cellStyle name="Normal 8 2 34" xfId="22576"/>
    <cellStyle name="Normal 8 2 34 2" xfId="45351"/>
    <cellStyle name="Normal 8 2 35" xfId="23375"/>
    <cellStyle name="Normal 8 2 4" xfId="1912"/>
    <cellStyle name="Normal 8 2 4 2" xfId="3552"/>
    <cellStyle name="Normal 8 2 4 2 2" xfId="26327"/>
    <cellStyle name="Normal 8 2 4 3" xfId="24687"/>
    <cellStyle name="Normal 8 2 5" xfId="4208"/>
    <cellStyle name="Normal 8 2 5 2" xfId="26983"/>
    <cellStyle name="Normal 8 2 6" xfId="4864"/>
    <cellStyle name="Normal 8 2 6 2" xfId="27639"/>
    <cellStyle name="Normal 8 2 7" xfId="5520"/>
    <cellStyle name="Normal 8 2 7 2" xfId="28295"/>
    <cellStyle name="Normal 8 2 8" xfId="6176"/>
    <cellStyle name="Normal 8 2 8 2" xfId="28951"/>
    <cellStyle name="Normal 8 2 9" xfId="2568"/>
    <cellStyle name="Normal 8 2 9 2" xfId="25343"/>
    <cellStyle name="Normal 8 20" xfId="12551"/>
    <cellStyle name="Normal 8 20 2" xfId="35326"/>
    <cellStyle name="Normal 8 21" xfId="13207"/>
    <cellStyle name="Normal 8 21 2" xfId="35982"/>
    <cellStyle name="Normal 8 22" xfId="13863"/>
    <cellStyle name="Normal 8 22 2" xfId="36638"/>
    <cellStyle name="Normal 8 23" xfId="14519"/>
    <cellStyle name="Normal 8 23 2" xfId="37294"/>
    <cellStyle name="Normal 8 24" xfId="15175"/>
    <cellStyle name="Normal 8 24 2" xfId="37950"/>
    <cellStyle name="Normal 8 25" xfId="15831"/>
    <cellStyle name="Normal 8 25 2" xfId="38606"/>
    <cellStyle name="Normal 8 26" xfId="16487"/>
    <cellStyle name="Normal 8 26 2" xfId="39262"/>
    <cellStyle name="Normal 8 27" xfId="17143"/>
    <cellStyle name="Normal 8 27 2" xfId="39918"/>
    <cellStyle name="Normal 8 28" xfId="17799"/>
    <cellStyle name="Normal 8 28 2" xfId="40574"/>
    <cellStyle name="Normal 8 29" xfId="18455"/>
    <cellStyle name="Normal 8 29 2" xfId="41230"/>
    <cellStyle name="Normal 8 3" xfId="743"/>
    <cellStyle name="Normal 8 3 10" xfId="8287"/>
    <cellStyle name="Normal 8 3 10 2" xfId="31062"/>
    <cellStyle name="Normal 8 3 11" xfId="8943"/>
    <cellStyle name="Normal 8 3 11 2" xfId="31718"/>
    <cellStyle name="Normal 8 3 12" xfId="9599"/>
    <cellStyle name="Normal 8 3 12 2" xfId="32374"/>
    <cellStyle name="Normal 8 3 13" xfId="10255"/>
    <cellStyle name="Normal 8 3 13 2" xfId="33030"/>
    <cellStyle name="Normal 8 3 14" xfId="10911"/>
    <cellStyle name="Normal 8 3 14 2" xfId="33686"/>
    <cellStyle name="Normal 8 3 15" xfId="11567"/>
    <cellStyle name="Normal 8 3 15 2" xfId="34342"/>
    <cellStyle name="Normal 8 3 16" xfId="12223"/>
    <cellStyle name="Normal 8 3 16 2" xfId="34998"/>
    <cellStyle name="Normal 8 3 17" xfId="12879"/>
    <cellStyle name="Normal 8 3 17 2" xfId="35654"/>
    <cellStyle name="Normal 8 3 18" xfId="13535"/>
    <cellStyle name="Normal 8 3 18 2" xfId="36310"/>
    <cellStyle name="Normal 8 3 19" xfId="14191"/>
    <cellStyle name="Normal 8 3 19 2" xfId="36966"/>
    <cellStyle name="Normal 8 3 2" xfId="1399"/>
    <cellStyle name="Normal 8 3 2 2" xfId="3695"/>
    <cellStyle name="Normal 8 3 2 2 2" xfId="26470"/>
    <cellStyle name="Normal 8 3 2 3" xfId="24174"/>
    <cellStyle name="Normal 8 3 20" xfId="14847"/>
    <cellStyle name="Normal 8 3 20 2" xfId="37622"/>
    <cellStyle name="Normal 8 3 21" xfId="15503"/>
    <cellStyle name="Normal 8 3 21 2" xfId="38278"/>
    <cellStyle name="Normal 8 3 22" xfId="16159"/>
    <cellStyle name="Normal 8 3 22 2" xfId="38934"/>
    <cellStyle name="Normal 8 3 23" xfId="16815"/>
    <cellStyle name="Normal 8 3 23 2" xfId="39590"/>
    <cellStyle name="Normal 8 3 24" xfId="17471"/>
    <cellStyle name="Normal 8 3 24 2" xfId="40246"/>
    <cellStyle name="Normal 8 3 25" xfId="18127"/>
    <cellStyle name="Normal 8 3 25 2" xfId="40902"/>
    <cellStyle name="Normal 8 3 26" xfId="18783"/>
    <cellStyle name="Normal 8 3 26 2" xfId="41558"/>
    <cellStyle name="Normal 8 3 27" xfId="19439"/>
    <cellStyle name="Normal 8 3 27 2" xfId="42214"/>
    <cellStyle name="Normal 8 3 28" xfId="20095"/>
    <cellStyle name="Normal 8 3 28 2" xfId="42870"/>
    <cellStyle name="Normal 8 3 29" xfId="20751"/>
    <cellStyle name="Normal 8 3 29 2" xfId="43526"/>
    <cellStyle name="Normal 8 3 3" xfId="2055"/>
    <cellStyle name="Normal 8 3 3 2" xfId="4351"/>
    <cellStyle name="Normal 8 3 3 2 2" xfId="27126"/>
    <cellStyle name="Normal 8 3 3 3" xfId="24830"/>
    <cellStyle name="Normal 8 3 30" xfId="21407"/>
    <cellStyle name="Normal 8 3 30 2" xfId="44182"/>
    <cellStyle name="Normal 8 3 31" xfId="22063"/>
    <cellStyle name="Normal 8 3 31 2" xfId="44838"/>
    <cellStyle name="Normal 8 3 32" xfId="22719"/>
    <cellStyle name="Normal 8 3 32 2" xfId="45494"/>
    <cellStyle name="Normal 8 3 33" xfId="23518"/>
    <cellStyle name="Normal 8 3 4" xfId="5007"/>
    <cellStyle name="Normal 8 3 4 2" xfId="27782"/>
    <cellStyle name="Normal 8 3 5" xfId="5663"/>
    <cellStyle name="Normal 8 3 5 2" xfId="28438"/>
    <cellStyle name="Normal 8 3 6" xfId="6319"/>
    <cellStyle name="Normal 8 3 6 2" xfId="29094"/>
    <cellStyle name="Normal 8 3 7" xfId="3039"/>
    <cellStyle name="Normal 8 3 7 2" xfId="25814"/>
    <cellStyle name="Normal 8 3 8" xfId="6975"/>
    <cellStyle name="Normal 8 3 8 2" xfId="29750"/>
    <cellStyle name="Normal 8 3 9" xfId="7631"/>
    <cellStyle name="Normal 8 3 9 2" xfId="30406"/>
    <cellStyle name="Normal 8 30" xfId="19111"/>
    <cellStyle name="Normal 8 30 2" xfId="41886"/>
    <cellStyle name="Normal 8 31" xfId="19767"/>
    <cellStyle name="Normal 8 31 2" xfId="42542"/>
    <cellStyle name="Normal 8 32" xfId="20423"/>
    <cellStyle name="Normal 8 32 2" xfId="43198"/>
    <cellStyle name="Normal 8 33" xfId="21079"/>
    <cellStyle name="Normal 8 33 2" xfId="43854"/>
    <cellStyle name="Normal 8 34" xfId="21735"/>
    <cellStyle name="Normal 8 34 2" xfId="44510"/>
    <cellStyle name="Normal 8 35" xfId="22391"/>
    <cellStyle name="Normal 8 35 2" xfId="45166"/>
    <cellStyle name="Normal 8 36" xfId="23047"/>
    <cellStyle name="Normal 8 4" xfId="416"/>
    <cellStyle name="Normal 8 4 2" xfId="2711"/>
    <cellStyle name="Normal 8 4 2 2" xfId="25486"/>
    <cellStyle name="Normal 8 4 3" xfId="23190"/>
    <cellStyle name="Normal 8 5" xfId="1071"/>
    <cellStyle name="Normal 8 5 2" xfId="3367"/>
    <cellStyle name="Normal 8 5 2 2" xfId="26142"/>
    <cellStyle name="Normal 8 5 3" xfId="23846"/>
    <cellStyle name="Normal 8 6" xfId="1727"/>
    <cellStyle name="Normal 8 6 2" xfId="4023"/>
    <cellStyle name="Normal 8 6 2 2" xfId="26798"/>
    <cellStyle name="Normal 8 6 3" xfId="24502"/>
    <cellStyle name="Normal 8 7" xfId="4679"/>
    <cellStyle name="Normal 8 7 2" xfId="27454"/>
    <cellStyle name="Normal 8 8" xfId="5335"/>
    <cellStyle name="Normal 8 8 2" xfId="28110"/>
    <cellStyle name="Normal 8 9" xfId="5991"/>
    <cellStyle name="Normal 8 9 2" xfId="28766"/>
    <cellStyle name="Normal 9" xfId="3"/>
    <cellStyle name="Normal 9 10" xfId="6648"/>
    <cellStyle name="Normal 9 10 2" xfId="29423"/>
    <cellStyle name="Normal 9 11" xfId="7304"/>
    <cellStyle name="Normal 9 11 2" xfId="30079"/>
    <cellStyle name="Normal 9 12" xfId="7960"/>
    <cellStyle name="Normal 9 12 2" xfId="30735"/>
    <cellStyle name="Normal 9 13" xfId="8616"/>
    <cellStyle name="Normal 9 13 2" xfId="31391"/>
    <cellStyle name="Normal 9 14" xfId="9272"/>
    <cellStyle name="Normal 9 14 2" xfId="32047"/>
    <cellStyle name="Normal 9 15" xfId="9928"/>
    <cellStyle name="Normal 9 15 2" xfId="32703"/>
    <cellStyle name="Normal 9 16" xfId="10584"/>
    <cellStyle name="Normal 9 16 2" xfId="33359"/>
    <cellStyle name="Normal 9 17" xfId="11240"/>
    <cellStyle name="Normal 9 17 2" xfId="34015"/>
    <cellStyle name="Normal 9 18" xfId="11896"/>
    <cellStyle name="Normal 9 18 2" xfId="34671"/>
    <cellStyle name="Normal 9 19" xfId="12552"/>
    <cellStyle name="Normal 9 19 2" xfId="35327"/>
    <cellStyle name="Normal 9 2" xfId="744"/>
    <cellStyle name="Normal 9 2 10" xfId="8288"/>
    <cellStyle name="Normal 9 2 10 2" xfId="31063"/>
    <cellStyle name="Normal 9 2 11" xfId="8944"/>
    <cellStyle name="Normal 9 2 11 2" xfId="31719"/>
    <cellStyle name="Normal 9 2 12" xfId="9600"/>
    <cellStyle name="Normal 9 2 12 2" xfId="32375"/>
    <cellStyle name="Normal 9 2 13" xfId="10256"/>
    <cellStyle name="Normal 9 2 13 2" xfId="33031"/>
    <cellStyle name="Normal 9 2 14" xfId="10912"/>
    <cellStyle name="Normal 9 2 14 2" xfId="33687"/>
    <cellStyle name="Normal 9 2 15" xfId="11568"/>
    <cellStyle name="Normal 9 2 15 2" xfId="34343"/>
    <cellStyle name="Normal 9 2 16" xfId="12224"/>
    <cellStyle name="Normal 9 2 16 2" xfId="34999"/>
    <cellStyle name="Normal 9 2 17" xfId="12880"/>
    <cellStyle name="Normal 9 2 17 2" xfId="35655"/>
    <cellStyle name="Normal 9 2 18" xfId="13536"/>
    <cellStyle name="Normal 9 2 18 2" xfId="36311"/>
    <cellStyle name="Normal 9 2 19" xfId="14192"/>
    <cellStyle name="Normal 9 2 19 2" xfId="36967"/>
    <cellStyle name="Normal 9 2 2" xfId="1400"/>
    <cellStyle name="Normal 9 2 2 2" xfId="3696"/>
    <cellStyle name="Normal 9 2 2 2 2" xfId="26471"/>
    <cellStyle name="Normal 9 2 2 3" xfId="24175"/>
    <cellStyle name="Normal 9 2 20" xfId="14848"/>
    <cellStyle name="Normal 9 2 20 2" xfId="37623"/>
    <cellStyle name="Normal 9 2 21" xfId="15504"/>
    <cellStyle name="Normal 9 2 21 2" xfId="38279"/>
    <cellStyle name="Normal 9 2 22" xfId="16160"/>
    <cellStyle name="Normal 9 2 22 2" xfId="38935"/>
    <cellStyle name="Normal 9 2 23" xfId="16816"/>
    <cellStyle name="Normal 9 2 23 2" xfId="39591"/>
    <cellStyle name="Normal 9 2 24" xfId="17472"/>
    <cellStyle name="Normal 9 2 24 2" xfId="40247"/>
    <cellStyle name="Normal 9 2 25" xfId="18128"/>
    <cellStyle name="Normal 9 2 25 2" xfId="40903"/>
    <cellStyle name="Normal 9 2 26" xfId="18784"/>
    <cellStyle name="Normal 9 2 26 2" xfId="41559"/>
    <cellStyle name="Normal 9 2 27" xfId="19440"/>
    <cellStyle name="Normal 9 2 27 2" xfId="42215"/>
    <cellStyle name="Normal 9 2 28" xfId="20096"/>
    <cellStyle name="Normal 9 2 28 2" xfId="42871"/>
    <cellStyle name="Normal 9 2 29" xfId="20752"/>
    <cellStyle name="Normal 9 2 29 2" xfId="43527"/>
    <cellStyle name="Normal 9 2 3" xfId="2056"/>
    <cellStyle name="Normal 9 2 3 2" xfId="4352"/>
    <cellStyle name="Normal 9 2 3 2 2" xfId="27127"/>
    <cellStyle name="Normal 9 2 3 3" xfId="24831"/>
    <cellStyle name="Normal 9 2 30" xfId="21408"/>
    <cellStyle name="Normal 9 2 30 2" xfId="44183"/>
    <cellStyle name="Normal 9 2 31" xfId="22064"/>
    <cellStyle name="Normal 9 2 31 2" xfId="44839"/>
    <cellStyle name="Normal 9 2 32" xfId="22720"/>
    <cellStyle name="Normal 9 2 32 2" xfId="45495"/>
    <cellStyle name="Normal 9 2 33" xfId="23519"/>
    <cellStyle name="Normal 9 2 4" xfId="5008"/>
    <cellStyle name="Normal 9 2 4 2" xfId="27783"/>
    <cellStyle name="Normal 9 2 5" xfId="5664"/>
    <cellStyle name="Normal 9 2 5 2" xfId="28439"/>
    <cellStyle name="Normal 9 2 6" xfId="6320"/>
    <cellStyle name="Normal 9 2 6 2" xfId="29095"/>
    <cellStyle name="Normal 9 2 7" xfId="3040"/>
    <cellStyle name="Normal 9 2 7 2" xfId="25815"/>
    <cellStyle name="Normal 9 2 8" xfId="6976"/>
    <cellStyle name="Normal 9 2 8 2" xfId="29751"/>
    <cellStyle name="Normal 9 2 9" xfId="7632"/>
    <cellStyle name="Normal 9 2 9 2" xfId="30407"/>
    <cellStyle name="Normal 9 20" xfId="13208"/>
    <cellStyle name="Normal 9 20 2" xfId="35983"/>
    <cellStyle name="Normal 9 21" xfId="13864"/>
    <cellStyle name="Normal 9 21 2" xfId="36639"/>
    <cellStyle name="Normal 9 22" xfId="14520"/>
    <cellStyle name="Normal 9 22 2" xfId="37295"/>
    <cellStyle name="Normal 9 23" xfId="15176"/>
    <cellStyle name="Normal 9 23 2" xfId="37951"/>
    <cellStyle name="Normal 9 24" xfId="15832"/>
    <cellStyle name="Normal 9 24 2" xfId="38607"/>
    <cellStyle name="Normal 9 25" xfId="16488"/>
    <cellStyle name="Normal 9 25 2" xfId="39263"/>
    <cellStyle name="Normal 9 26" xfId="17144"/>
    <cellStyle name="Normal 9 26 2" xfId="39919"/>
    <cellStyle name="Normal 9 27" xfId="17800"/>
    <cellStyle name="Normal 9 27 2" xfId="40575"/>
    <cellStyle name="Normal 9 28" xfId="18456"/>
    <cellStyle name="Normal 9 28 2" xfId="41231"/>
    <cellStyle name="Normal 9 29" xfId="19112"/>
    <cellStyle name="Normal 9 29 2" xfId="41887"/>
    <cellStyle name="Normal 9 3" xfId="1072"/>
    <cellStyle name="Normal 9 3 2" xfId="2712"/>
    <cellStyle name="Normal 9 3 2 2" xfId="25487"/>
    <cellStyle name="Normal 9 3 3" xfId="23847"/>
    <cellStyle name="Normal 9 30" xfId="19768"/>
    <cellStyle name="Normal 9 30 2" xfId="42543"/>
    <cellStyle name="Normal 9 31" xfId="20424"/>
    <cellStyle name="Normal 9 31 2" xfId="43199"/>
    <cellStyle name="Normal 9 32" xfId="21080"/>
    <cellStyle name="Normal 9 32 2" xfId="43855"/>
    <cellStyle name="Normal 9 33" xfId="21736"/>
    <cellStyle name="Normal 9 33 2" xfId="44511"/>
    <cellStyle name="Normal 9 34" xfId="22392"/>
    <cellStyle name="Normal 9 34 2" xfId="45167"/>
    <cellStyle name="Normal 9 35" xfId="23191"/>
    <cellStyle name="Normal 9 36" xfId="417"/>
    <cellStyle name="Normal 9 4" xfId="1728"/>
    <cellStyle name="Normal 9 4 2" xfId="3368"/>
    <cellStyle name="Normal 9 4 2 2" xfId="26143"/>
    <cellStyle name="Normal 9 4 3" xfId="24503"/>
    <cellStyle name="Normal 9 5" xfId="4024"/>
    <cellStyle name="Normal 9 5 2" xfId="26799"/>
    <cellStyle name="Normal 9 6" xfId="4680"/>
    <cellStyle name="Normal 9 6 2" xfId="27455"/>
    <cellStyle name="Normal 9 7" xfId="5336"/>
    <cellStyle name="Normal 9 7 2" xfId="28111"/>
    <cellStyle name="Normal 9 8" xfId="5992"/>
    <cellStyle name="Normal 9 8 2" xfId="28767"/>
    <cellStyle name="Normal 9 9" xfId="2384"/>
    <cellStyle name="Normal 9 9 2" xfId="25159"/>
    <cellStyle name="Note 2" xfId="52"/>
    <cellStyle name="Note 2 10" xfId="5206"/>
    <cellStyle name="Note 2 10 2" xfId="27981"/>
    <cellStyle name="Note 2 11" xfId="5862"/>
    <cellStyle name="Note 2 11 2" xfId="28637"/>
    <cellStyle name="Note 2 12" xfId="2254"/>
    <cellStyle name="Note 2 12 2" xfId="25029"/>
    <cellStyle name="Note 2 13" xfId="6518"/>
    <cellStyle name="Note 2 13 2" xfId="29293"/>
    <cellStyle name="Note 2 14" xfId="7174"/>
    <cellStyle name="Note 2 14 2" xfId="29949"/>
    <cellStyle name="Note 2 15" xfId="7830"/>
    <cellStyle name="Note 2 15 2" xfId="30605"/>
    <cellStyle name="Note 2 16" xfId="8486"/>
    <cellStyle name="Note 2 16 2" xfId="31261"/>
    <cellStyle name="Note 2 17" xfId="9142"/>
    <cellStyle name="Note 2 17 2" xfId="31917"/>
    <cellStyle name="Note 2 18" xfId="9798"/>
    <cellStyle name="Note 2 18 2" xfId="32573"/>
    <cellStyle name="Note 2 19" xfId="10454"/>
    <cellStyle name="Note 2 19 2" xfId="33229"/>
    <cellStyle name="Note 2 2" xfId="66"/>
    <cellStyle name="Note 2 2 10" xfId="2340"/>
    <cellStyle name="Note 2 2 10 2" xfId="25115"/>
    <cellStyle name="Note 2 2 11" xfId="6604"/>
    <cellStyle name="Note 2 2 11 2" xfId="29379"/>
    <cellStyle name="Note 2 2 12" xfId="7260"/>
    <cellStyle name="Note 2 2 12 2" xfId="30035"/>
    <cellStyle name="Note 2 2 13" xfId="7916"/>
    <cellStyle name="Note 2 2 13 2" xfId="30691"/>
    <cellStyle name="Note 2 2 14" xfId="8572"/>
    <cellStyle name="Note 2 2 14 2" xfId="31347"/>
    <cellStyle name="Note 2 2 15" xfId="9228"/>
    <cellStyle name="Note 2 2 15 2" xfId="32003"/>
    <cellStyle name="Note 2 2 16" xfId="9884"/>
    <cellStyle name="Note 2 2 16 2" xfId="32659"/>
    <cellStyle name="Note 2 2 17" xfId="10540"/>
    <cellStyle name="Note 2 2 17 2" xfId="33315"/>
    <cellStyle name="Note 2 2 18" xfId="11196"/>
    <cellStyle name="Note 2 2 18 2" xfId="33971"/>
    <cellStyle name="Note 2 2 19" xfId="11852"/>
    <cellStyle name="Note 2 2 19 2" xfId="34627"/>
    <cellStyle name="Note 2 2 2" xfId="556"/>
    <cellStyle name="Note 2 2 2 10" xfId="6789"/>
    <cellStyle name="Note 2 2 2 10 2" xfId="29564"/>
    <cellStyle name="Note 2 2 2 11" xfId="7445"/>
    <cellStyle name="Note 2 2 2 11 2" xfId="30220"/>
    <cellStyle name="Note 2 2 2 12" xfId="8101"/>
    <cellStyle name="Note 2 2 2 12 2" xfId="30876"/>
    <cellStyle name="Note 2 2 2 13" xfId="8757"/>
    <cellStyle name="Note 2 2 2 13 2" xfId="31532"/>
    <cellStyle name="Note 2 2 2 14" xfId="9413"/>
    <cellStyle name="Note 2 2 2 14 2" xfId="32188"/>
    <cellStyle name="Note 2 2 2 15" xfId="10069"/>
    <cellStyle name="Note 2 2 2 15 2" xfId="32844"/>
    <cellStyle name="Note 2 2 2 16" xfId="10725"/>
    <cellStyle name="Note 2 2 2 16 2" xfId="33500"/>
    <cellStyle name="Note 2 2 2 17" xfId="11381"/>
    <cellStyle name="Note 2 2 2 17 2" xfId="34156"/>
    <cellStyle name="Note 2 2 2 18" xfId="12037"/>
    <cellStyle name="Note 2 2 2 18 2" xfId="34812"/>
    <cellStyle name="Note 2 2 2 19" xfId="12693"/>
    <cellStyle name="Note 2 2 2 19 2" xfId="35468"/>
    <cellStyle name="Note 2 2 2 2" xfId="885"/>
    <cellStyle name="Note 2 2 2 2 10" xfId="8429"/>
    <cellStyle name="Note 2 2 2 2 10 2" xfId="31204"/>
    <cellStyle name="Note 2 2 2 2 11" xfId="9085"/>
    <cellStyle name="Note 2 2 2 2 11 2" xfId="31860"/>
    <cellStyle name="Note 2 2 2 2 12" xfId="9741"/>
    <cellStyle name="Note 2 2 2 2 12 2" xfId="32516"/>
    <cellStyle name="Note 2 2 2 2 13" xfId="10397"/>
    <cellStyle name="Note 2 2 2 2 13 2" xfId="33172"/>
    <cellStyle name="Note 2 2 2 2 14" xfId="11053"/>
    <cellStyle name="Note 2 2 2 2 14 2" xfId="33828"/>
    <cellStyle name="Note 2 2 2 2 15" xfId="11709"/>
    <cellStyle name="Note 2 2 2 2 15 2" xfId="34484"/>
    <cellStyle name="Note 2 2 2 2 16" xfId="12365"/>
    <cellStyle name="Note 2 2 2 2 16 2" xfId="35140"/>
    <cellStyle name="Note 2 2 2 2 17" xfId="13021"/>
    <cellStyle name="Note 2 2 2 2 17 2" xfId="35796"/>
    <cellStyle name="Note 2 2 2 2 18" xfId="13677"/>
    <cellStyle name="Note 2 2 2 2 18 2" xfId="36452"/>
    <cellStyle name="Note 2 2 2 2 19" xfId="14333"/>
    <cellStyle name="Note 2 2 2 2 19 2" xfId="37108"/>
    <cellStyle name="Note 2 2 2 2 2" xfId="1541"/>
    <cellStyle name="Note 2 2 2 2 2 2" xfId="3837"/>
    <cellStyle name="Note 2 2 2 2 2 2 2" xfId="26612"/>
    <cellStyle name="Note 2 2 2 2 2 3" xfId="24316"/>
    <cellStyle name="Note 2 2 2 2 20" xfId="14989"/>
    <cellStyle name="Note 2 2 2 2 20 2" xfId="37764"/>
    <cellStyle name="Note 2 2 2 2 21" xfId="15645"/>
    <cellStyle name="Note 2 2 2 2 21 2" xfId="38420"/>
    <cellStyle name="Note 2 2 2 2 22" xfId="16301"/>
    <cellStyle name="Note 2 2 2 2 22 2" xfId="39076"/>
    <cellStyle name="Note 2 2 2 2 23" xfId="16957"/>
    <cellStyle name="Note 2 2 2 2 23 2" xfId="39732"/>
    <cellStyle name="Note 2 2 2 2 24" xfId="17613"/>
    <cellStyle name="Note 2 2 2 2 24 2" xfId="40388"/>
    <cellStyle name="Note 2 2 2 2 25" xfId="18269"/>
    <cellStyle name="Note 2 2 2 2 25 2" xfId="41044"/>
    <cellStyle name="Note 2 2 2 2 26" xfId="18925"/>
    <cellStyle name="Note 2 2 2 2 26 2" xfId="41700"/>
    <cellStyle name="Note 2 2 2 2 27" xfId="19581"/>
    <cellStyle name="Note 2 2 2 2 27 2" xfId="42356"/>
    <cellStyle name="Note 2 2 2 2 28" xfId="20237"/>
    <cellStyle name="Note 2 2 2 2 28 2" xfId="43012"/>
    <cellStyle name="Note 2 2 2 2 29" xfId="20893"/>
    <cellStyle name="Note 2 2 2 2 29 2" xfId="43668"/>
    <cellStyle name="Note 2 2 2 2 3" xfId="2197"/>
    <cellStyle name="Note 2 2 2 2 3 2" xfId="4493"/>
    <cellStyle name="Note 2 2 2 2 3 2 2" xfId="27268"/>
    <cellStyle name="Note 2 2 2 2 3 3" xfId="24972"/>
    <cellStyle name="Note 2 2 2 2 30" xfId="21549"/>
    <cellStyle name="Note 2 2 2 2 30 2" xfId="44324"/>
    <cellStyle name="Note 2 2 2 2 31" xfId="22205"/>
    <cellStyle name="Note 2 2 2 2 31 2" xfId="44980"/>
    <cellStyle name="Note 2 2 2 2 32" xfId="22861"/>
    <cellStyle name="Note 2 2 2 2 32 2" xfId="45636"/>
    <cellStyle name="Note 2 2 2 2 33" xfId="23660"/>
    <cellStyle name="Note 2 2 2 2 4" xfId="5149"/>
    <cellStyle name="Note 2 2 2 2 4 2" xfId="27924"/>
    <cellStyle name="Note 2 2 2 2 5" xfId="5805"/>
    <cellStyle name="Note 2 2 2 2 5 2" xfId="28580"/>
    <cellStyle name="Note 2 2 2 2 6" xfId="6461"/>
    <cellStyle name="Note 2 2 2 2 6 2" xfId="29236"/>
    <cellStyle name="Note 2 2 2 2 7" xfId="3181"/>
    <cellStyle name="Note 2 2 2 2 7 2" xfId="25956"/>
    <cellStyle name="Note 2 2 2 2 8" xfId="7117"/>
    <cellStyle name="Note 2 2 2 2 8 2" xfId="29892"/>
    <cellStyle name="Note 2 2 2 2 9" xfId="7773"/>
    <cellStyle name="Note 2 2 2 2 9 2" xfId="30548"/>
    <cellStyle name="Note 2 2 2 20" xfId="13349"/>
    <cellStyle name="Note 2 2 2 20 2" xfId="36124"/>
    <cellStyle name="Note 2 2 2 21" xfId="14005"/>
    <cellStyle name="Note 2 2 2 21 2" xfId="36780"/>
    <cellStyle name="Note 2 2 2 22" xfId="14661"/>
    <cellStyle name="Note 2 2 2 22 2" xfId="37436"/>
    <cellStyle name="Note 2 2 2 23" xfId="15317"/>
    <cellStyle name="Note 2 2 2 23 2" xfId="38092"/>
    <cellStyle name="Note 2 2 2 24" xfId="15973"/>
    <cellStyle name="Note 2 2 2 24 2" xfId="38748"/>
    <cellStyle name="Note 2 2 2 25" xfId="16629"/>
    <cellStyle name="Note 2 2 2 25 2" xfId="39404"/>
    <cellStyle name="Note 2 2 2 26" xfId="17285"/>
    <cellStyle name="Note 2 2 2 26 2" xfId="40060"/>
    <cellStyle name="Note 2 2 2 27" xfId="17941"/>
    <cellStyle name="Note 2 2 2 27 2" xfId="40716"/>
    <cellStyle name="Note 2 2 2 28" xfId="18597"/>
    <cellStyle name="Note 2 2 2 28 2" xfId="41372"/>
    <cellStyle name="Note 2 2 2 29" xfId="19253"/>
    <cellStyle name="Note 2 2 2 29 2" xfId="42028"/>
    <cellStyle name="Note 2 2 2 3" xfId="1213"/>
    <cellStyle name="Note 2 2 2 3 2" xfId="2853"/>
    <cellStyle name="Note 2 2 2 3 2 2" xfId="25628"/>
    <cellStyle name="Note 2 2 2 3 3" xfId="23988"/>
    <cellStyle name="Note 2 2 2 30" xfId="19909"/>
    <cellStyle name="Note 2 2 2 30 2" xfId="42684"/>
    <cellStyle name="Note 2 2 2 31" xfId="20565"/>
    <cellStyle name="Note 2 2 2 31 2" xfId="43340"/>
    <cellStyle name="Note 2 2 2 32" xfId="21221"/>
    <cellStyle name="Note 2 2 2 32 2" xfId="43996"/>
    <cellStyle name="Note 2 2 2 33" xfId="21877"/>
    <cellStyle name="Note 2 2 2 33 2" xfId="44652"/>
    <cellStyle name="Note 2 2 2 34" xfId="22533"/>
    <cellStyle name="Note 2 2 2 34 2" xfId="45308"/>
    <cellStyle name="Note 2 2 2 35" xfId="23332"/>
    <cellStyle name="Note 2 2 2 4" xfId="1869"/>
    <cellStyle name="Note 2 2 2 4 2" xfId="3509"/>
    <cellStyle name="Note 2 2 2 4 2 2" xfId="26284"/>
    <cellStyle name="Note 2 2 2 4 3" xfId="24644"/>
    <cellStyle name="Note 2 2 2 5" xfId="4165"/>
    <cellStyle name="Note 2 2 2 5 2" xfId="26940"/>
    <cellStyle name="Note 2 2 2 6" xfId="4821"/>
    <cellStyle name="Note 2 2 2 6 2" xfId="27596"/>
    <cellStyle name="Note 2 2 2 7" xfId="5477"/>
    <cellStyle name="Note 2 2 2 7 2" xfId="28252"/>
    <cellStyle name="Note 2 2 2 8" xfId="6133"/>
    <cellStyle name="Note 2 2 2 8 2" xfId="28908"/>
    <cellStyle name="Note 2 2 2 9" xfId="2525"/>
    <cellStyle name="Note 2 2 2 9 2" xfId="25300"/>
    <cellStyle name="Note 2 2 20" xfId="12508"/>
    <cellStyle name="Note 2 2 20 2" xfId="35283"/>
    <cellStyle name="Note 2 2 21" xfId="13164"/>
    <cellStyle name="Note 2 2 21 2" xfId="35939"/>
    <cellStyle name="Note 2 2 22" xfId="13820"/>
    <cellStyle name="Note 2 2 22 2" xfId="36595"/>
    <cellStyle name="Note 2 2 23" xfId="14476"/>
    <cellStyle name="Note 2 2 23 2" xfId="37251"/>
    <cellStyle name="Note 2 2 24" xfId="15132"/>
    <cellStyle name="Note 2 2 24 2" xfId="37907"/>
    <cellStyle name="Note 2 2 25" xfId="15788"/>
    <cellStyle name="Note 2 2 25 2" xfId="38563"/>
    <cellStyle name="Note 2 2 26" xfId="16444"/>
    <cellStyle name="Note 2 2 26 2" xfId="39219"/>
    <cellStyle name="Note 2 2 27" xfId="17100"/>
    <cellStyle name="Note 2 2 27 2" xfId="39875"/>
    <cellStyle name="Note 2 2 28" xfId="17756"/>
    <cellStyle name="Note 2 2 28 2" xfId="40531"/>
    <cellStyle name="Note 2 2 29" xfId="18412"/>
    <cellStyle name="Note 2 2 29 2" xfId="41187"/>
    <cellStyle name="Note 2 2 3" xfId="700"/>
    <cellStyle name="Note 2 2 3 10" xfId="8244"/>
    <cellStyle name="Note 2 2 3 10 2" xfId="31019"/>
    <cellStyle name="Note 2 2 3 11" xfId="8900"/>
    <cellStyle name="Note 2 2 3 11 2" xfId="31675"/>
    <cellStyle name="Note 2 2 3 12" xfId="9556"/>
    <cellStyle name="Note 2 2 3 12 2" xfId="32331"/>
    <cellStyle name="Note 2 2 3 13" xfId="10212"/>
    <cellStyle name="Note 2 2 3 13 2" xfId="32987"/>
    <cellStyle name="Note 2 2 3 14" xfId="10868"/>
    <cellStyle name="Note 2 2 3 14 2" xfId="33643"/>
    <cellStyle name="Note 2 2 3 15" xfId="11524"/>
    <cellStyle name="Note 2 2 3 15 2" xfId="34299"/>
    <cellStyle name="Note 2 2 3 16" xfId="12180"/>
    <cellStyle name="Note 2 2 3 16 2" xfId="34955"/>
    <cellStyle name="Note 2 2 3 17" xfId="12836"/>
    <cellStyle name="Note 2 2 3 17 2" xfId="35611"/>
    <cellStyle name="Note 2 2 3 18" xfId="13492"/>
    <cellStyle name="Note 2 2 3 18 2" xfId="36267"/>
    <cellStyle name="Note 2 2 3 19" xfId="14148"/>
    <cellStyle name="Note 2 2 3 19 2" xfId="36923"/>
    <cellStyle name="Note 2 2 3 2" xfId="1356"/>
    <cellStyle name="Note 2 2 3 2 2" xfId="3652"/>
    <cellStyle name="Note 2 2 3 2 2 2" xfId="26427"/>
    <cellStyle name="Note 2 2 3 2 3" xfId="24131"/>
    <cellStyle name="Note 2 2 3 20" xfId="14804"/>
    <cellStyle name="Note 2 2 3 20 2" xfId="37579"/>
    <cellStyle name="Note 2 2 3 21" xfId="15460"/>
    <cellStyle name="Note 2 2 3 21 2" xfId="38235"/>
    <cellStyle name="Note 2 2 3 22" xfId="16116"/>
    <cellStyle name="Note 2 2 3 22 2" xfId="38891"/>
    <cellStyle name="Note 2 2 3 23" xfId="16772"/>
    <cellStyle name="Note 2 2 3 23 2" xfId="39547"/>
    <cellStyle name="Note 2 2 3 24" xfId="17428"/>
    <cellStyle name="Note 2 2 3 24 2" xfId="40203"/>
    <cellStyle name="Note 2 2 3 25" xfId="18084"/>
    <cellStyle name="Note 2 2 3 25 2" xfId="40859"/>
    <cellStyle name="Note 2 2 3 26" xfId="18740"/>
    <cellStyle name="Note 2 2 3 26 2" xfId="41515"/>
    <cellStyle name="Note 2 2 3 27" xfId="19396"/>
    <cellStyle name="Note 2 2 3 27 2" xfId="42171"/>
    <cellStyle name="Note 2 2 3 28" xfId="20052"/>
    <cellStyle name="Note 2 2 3 28 2" xfId="42827"/>
    <cellStyle name="Note 2 2 3 29" xfId="20708"/>
    <cellStyle name="Note 2 2 3 29 2" xfId="43483"/>
    <cellStyle name="Note 2 2 3 3" xfId="2012"/>
    <cellStyle name="Note 2 2 3 3 2" xfId="4308"/>
    <cellStyle name="Note 2 2 3 3 2 2" xfId="27083"/>
    <cellStyle name="Note 2 2 3 3 3" xfId="24787"/>
    <cellStyle name="Note 2 2 3 30" xfId="21364"/>
    <cellStyle name="Note 2 2 3 30 2" xfId="44139"/>
    <cellStyle name="Note 2 2 3 31" xfId="22020"/>
    <cellStyle name="Note 2 2 3 31 2" xfId="44795"/>
    <cellStyle name="Note 2 2 3 32" xfId="22676"/>
    <cellStyle name="Note 2 2 3 32 2" xfId="45451"/>
    <cellStyle name="Note 2 2 3 33" xfId="23475"/>
    <cellStyle name="Note 2 2 3 4" xfId="4964"/>
    <cellStyle name="Note 2 2 3 4 2" xfId="27739"/>
    <cellStyle name="Note 2 2 3 5" xfId="5620"/>
    <cellStyle name="Note 2 2 3 5 2" xfId="28395"/>
    <cellStyle name="Note 2 2 3 6" xfId="6276"/>
    <cellStyle name="Note 2 2 3 6 2" xfId="29051"/>
    <cellStyle name="Note 2 2 3 7" xfId="2996"/>
    <cellStyle name="Note 2 2 3 7 2" xfId="25771"/>
    <cellStyle name="Note 2 2 3 8" xfId="6932"/>
    <cellStyle name="Note 2 2 3 8 2" xfId="29707"/>
    <cellStyle name="Note 2 2 3 9" xfId="7588"/>
    <cellStyle name="Note 2 2 3 9 2" xfId="30363"/>
    <cellStyle name="Note 2 2 30" xfId="19068"/>
    <cellStyle name="Note 2 2 30 2" xfId="41843"/>
    <cellStyle name="Note 2 2 31" xfId="19724"/>
    <cellStyle name="Note 2 2 31 2" xfId="42499"/>
    <cellStyle name="Note 2 2 32" xfId="20380"/>
    <cellStyle name="Note 2 2 32 2" xfId="43155"/>
    <cellStyle name="Note 2 2 33" xfId="21036"/>
    <cellStyle name="Note 2 2 33 2" xfId="43811"/>
    <cellStyle name="Note 2 2 34" xfId="21692"/>
    <cellStyle name="Note 2 2 34 2" xfId="44467"/>
    <cellStyle name="Note 2 2 35" xfId="22348"/>
    <cellStyle name="Note 2 2 35 2" xfId="45123"/>
    <cellStyle name="Note 2 2 36" xfId="273"/>
    <cellStyle name="Note 2 2 37" xfId="23004"/>
    <cellStyle name="Note 2 2 4" xfId="373"/>
    <cellStyle name="Note 2 2 4 2" xfId="2668"/>
    <cellStyle name="Note 2 2 4 2 2" xfId="25443"/>
    <cellStyle name="Note 2 2 4 3" xfId="23147"/>
    <cellStyle name="Note 2 2 5" xfId="1028"/>
    <cellStyle name="Note 2 2 5 2" xfId="3324"/>
    <cellStyle name="Note 2 2 5 2 2" xfId="26099"/>
    <cellStyle name="Note 2 2 5 3" xfId="23803"/>
    <cellStyle name="Note 2 2 6" xfId="1684"/>
    <cellStyle name="Note 2 2 6 2" xfId="3980"/>
    <cellStyle name="Note 2 2 6 2 2" xfId="26755"/>
    <cellStyle name="Note 2 2 6 3" xfId="24459"/>
    <cellStyle name="Note 2 2 7" xfId="4636"/>
    <cellStyle name="Note 2 2 7 2" xfId="27411"/>
    <cellStyle name="Note 2 2 8" xfId="5292"/>
    <cellStyle name="Note 2 2 8 2" xfId="28067"/>
    <cellStyle name="Note 2 2 9" xfId="5948"/>
    <cellStyle name="Note 2 2 9 2" xfId="28723"/>
    <cellStyle name="Note 2 20" xfId="11110"/>
    <cellStyle name="Note 2 20 2" xfId="33885"/>
    <cellStyle name="Note 2 21" xfId="11766"/>
    <cellStyle name="Note 2 21 2" xfId="34541"/>
    <cellStyle name="Note 2 22" xfId="12422"/>
    <cellStyle name="Note 2 22 2" xfId="35197"/>
    <cellStyle name="Note 2 23" xfId="13078"/>
    <cellStyle name="Note 2 23 2" xfId="35853"/>
    <cellStyle name="Note 2 24" xfId="13734"/>
    <cellStyle name="Note 2 24 2" xfId="36509"/>
    <cellStyle name="Note 2 25" xfId="14390"/>
    <cellStyle name="Note 2 25 2" xfId="37165"/>
    <cellStyle name="Note 2 26" xfId="15046"/>
    <cellStyle name="Note 2 26 2" xfId="37821"/>
    <cellStyle name="Note 2 27" xfId="15702"/>
    <cellStyle name="Note 2 27 2" xfId="38477"/>
    <cellStyle name="Note 2 28" xfId="16358"/>
    <cellStyle name="Note 2 28 2" xfId="39133"/>
    <cellStyle name="Note 2 29" xfId="17014"/>
    <cellStyle name="Note 2 29 2" xfId="39789"/>
    <cellStyle name="Note 2 3" xfId="130"/>
    <cellStyle name="Note 2 3 10" xfId="2326"/>
    <cellStyle name="Note 2 3 10 2" xfId="25101"/>
    <cellStyle name="Note 2 3 11" xfId="6590"/>
    <cellStyle name="Note 2 3 11 2" xfId="29365"/>
    <cellStyle name="Note 2 3 12" xfId="7246"/>
    <cellStyle name="Note 2 3 12 2" xfId="30021"/>
    <cellStyle name="Note 2 3 13" xfId="7902"/>
    <cellStyle name="Note 2 3 13 2" xfId="30677"/>
    <cellStyle name="Note 2 3 14" xfId="8558"/>
    <cellStyle name="Note 2 3 14 2" xfId="31333"/>
    <cellStyle name="Note 2 3 15" xfId="9214"/>
    <cellStyle name="Note 2 3 15 2" xfId="31989"/>
    <cellStyle name="Note 2 3 16" xfId="9870"/>
    <cellStyle name="Note 2 3 16 2" xfId="32645"/>
    <cellStyle name="Note 2 3 17" xfId="10526"/>
    <cellStyle name="Note 2 3 17 2" xfId="33301"/>
    <cellStyle name="Note 2 3 18" xfId="11182"/>
    <cellStyle name="Note 2 3 18 2" xfId="33957"/>
    <cellStyle name="Note 2 3 19" xfId="11838"/>
    <cellStyle name="Note 2 3 19 2" xfId="34613"/>
    <cellStyle name="Note 2 3 2" xfId="542"/>
    <cellStyle name="Note 2 3 2 10" xfId="6775"/>
    <cellStyle name="Note 2 3 2 10 2" xfId="29550"/>
    <cellStyle name="Note 2 3 2 11" xfId="7431"/>
    <cellStyle name="Note 2 3 2 11 2" xfId="30206"/>
    <cellStyle name="Note 2 3 2 12" xfId="8087"/>
    <cellStyle name="Note 2 3 2 12 2" xfId="30862"/>
    <cellStyle name="Note 2 3 2 13" xfId="8743"/>
    <cellStyle name="Note 2 3 2 13 2" xfId="31518"/>
    <cellStyle name="Note 2 3 2 14" xfId="9399"/>
    <cellStyle name="Note 2 3 2 14 2" xfId="32174"/>
    <cellStyle name="Note 2 3 2 15" xfId="10055"/>
    <cellStyle name="Note 2 3 2 15 2" xfId="32830"/>
    <cellStyle name="Note 2 3 2 16" xfId="10711"/>
    <cellStyle name="Note 2 3 2 16 2" xfId="33486"/>
    <cellStyle name="Note 2 3 2 17" xfId="11367"/>
    <cellStyle name="Note 2 3 2 17 2" xfId="34142"/>
    <cellStyle name="Note 2 3 2 18" xfId="12023"/>
    <cellStyle name="Note 2 3 2 18 2" xfId="34798"/>
    <cellStyle name="Note 2 3 2 19" xfId="12679"/>
    <cellStyle name="Note 2 3 2 19 2" xfId="35454"/>
    <cellStyle name="Note 2 3 2 2" xfId="871"/>
    <cellStyle name="Note 2 3 2 2 10" xfId="8415"/>
    <cellStyle name="Note 2 3 2 2 10 2" xfId="31190"/>
    <cellStyle name="Note 2 3 2 2 11" xfId="9071"/>
    <cellStyle name="Note 2 3 2 2 11 2" xfId="31846"/>
    <cellStyle name="Note 2 3 2 2 12" xfId="9727"/>
    <cellStyle name="Note 2 3 2 2 12 2" xfId="32502"/>
    <cellStyle name="Note 2 3 2 2 13" xfId="10383"/>
    <cellStyle name="Note 2 3 2 2 13 2" xfId="33158"/>
    <cellStyle name="Note 2 3 2 2 14" xfId="11039"/>
    <cellStyle name="Note 2 3 2 2 14 2" xfId="33814"/>
    <cellStyle name="Note 2 3 2 2 15" xfId="11695"/>
    <cellStyle name="Note 2 3 2 2 15 2" xfId="34470"/>
    <cellStyle name="Note 2 3 2 2 16" xfId="12351"/>
    <cellStyle name="Note 2 3 2 2 16 2" xfId="35126"/>
    <cellStyle name="Note 2 3 2 2 17" xfId="13007"/>
    <cellStyle name="Note 2 3 2 2 17 2" xfId="35782"/>
    <cellStyle name="Note 2 3 2 2 18" xfId="13663"/>
    <cellStyle name="Note 2 3 2 2 18 2" xfId="36438"/>
    <cellStyle name="Note 2 3 2 2 19" xfId="14319"/>
    <cellStyle name="Note 2 3 2 2 19 2" xfId="37094"/>
    <cellStyle name="Note 2 3 2 2 2" xfId="1527"/>
    <cellStyle name="Note 2 3 2 2 2 2" xfId="3823"/>
    <cellStyle name="Note 2 3 2 2 2 2 2" xfId="26598"/>
    <cellStyle name="Note 2 3 2 2 2 3" xfId="24302"/>
    <cellStyle name="Note 2 3 2 2 20" xfId="14975"/>
    <cellStyle name="Note 2 3 2 2 20 2" xfId="37750"/>
    <cellStyle name="Note 2 3 2 2 21" xfId="15631"/>
    <cellStyle name="Note 2 3 2 2 21 2" xfId="38406"/>
    <cellStyle name="Note 2 3 2 2 22" xfId="16287"/>
    <cellStyle name="Note 2 3 2 2 22 2" xfId="39062"/>
    <cellStyle name="Note 2 3 2 2 23" xfId="16943"/>
    <cellStyle name="Note 2 3 2 2 23 2" xfId="39718"/>
    <cellStyle name="Note 2 3 2 2 24" xfId="17599"/>
    <cellStyle name="Note 2 3 2 2 24 2" xfId="40374"/>
    <cellStyle name="Note 2 3 2 2 25" xfId="18255"/>
    <cellStyle name="Note 2 3 2 2 25 2" xfId="41030"/>
    <cellStyle name="Note 2 3 2 2 26" xfId="18911"/>
    <cellStyle name="Note 2 3 2 2 26 2" xfId="41686"/>
    <cellStyle name="Note 2 3 2 2 27" xfId="19567"/>
    <cellStyle name="Note 2 3 2 2 27 2" xfId="42342"/>
    <cellStyle name="Note 2 3 2 2 28" xfId="20223"/>
    <cellStyle name="Note 2 3 2 2 28 2" xfId="42998"/>
    <cellStyle name="Note 2 3 2 2 29" xfId="20879"/>
    <cellStyle name="Note 2 3 2 2 29 2" xfId="43654"/>
    <cellStyle name="Note 2 3 2 2 3" xfId="2183"/>
    <cellStyle name="Note 2 3 2 2 3 2" xfId="4479"/>
    <cellStyle name="Note 2 3 2 2 3 2 2" xfId="27254"/>
    <cellStyle name="Note 2 3 2 2 3 3" xfId="24958"/>
    <cellStyle name="Note 2 3 2 2 30" xfId="21535"/>
    <cellStyle name="Note 2 3 2 2 30 2" xfId="44310"/>
    <cellStyle name="Note 2 3 2 2 31" xfId="22191"/>
    <cellStyle name="Note 2 3 2 2 31 2" xfId="44966"/>
    <cellStyle name="Note 2 3 2 2 32" xfId="22847"/>
    <cellStyle name="Note 2 3 2 2 32 2" xfId="45622"/>
    <cellStyle name="Note 2 3 2 2 33" xfId="23646"/>
    <cellStyle name="Note 2 3 2 2 4" xfId="5135"/>
    <cellStyle name="Note 2 3 2 2 4 2" xfId="27910"/>
    <cellStyle name="Note 2 3 2 2 5" xfId="5791"/>
    <cellStyle name="Note 2 3 2 2 5 2" xfId="28566"/>
    <cellStyle name="Note 2 3 2 2 6" xfId="6447"/>
    <cellStyle name="Note 2 3 2 2 6 2" xfId="29222"/>
    <cellStyle name="Note 2 3 2 2 7" xfId="3167"/>
    <cellStyle name="Note 2 3 2 2 7 2" xfId="25942"/>
    <cellStyle name="Note 2 3 2 2 8" xfId="7103"/>
    <cellStyle name="Note 2 3 2 2 8 2" xfId="29878"/>
    <cellStyle name="Note 2 3 2 2 9" xfId="7759"/>
    <cellStyle name="Note 2 3 2 2 9 2" xfId="30534"/>
    <cellStyle name="Note 2 3 2 20" xfId="13335"/>
    <cellStyle name="Note 2 3 2 20 2" xfId="36110"/>
    <cellStyle name="Note 2 3 2 21" xfId="13991"/>
    <cellStyle name="Note 2 3 2 21 2" xfId="36766"/>
    <cellStyle name="Note 2 3 2 22" xfId="14647"/>
    <cellStyle name="Note 2 3 2 22 2" xfId="37422"/>
    <cellStyle name="Note 2 3 2 23" xfId="15303"/>
    <cellStyle name="Note 2 3 2 23 2" xfId="38078"/>
    <cellStyle name="Note 2 3 2 24" xfId="15959"/>
    <cellStyle name="Note 2 3 2 24 2" xfId="38734"/>
    <cellStyle name="Note 2 3 2 25" xfId="16615"/>
    <cellStyle name="Note 2 3 2 25 2" xfId="39390"/>
    <cellStyle name="Note 2 3 2 26" xfId="17271"/>
    <cellStyle name="Note 2 3 2 26 2" xfId="40046"/>
    <cellStyle name="Note 2 3 2 27" xfId="17927"/>
    <cellStyle name="Note 2 3 2 27 2" xfId="40702"/>
    <cellStyle name="Note 2 3 2 28" xfId="18583"/>
    <cellStyle name="Note 2 3 2 28 2" xfId="41358"/>
    <cellStyle name="Note 2 3 2 29" xfId="19239"/>
    <cellStyle name="Note 2 3 2 29 2" xfId="42014"/>
    <cellStyle name="Note 2 3 2 3" xfId="1199"/>
    <cellStyle name="Note 2 3 2 3 2" xfId="2839"/>
    <cellStyle name="Note 2 3 2 3 2 2" xfId="25614"/>
    <cellStyle name="Note 2 3 2 3 3" xfId="23974"/>
    <cellStyle name="Note 2 3 2 30" xfId="19895"/>
    <cellStyle name="Note 2 3 2 30 2" xfId="42670"/>
    <cellStyle name="Note 2 3 2 31" xfId="20551"/>
    <cellStyle name="Note 2 3 2 31 2" xfId="43326"/>
    <cellStyle name="Note 2 3 2 32" xfId="21207"/>
    <cellStyle name="Note 2 3 2 32 2" xfId="43982"/>
    <cellStyle name="Note 2 3 2 33" xfId="21863"/>
    <cellStyle name="Note 2 3 2 33 2" xfId="44638"/>
    <cellStyle name="Note 2 3 2 34" xfId="22519"/>
    <cellStyle name="Note 2 3 2 34 2" xfId="45294"/>
    <cellStyle name="Note 2 3 2 35" xfId="23318"/>
    <cellStyle name="Note 2 3 2 4" xfId="1855"/>
    <cellStyle name="Note 2 3 2 4 2" xfId="3495"/>
    <cellStyle name="Note 2 3 2 4 2 2" xfId="26270"/>
    <cellStyle name="Note 2 3 2 4 3" xfId="24630"/>
    <cellStyle name="Note 2 3 2 5" xfId="4151"/>
    <cellStyle name="Note 2 3 2 5 2" xfId="26926"/>
    <cellStyle name="Note 2 3 2 6" xfId="4807"/>
    <cellStyle name="Note 2 3 2 6 2" xfId="27582"/>
    <cellStyle name="Note 2 3 2 7" xfId="5463"/>
    <cellStyle name="Note 2 3 2 7 2" xfId="28238"/>
    <cellStyle name="Note 2 3 2 8" xfId="6119"/>
    <cellStyle name="Note 2 3 2 8 2" xfId="28894"/>
    <cellStyle name="Note 2 3 2 9" xfId="2511"/>
    <cellStyle name="Note 2 3 2 9 2" xfId="25286"/>
    <cellStyle name="Note 2 3 20" xfId="12494"/>
    <cellStyle name="Note 2 3 20 2" xfId="35269"/>
    <cellStyle name="Note 2 3 21" xfId="13150"/>
    <cellStyle name="Note 2 3 21 2" xfId="35925"/>
    <cellStyle name="Note 2 3 22" xfId="13806"/>
    <cellStyle name="Note 2 3 22 2" xfId="36581"/>
    <cellStyle name="Note 2 3 23" xfId="14462"/>
    <cellStyle name="Note 2 3 23 2" xfId="37237"/>
    <cellStyle name="Note 2 3 24" xfId="15118"/>
    <cellStyle name="Note 2 3 24 2" xfId="37893"/>
    <cellStyle name="Note 2 3 25" xfId="15774"/>
    <cellStyle name="Note 2 3 25 2" xfId="38549"/>
    <cellStyle name="Note 2 3 26" xfId="16430"/>
    <cellStyle name="Note 2 3 26 2" xfId="39205"/>
    <cellStyle name="Note 2 3 27" xfId="17086"/>
    <cellStyle name="Note 2 3 27 2" xfId="39861"/>
    <cellStyle name="Note 2 3 28" xfId="17742"/>
    <cellStyle name="Note 2 3 28 2" xfId="40517"/>
    <cellStyle name="Note 2 3 29" xfId="18398"/>
    <cellStyle name="Note 2 3 29 2" xfId="41173"/>
    <cellStyle name="Note 2 3 3" xfId="686"/>
    <cellStyle name="Note 2 3 3 10" xfId="8230"/>
    <cellStyle name="Note 2 3 3 10 2" xfId="31005"/>
    <cellStyle name="Note 2 3 3 11" xfId="8886"/>
    <cellStyle name="Note 2 3 3 11 2" xfId="31661"/>
    <cellStyle name="Note 2 3 3 12" xfId="9542"/>
    <cellStyle name="Note 2 3 3 12 2" xfId="32317"/>
    <cellStyle name="Note 2 3 3 13" xfId="10198"/>
    <cellStyle name="Note 2 3 3 13 2" xfId="32973"/>
    <cellStyle name="Note 2 3 3 14" xfId="10854"/>
    <cellStyle name="Note 2 3 3 14 2" xfId="33629"/>
    <cellStyle name="Note 2 3 3 15" xfId="11510"/>
    <cellStyle name="Note 2 3 3 15 2" xfId="34285"/>
    <cellStyle name="Note 2 3 3 16" xfId="12166"/>
    <cellStyle name="Note 2 3 3 16 2" xfId="34941"/>
    <cellStyle name="Note 2 3 3 17" xfId="12822"/>
    <cellStyle name="Note 2 3 3 17 2" xfId="35597"/>
    <cellStyle name="Note 2 3 3 18" xfId="13478"/>
    <cellStyle name="Note 2 3 3 18 2" xfId="36253"/>
    <cellStyle name="Note 2 3 3 19" xfId="14134"/>
    <cellStyle name="Note 2 3 3 19 2" xfId="36909"/>
    <cellStyle name="Note 2 3 3 2" xfId="1342"/>
    <cellStyle name="Note 2 3 3 2 2" xfId="3638"/>
    <cellStyle name="Note 2 3 3 2 2 2" xfId="26413"/>
    <cellStyle name="Note 2 3 3 2 3" xfId="24117"/>
    <cellStyle name="Note 2 3 3 20" xfId="14790"/>
    <cellStyle name="Note 2 3 3 20 2" xfId="37565"/>
    <cellStyle name="Note 2 3 3 21" xfId="15446"/>
    <cellStyle name="Note 2 3 3 21 2" xfId="38221"/>
    <cellStyle name="Note 2 3 3 22" xfId="16102"/>
    <cellStyle name="Note 2 3 3 22 2" xfId="38877"/>
    <cellStyle name="Note 2 3 3 23" xfId="16758"/>
    <cellStyle name="Note 2 3 3 23 2" xfId="39533"/>
    <cellStyle name="Note 2 3 3 24" xfId="17414"/>
    <cellStyle name="Note 2 3 3 24 2" xfId="40189"/>
    <cellStyle name="Note 2 3 3 25" xfId="18070"/>
    <cellStyle name="Note 2 3 3 25 2" xfId="40845"/>
    <cellStyle name="Note 2 3 3 26" xfId="18726"/>
    <cellStyle name="Note 2 3 3 26 2" xfId="41501"/>
    <cellStyle name="Note 2 3 3 27" xfId="19382"/>
    <cellStyle name="Note 2 3 3 27 2" xfId="42157"/>
    <cellStyle name="Note 2 3 3 28" xfId="20038"/>
    <cellStyle name="Note 2 3 3 28 2" xfId="42813"/>
    <cellStyle name="Note 2 3 3 29" xfId="20694"/>
    <cellStyle name="Note 2 3 3 29 2" xfId="43469"/>
    <cellStyle name="Note 2 3 3 3" xfId="1998"/>
    <cellStyle name="Note 2 3 3 3 2" xfId="4294"/>
    <cellStyle name="Note 2 3 3 3 2 2" xfId="27069"/>
    <cellStyle name="Note 2 3 3 3 3" xfId="24773"/>
    <cellStyle name="Note 2 3 3 30" xfId="21350"/>
    <cellStyle name="Note 2 3 3 30 2" xfId="44125"/>
    <cellStyle name="Note 2 3 3 31" xfId="22006"/>
    <cellStyle name="Note 2 3 3 31 2" xfId="44781"/>
    <cellStyle name="Note 2 3 3 32" xfId="22662"/>
    <cellStyle name="Note 2 3 3 32 2" xfId="45437"/>
    <cellStyle name="Note 2 3 3 33" xfId="23461"/>
    <cellStyle name="Note 2 3 3 4" xfId="4950"/>
    <cellStyle name="Note 2 3 3 4 2" xfId="27725"/>
    <cellStyle name="Note 2 3 3 5" xfId="5606"/>
    <cellStyle name="Note 2 3 3 5 2" xfId="28381"/>
    <cellStyle name="Note 2 3 3 6" xfId="6262"/>
    <cellStyle name="Note 2 3 3 6 2" xfId="29037"/>
    <cellStyle name="Note 2 3 3 7" xfId="2982"/>
    <cellStyle name="Note 2 3 3 7 2" xfId="25757"/>
    <cellStyle name="Note 2 3 3 8" xfId="6918"/>
    <cellStyle name="Note 2 3 3 8 2" xfId="29693"/>
    <cellStyle name="Note 2 3 3 9" xfId="7574"/>
    <cellStyle name="Note 2 3 3 9 2" xfId="30349"/>
    <cellStyle name="Note 2 3 30" xfId="19054"/>
    <cellStyle name="Note 2 3 30 2" xfId="41829"/>
    <cellStyle name="Note 2 3 31" xfId="19710"/>
    <cellStyle name="Note 2 3 31 2" xfId="42485"/>
    <cellStyle name="Note 2 3 32" xfId="20366"/>
    <cellStyle name="Note 2 3 32 2" xfId="43141"/>
    <cellStyle name="Note 2 3 33" xfId="21022"/>
    <cellStyle name="Note 2 3 33 2" xfId="43797"/>
    <cellStyle name="Note 2 3 34" xfId="21678"/>
    <cellStyle name="Note 2 3 34 2" xfId="44453"/>
    <cellStyle name="Note 2 3 35" xfId="22334"/>
    <cellStyle name="Note 2 3 35 2" xfId="45109"/>
    <cellStyle name="Note 2 3 36" xfId="22990"/>
    <cellStyle name="Note 2 3 4" xfId="359"/>
    <cellStyle name="Note 2 3 4 2" xfId="2654"/>
    <cellStyle name="Note 2 3 4 2 2" xfId="25429"/>
    <cellStyle name="Note 2 3 4 3" xfId="23133"/>
    <cellStyle name="Note 2 3 5" xfId="1014"/>
    <cellStyle name="Note 2 3 5 2" xfId="3310"/>
    <cellStyle name="Note 2 3 5 2 2" xfId="26085"/>
    <cellStyle name="Note 2 3 5 3" xfId="23789"/>
    <cellStyle name="Note 2 3 6" xfId="1670"/>
    <cellStyle name="Note 2 3 6 2" xfId="3966"/>
    <cellStyle name="Note 2 3 6 2 2" xfId="26741"/>
    <cellStyle name="Note 2 3 6 3" xfId="24445"/>
    <cellStyle name="Note 2 3 7" xfId="4622"/>
    <cellStyle name="Note 2 3 7 2" xfId="27397"/>
    <cellStyle name="Note 2 3 8" xfId="5278"/>
    <cellStyle name="Note 2 3 8 2" xfId="28053"/>
    <cellStyle name="Note 2 3 9" xfId="5934"/>
    <cellStyle name="Note 2 3 9 2" xfId="28709"/>
    <cellStyle name="Note 2 30" xfId="17670"/>
    <cellStyle name="Note 2 30 2" xfId="40445"/>
    <cellStyle name="Note 2 31" xfId="18326"/>
    <cellStyle name="Note 2 31 2" xfId="41101"/>
    <cellStyle name="Note 2 32" xfId="18982"/>
    <cellStyle name="Note 2 32 2" xfId="41757"/>
    <cellStyle name="Note 2 33" xfId="19638"/>
    <cellStyle name="Note 2 33 2" xfId="42413"/>
    <cellStyle name="Note 2 34" xfId="20294"/>
    <cellStyle name="Note 2 34 2" xfId="43069"/>
    <cellStyle name="Note 2 35" xfId="20950"/>
    <cellStyle name="Note 2 35 2" xfId="43725"/>
    <cellStyle name="Note 2 36" xfId="21606"/>
    <cellStyle name="Note 2 36 2" xfId="44381"/>
    <cellStyle name="Note 2 37" xfId="22262"/>
    <cellStyle name="Note 2 37 2" xfId="45037"/>
    <cellStyle name="Note 2 38" xfId="201"/>
    <cellStyle name="Note 2 39" xfId="22918"/>
    <cellStyle name="Note 2 4" xfId="472"/>
    <cellStyle name="Note 2 4 10" xfId="6703"/>
    <cellStyle name="Note 2 4 10 2" xfId="29478"/>
    <cellStyle name="Note 2 4 11" xfId="7359"/>
    <cellStyle name="Note 2 4 11 2" xfId="30134"/>
    <cellStyle name="Note 2 4 12" xfId="8015"/>
    <cellStyle name="Note 2 4 12 2" xfId="30790"/>
    <cellStyle name="Note 2 4 13" xfId="8671"/>
    <cellStyle name="Note 2 4 13 2" xfId="31446"/>
    <cellStyle name="Note 2 4 14" xfId="9327"/>
    <cellStyle name="Note 2 4 14 2" xfId="32102"/>
    <cellStyle name="Note 2 4 15" xfId="9983"/>
    <cellStyle name="Note 2 4 15 2" xfId="32758"/>
    <cellStyle name="Note 2 4 16" xfId="10639"/>
    <cellStyle name="Note 2 4 16 2" xfId="33414"/>
    <cellStyle name="Note 2 4 17" xfId="11295"/>
    <cellStyle name="Note 2 4 17 2" xfId="34070"/>
    <cellStyle name="Note 2 4 18" xfId="11951"/>
    <cellStyle name="Note 2 4 18 2" xfId="34726"/>
    <cellStyle name="Note 2 4 19" xfId="12607"/>
    <cellStyle name="Note 2 4 19 2" xfId="35382"/>
    <cellStyle name="Note 2 4 2" xfId="799"/>
    <cellStyle name="Note 2 4 2 10" xfId="8343"/>
    <cellStyle name="Note 2 4 2 10 2" xfId="31118"/>
    <cellStyle name="Note 2 4 2 11" xfId="8999"/>
    <cellStyle name="Note 2 4 2 11 2" xfId="31774"/>
    <cellStyle name="Note 2 4 2 12" xfId="9655"/>
    <cellStyle name="Note 2 4 2 12 2" xfId="32430"/>
    <cellStyle name="Note 2 4 2 13" xfId="10311"/>
    <cellStyle name="Note 2 4 2 13 2" xfId="33086"/>
    <cellStyle name="Note 2 4 2 14" xfId="10967"/>
    <cellStyle name="Note 2 4 2 14 2" xfId="33742"/>
    <cellStyle name="Note 2 4 2 15" xfId="11623"/>
    <cellStyle name="Note 2 4 2 15 2" xfId="34398"/>
    <cellStyle name="Note 2 4 2 16" xfId="12279"/>
    <cellStyle name="Note 2 4 2 16 2" xfId="35054"/>
    <cellStyle name="Note 2 4 2 17" xfId="12935"/>
    <cellStyle name="Note 2 4 2 17 2" xfId="35710"/>
    <cellStyle name="Note 2 4 2 18" xfId="13591"/>
    <cellStyle name="Note 2 4 2 18 2" xfId="36366"/>
    <cellStyle name="Note 2 4 2 19" xfId="14247"/>
    <cellStyle name="Note 2 4 2 19 2" xfId="37022"/>
    <cellStyle name="Note 2 4 2 2" xfId="1455"/>
    <cellStyle name="Note 2 4 2 2 2" xfId="3751"/>
    <cellStyle name="Note 2 4 2 2 2 2" xfId="26526"/>
    <cellStyle name="Note 2 4 2 2 3" xfId="24230"/>
    <cellStyle name="Note 2 4 2 20" xfId="14903"/>
    <cellStyle name="Note 2 4 2 20 2" xfId="37678"/>
    <cellStyle name="Note 2 4 2 21" xfId="15559"/>
    <cellStyle name="Note 2 4 2 21 2" xfId="38334"/>
    <cellStyle name="Note 2 4 2 22" xfId="16215"/>
    <cellStyle name="Note 2 4 2 22 2" xfId="38990"/>
    <cellStyle name="Note 2 4 2 23" xfId="16871"/>
    <cellStyle name="Note 2 4 2 23 2" xfId="39646"/>
    <cellStyle name="Note 2 4 2 24" xfId="17527"/>
    <cellStyle name="Note 2 4 2 24 2" xfId="40302"/>
    <cellStyle name="Note 2 4 2 25" xfId="18183"/>
    <cellStyle name="Note 2 4 2 25 2" xfId="40958"/>
    <cellStyle name="Note 2 4 2 26" xfId="18839"/>
    <cellStyle name="Note 2 4 2 26 2" xfId="41614"/>
    <cellStyle name="Note 2 4 2 27" xfId="19495"/>
    <cellStyle name="Note 2 4 2 27 2" xfId="42270"/>
    <cellStyle name="Note 2 4 2 28" xfId="20151"/>
    <cellStyle name="Note 2 4 2 28 2" xfId="42926"/>
    <cellStyle name="Note 2 4 2 29" xfId="20807"/>
    <cellStyle name="Note 2 4 2 29 2" xfId="43582"/>
    <cellStyle name="Note 2 4 2 3" xfId="2111"/>
    <cellStyle name="Note 2 4 2 3 2" xfId="4407"/>
    <cellStyle name="Note 2 4 2 3 2 2" xfId="27182"/>
    <cellStyle name="Note 2 4 2 3 3" xfId="24886"/>
    <cellStyle name="Note 2 4 2 30" xfId="21463"/>
    <cellStyle name="Note 2 4 2 30 2" xfId="44238"/>
    <cellStyle name="Note 2 4 2 31" xfId="22119"/>
    <cellStyle name="Note 2 4 2 31 2" xfId="44894"/>
    <cellStyle name="Note 2 4 2 32" xfId="22775"/>
    <cellStyle name="Note 2 4 2 32 2" xfId="45550"/>
    <cellStyle name="Note 2 4 2 33" xfId="23574"/>
    <cellStyle name="Note 2 4 2 4" xfId="5063"/>
    <cellStyle name="Note 2 4 2 4 2" xfId="27838"/>
    <cellStyle name="Note 2 4 2 5" xfId="5719"/>
    <cellStyle name="Note 2 4 2 5 2" xfId="28494"/>
    <cellStyle name="Note 2 4 2 6" xfId="6375"/>
    <cellStyle name="Note 2 4 2 6 2" xfId="29150"/>
    <cellStyle name="Note 2 4 2 7" xfId="3095"/>
    <cellStyle name="Note 2 4 2 7 2" xfId="25870"/>
    <cellStyle name="Note 2 4 2 8" xfId="7031"/>
    <cellStyle name="Note 2 4 2 8 2" xfId="29806"/>
    <cellStyle name="Note 2 4 2 9" xfId="7687"/>
    <cellStyle name="Note 2 4 2 9 2" xfId="30462"/>
    <cellStyle name="Note 2 4 20" xfId="13263"/>
    <cellStyle name="Note 2 4 20 2" xfId="36038"/>
    <cellStyle name="Note 2 4 21" xfId="13919"/>
    <cellStyle name="Note 2 4 21 2" xfId="36694"/>
    <cellStyle name="Note 2 4 22" xfId="14575"/>
    <cellStyle name="Note 2 4 22 2" xfId="37350"/>
    <cellStyle name="Note 2 4 23" xfId="15231"/>
    <cellStyle name="Note 2 4 23 2" xfId="38006"/>
    <cellStyle name="Note 2 4 24" xfId="15887"/>
    <cellStyle name="Note 2 4 24 2" xfId="38662"/>
    <cellStyle name="Note 2 4 25" xfId="16543"/>
    <cellStyle name="Note 2 4 25 2" xfId="39318"/>
    <cellStyle name="Note 2 4 26" xfId="17199"/>
    <cellStyle name="Note 2 4 26 2" xfId="39974"/>
    <cellStyle name="Note 2 4 27" xfId="17855"/>
    <cellStyle name="Note 2 4 27 2" xfId="40630"/>
    <cellStyle name="Note 2 4 28" xfId="18511"/>
    <cellStyle name="Note 2 4 28 2" xfId="41286"/>
    <cellStyle name="Note 2 4 29" xfId="19167"/>
    <cellStyle name="Note 2 4 29 2" xfId="41942"/>
    <cellStyle name="Note 2 4 3" xfId="1127"/>
    <cellStyle name="Note 2 4 3 2" xfId="2767"/>
    <cellStyle name="Note 2 4 3 2 2" xfId="25542"/>
    <cellStyle name="Note 2 4 3 3" xfId="23902"/>
    <cellStyle name="Note 2 4 30" xfId="19823"/>
    <cellStyle name="Note 2 4 30 2" xfId="42598"/>
    <cellStyle name="Note 2 4 31" xfId="20479"/>
    <cellStyle name="Note 2 4 31 2" xfId="43254"/>
    <cellStyle name="Note 2 4 32" xfId="21135"/>
    <cellStyle name="Note 2 4 32 2" xfId="43910"/>
    <cellStyle name="Note 2 4 33" xfId="21791"/>
    <cellStyle name="Note 2 4 33 2" xfId="44566"/>
    <cellStyle name="Note 2 4 34" xfId="22447"/>
    <cellStyle name="Note 2 4 34 2" xfId="45222"/>
    <cellStyle name="Note 2 4 35" xfId="23246"/>
    <cellStyle name="Note 2 4 4" xfId="1783"/>
    <cellStyle name="Note 2 4 4 2" xfId="3423"/>
    <cellStyle name="Note 2 4 4 2 2" xfId="26198"/>
    <cellStyle name="Note 2 4 4 3" xfId="24558"/>
    <cellStyle name="Note 2 4 5" xfId="4079"/>
    <cellStyle name="Note 2 4 5 2" xfId="26854"/>
    <cellStyle name="Note 2 4 6" xfId="4735"/>
    <cellStyle name="Note 2 4 6 2" xfId="27510"/>
    <cellStyle name="Note 2 4 7" xfId="5391"/>
    <cellStyle name="Note 2 4 7 2" xfId="28166"/>
    <cellStyle name="Note 2 4 8" xfId="6047"/>
    <cellStyle name="Note 2 4 8 2" xfId="28822"/>
    <cellStyle name="Note 2 4 9" xfId="2439"/>
    <cellStyle name="Note 2 4 9 2" xfId="25214"/>
    <cellStyle name="Note 2 5" xfId="614"/>
    <cellStyle name="Note 2 5 10" xfId="8158"/>
    <cellStyle name="Note 2 5 10 2" xfId="30933"/>
    <cellStyle name="Note 2 5 11" xfId="8814"/>
    <cellStyle name="Note 2 5 11 2" xfId="31589"/>
    <cellStyle name="Note 2 5 12" xfId="9470"/>
    <cellStyle name="Note 2 5 12 2" xfId="32245"/>
    <cellStyle name="Note 2 5 13" xfId="10126"/>
    <cellStyle name="Note 2 5 13 2" xfId="32901"/>
    <cellStyle name="Note 2 5 14" xfId="10782"/>
    <cellStyle name="Note 2 5 14 2" xfId="33557"/>
    <cellStyle name="Note 2 5 15" xfId="11438"/>
    <cellStyle name="Note 2 5 15 2" xfId="34213"/>
    <cellStyle name="Note 2 5 16" xfId="12094"/>
    <cellStyle name="Note 2 5 16 2" xfId="34869"/>
    <cellStyle name="Note 2 5 17" xfId="12750"/>
    <cellStyle name="Note 2 5 17 2" xfId="35525"/>
    <cellStyle name="Note 2 5 18" xfId="13406"/>
    <cellStyle name="Note 2 5 18 2" xfId="36181"/>
    <cellStyle name="Note 2 5 19" xfId="14062"/>
    <cellStyle name="Note 2 5 19 2" xfId="36837"/>
    <cellStyle name="Note 2 5 2" xfId="1270"/>
    <cellStyle name="Note 2 5 2 2" xfId="3566"/>
    <cellStyle name="Note 2 5 2 2 2" xfId="26341"/>
    <cellStyle name="Note 2 5 2 3" xfId="24045"/>
    <cellStyle name="Note 2 5 20" xfId="14718"/>
    <cellStyle name="Note 2 5 20 2" xfId="37493"/>
    <cellStyle name="Note 2 5 21" xfId="15374"/>
    <cellStyle name="Note 2 5 21 2" xfId="38149"/>
    <cellStyle name="Note 2 5 22" xfId="16030"/>
    <cellStyle name="Note 2 5 22 2" xfId="38805"/>
    <cellStyle name="Note 2 5 23" xfId="16686"/>
    <cellStyle name="Note 2 5 23 2" xfId="39461"/>
    <cellStyle name="Note 2 5 24" xfId="17342"/>
    <cellStyle name="Note 2 5 24 2" xfId="40117"/>
    <cellStyle name="Note 2 5 25" xfId="17998"/>
    <cellStyle name="Note 2 5 25 2" xfId="40773"/>
    <cellStyle name="Note 2 5 26" xfId="18654"/>
    <cellStyle name="Note 2 5 26 2" xfId="41429"/>
    <cellStyle name="Note 2 5 27" xfId="19310"/>
    <cellStyle name="Note 2 5 27 2" xfId="42085"/>
    <cellStyle name="Note 2 5 28" xfId="19966"/>
    <cellStyle name="Note 2 5 28 2" xfId="42741"/>
    <cellStyle name="Note 2 5 29" xfId="20622"/>
    <cellStyle name="Note 2 5 29 2" xfId="43397"/>
    <cellStyle name="Note 2 5 3" xfId="1926"/>
    <cellStyle name="Note 2 5 3 2" xfId="4222"/>
    <cellStyle name="Note 2 5 3 2 2" xfId="26997"/>
    <cellStyle name="Note 2 5 3 3" xfId="24701"/>
    <cellStyle name="Note 2 5 30" xfId="21278"/>
    <cellStyle name="Note 2 5 30 2" xfId="44053"/>
    <cellStyle name="Note 2 5 31" xfId="21934"/>
    <cellStyle name="Note 2 5 31 2" xfId="44709"/>
    <cellStyle name="Note 2 5 32" xfId="22590"/>
    <cellStyle name="Note 2 5 32 2" xfId="45365"/>
    <cellStyle name="Note 2 5 33" xfId="23389"/>
    <cellStyle name="Note 2 5 4" xfId="4878"/>
    <cellStyle name="Note 2 5 4 2" xfId="27653"/>
    <cellStyle name="Note 2 5 5" xfId="5534"/>
    <cellStyle name="Note 2 5 5 2" xfId="28309"/>
    <cellStyle name="Note 2 5 6" xfId="6190"/>
    <cellStyle name="Note 2 5 6 2" xfId="28965"/>
    <cellStyle name="Note 2 5 7" xfId="2910"/>
    <cellStyle name="Note 2 5 7 2" xfId="25685"/>
    <cellStyle name="Note 2 5 8" xfId="6846"/>
    <cellStyle name="Note 2 5 8 2" xfId="29621"/>
    <cellStyle name="Note 2 5 9" xfId="7502"/>
    <cellStyle name="Note 2 5 9 2" xfId="30277"/>
    <cellStyle name="Note 2 6" xfId="287"/>
    <cellStyle name="Note 2 6 2" xfId="2582"/>
    <cellStyle name="Note 2 6 2 2" xfId="25357"/>
    <cellStyle name="Note 2 6 3" xfId="23061"/>
    <cellStyle name="Note 2 7" xfId="942"/>
    <cellStyle name="Note 2 7 2" xfId="3238"/>
    <cellStyle name="Note 2 7 2 2" xfId="26013"/>
    <cellStyle name="Note 2 7 3" xfId="23717"/>
    <cellStyle name="Note 2 8" xfId="1598"/>
    <cellStyle name="Note 2 8 2" xfId="3894"/>
    <cellStyle name="Note 2 8 2 2" xfId="26669"/>
    <cellStyle name="Note 2 8 3" xfId="24373"/>
    <cellStyle name="Note 2 9" xfId="4550"/>
    <cellStyle name="Note 2 9 2" xfId="27325"/>
    <cellStyle name="Note 3" xfId="68"/>
    <cellStyle name="Note 3 10" xfId="5864"/>
    <cellStyle name="Note 3 10 2" xfId="28639"/>
    <cellStyle name="Note 3 11" xfId="2256"/>
    <cellStyle name="Note 3 11 2" xfId="25031"/>
    <cellStyle name="Note 3 12" xfId="6520"/>
    <cellStyle name="Note 3 12 2" xfId="29295"/>
    <cellStyle name="Note 3 13" xfId="7176"/>
    <cellStyle name="Note 3 13 2" xfId="29951"/>
    <cellStyle name="Note 3 14" xfId="7832"/>
    <cellStyle name="Note 3 14 2" xfId="30607"/>
    <cellStyle name="Note 3 15" xfId="8488"/>
    <cellStyle name="Note 3 15 2" xfId="31263"/>
    <cellStyle name="Note 3 16" xfId="9144"/>
    <cellStyle name="Note 3 16 2" xfId="31919"/>
    <cellStyle name="Note 3 17" xfId="9800"/>
    <cellStyle name="Note 3 17 2" xfId="32575"/>
    <cellStyle name="Note 3 18" xfId="10456"/>
    <cellStyle name="Note 3 18 2" xfId="33231"/>
    <cellStyle name="Note 3 19" xfId="11112"/>
    <cellStyle name="Note 3 19 2" xfId="33887"/>
    <cellStyle name="Note 3 2" xfId="144"/>
    <cellStyle name="Note 3 2 10" xfId="2342"/>
    <cellStyle name="Note 3 2 10 2" xfId="25117"/>
    <cellStyle name="Note 3 2 11" xfId="6606"/>
    <cellStyle name="Note 3 2 11 2" xfId="29381"/>
    <cellStyle name="Note 3 2 12" xfId="7262"/>
    <cellStyle name="Note 3 2 12 2" xfId="30037"/>
    <cellStyle name="Note 3 2 13" xfId="7918"/>
    <cellStyle name="Note 3 2 13 2" xfId="30693"/>
    <cellStyle name="Note 3 2 14" xfId="8574"/>
    <cellStyle name="Note 3 2 14 2" xfId="31349"/>
    <cellStyle name="Note 3 2 15" xfId="9230"/>
    <cellStyle name="Note 3 2 15 2" xfId="32005"/>
    <cellStyle name="Note 3 2 16" xfId="9886"/>
    <cellStyle name="Note 3 2 16 2" xfId="32661"/>
    <cellStyle name="Note 3 2 17" xfId="10542"/>
    <cellStyle name="Note 3 2 17 2" xfId="33317"/>
    <cellStyle name="Note 3 2 18" xfId="11198"/>
    <cellStyle name="Note 3 2 18 2" xfId="33973"/>
    <cellStyle name="Note 3 2 19" xfId="11854"/>
    <cellStyle name="Note 3 2 19 2" xfId="34629"/>
    <cellStyle name="Note 3 2 2" xfId="558"/>
    <cellStyle name="Note 3 2 2 10" xfId="6791"/>
    <cellStyle name="Note 3 2 2 10 2" xfId="29566"/>
    <cellStyle name="Note 3 2 2 11" xfId="7447"/>
    <cellStyle name="Note 3 2 2 11 2" xfId="30222"/>
    <cellStyle name="Note 3 2 2 12" xfId="8103"/>
    <cellStyle name="Note 3 2 2 12 2" xfId="30878"/>
    <cellStyle name="Note 3 2 2 13" xfId="8759"/>
    <cellStyle name="Note 3 2 2 13 2" xfId="31534"/>
    <cellStyle name="Note 3 2 2 14" xfId="9415"/>
    <cellStyle name="Note 3 2 2 14 2" xfId="32190"/>
    <cellStyle name="Note 3 2 2 15" xfId="10071"/>
    <cellStyle name="Note 3 2 2 15 2" xfId="32846"/>
    <cellStyle name="Note 3 2 2 16" xfId="10727"/>
    <cellStyle name="Note 3 2 2 16 2" xfId="33502"/>
    <cellStyle name="Note 3 2 2 17" xfId="11383"/>
    <cellStyle name="Note 3 2 2 17 2" xfId="34158"/>
    <cellStyle name="Note 3 2 2 18" xfId="12039"/>
    <cellStyle name="Note 3 2 2 18 2" xfId="34814"/>
    <cellStyle name="Note 3 2 2 19" xfId="12695"/>
    <cellStyle name="Note 3 2 2 19 2" xfId="35470"/>
    <cellStyle name="Note 3 2 2 2" xfId="887"/>
    <cellStyle name="Note 3 2 2 2 10" xfId="8431"/>
    <cellStyle name="Note 3 2 2 2 10 2" xfId="31206"/>
    <cellStyle name="Note 3 2 2 2 11" xfId="9087"/>
    <cellStyle name="Note 3 2 2 2 11 2" xfId="31862"/>
    <cellStyle name="Note 3 2 2 2 12" xfId="9743"/>
    <cellStyle name="Note 3 2 2 2 12 2" xfId="32518"/>
    <cellStyle name="Note 3 2 2 2 13" xfId="10399"/>
    <cellStyle name="Note 3 2 2 2 13 2" xfId="33174"/>
    <cellStyle name="Note 3 2 2 2 14" xfId="11055"/>
    <cellStyle name="Note 3 2 2 2 14 2" xfId="33830"/>
    <cellStyle name="Note 3 2 2 2 15" xfId="11711"/>
    <cellStyle name="Note 3 2 2 2 15 2" xfId="34486"/>
    <cellStyle name="Note 3 2 2 2 16" xfId="12367"/>
    <cellStyle name="Note 3 2 2 2 16 2" xfId="35142"/>
    <cellStyle name="Note 3 2 2 2 17" xfId="13023"/>
    <cellStyle name="Note 3 2 2 2 17 2" xfId="35798"/>
    <cellStyle name="Note 3 2 2 2 18" xfId="13679"/>
    <cellStyle name="Note 3 2 2 2 18 2" xfId="36454"/>
    <cellStyle name="Note 3 2 2 2 19" xfId="14335"/>
    <cellStyle name="Note 3 2 2 2 19 2" xfId="37110"/>
    <cellStyle name="Note 3 2 2 2 2" xfId="1543"/>
    <cellStyle name="Note 3 2 2 2 2 2" xfId="3839"/>
    <cellStyle name="Note 3 2 2 2 2 2 2" xfId="26614"/>
    <cellStyle name="Note 3 2 2 2 2 3" xfId="24318"/>
    <cellStyle name="Note 3 2 2 2 20" xfId="14991"/>
    <cellStyle name="Note 3 2 2 2 20 2" xfId="37766"/>
    <cellStyle name="Note 3 2 2 2 21" xfId="15647"/>
    <cellStyle name="Note 3 2 2 2 21 2" xfId="38422"/>
    <cellStyle name="Note 3 2 2 2 22" xfId="16303"/>
    <cellStyle name="Note 3 2 2 2 22 2" xfId="39078"/>
    <cellStyle name="Note 3 2 2 2 23" xfId="16959"/>
    <cellStyle name="Note 3 2 2 2 23 2" xfId="39734"/>
    <cellStyle name="Note 3 2 2 2 24" xfId="17615"/>
    <cellStyle name="Note 3 2 2 2 24 2" xfId="40390"/>
    <cellStyle name="Note 3 2 2 2 25" xfId="18271"/>
    <cellStyle name="Note 3 2 2 2 25 2" xfId="41046"/>
    <cellStyle name="Note 3 2 2 2 26" xfId="18927"/>
    <cellStyle name="Note 3 2 2 2 26 2" xfId="41702"/>
    <cellStyle name="Note 3 2 2 2 27" xfId="19583"/>
    <cellStyle name="Note 3 2 2 2 27 2" xfId="42358"/>
    <cellStyle name="Note 3 2 2 2 28" xfId="20239"/>
    <cellStyle name="Note 3 2 2 2 28 2" xfId="43014"/>
    <cellStyle name="Note 3 2 2 2 29" xfId="20895"/>
    <cellStyle name="Note 3 2 2 2 29 2" xfId="43670"/>
    <cellStyle name="Note 3 2 2 2 3" xfId="2199"/>
    <cellStyle name="Note 3 2 2 2 3 2" xfId="4495"/>
    <cellStyle name="Note 3 2 2 2 3 2 2" xfId="27270"/>
    <cellStyle name="Note 3 2 2 2 3 3" xfId="24974"/>
    <cellStyle name="Note 3 2 2 2 30" xfId="21551"/>
    <cellStyle name="Note 3 2 2 2 30 2" xfId="44326"/>
    <cellStyle name="Note 3 2 2 2 31" xfId="22207"/>
    <cellStyle name="Note 3 2 2 2 31 2" xfId="44982"/>
    <cellStyle name="Note 3 2 2 2 32" xfId="22863"/>
    <cellStyle name="Note 3 2 2 2 32 2" xfId="45638"/>
    <cellStyle name="Note 3 2 2 2 33" xfId="23662"/>
    <cellStyle name="Note 3 2 2 2 4" xfId="5151"/>
    <cellStyle name="Note 3 2 2 2 4 2" xfId="27926"/>
    <cellStyle name="Note 3 2 2 2 5" xfId="5807"/>
    <cellStyle name="Note 3 2 2 2 5 2" xfId="28582"/>
    <cellStyle name="Note 3 2 2 2 6" xfId="6463"/>
    <cellStyle name="Note 3 2 2 2 6 2" xfId="29238"/>
    <cellStyle name="Note 3 2 2 2 7" xfId="3183"/>
    <cellStyle name="Note 3 2 2 2 7 2" xfId="25958"/>
    <cellStyle name="Note 3 2 2 2 8" xfId="7119"/>
    <cellStyle name="Note 3 2 2 2 8 2" xfId="29894"/>
    <cellStyle name="Note 3 2 2 2 9" xfId="7775"/>
    <cellStyle name="Note 3 2 2 2 9 2" xfId="30550"/>
    <cellStyle name="Note 3 2 2 20" xfId="13351"/>
    <cellStyle name="Note 3 2 2 20 2" xfId="36126"/>
    <cellStyle name="Note 3 2 2 21" xfId="14007"/>
    <cellStyle name="Note 3 2 2 21 2" xfId="36782"/>
    <cellStyle name="Note 3 2 2 22" xfId="14663"/>
    <cellStyle name="Note 3 2 2 22 2" xfId="37438"/>
    <cellStyle name="Note 3 2 2 23" xfId="15319"/>
    <cellStyle name="Note 3 2 2 23 2" xfId="38094"/>
    <cellStyle name="Note 3 2 2 24" xfId="15975"/>
    <cellStyle name="Note 3 2 2 24 2" xfId="38750"/>
    <cellStyle name="Note 3 2 2 25" xfId="16631"/>
    <cellStyle name="Note 3 2 2 25 2" xfId="39406"/>
    <cellStyle name="Note 3 2 2 26" xfId="17287"/>
    <cellStyle name="Note 3 2 2 26 2" xfId="40062"/>
    <cellStyle name="Note 3 2 2 27" xfId="17943"/>
    <cellStyle name="Note 3 2 2 27 2" xfId="40718"/>
    <cellStyle name="Note 3 2 2 28" xfId="18599"/>
    <cellStyle name="Note 3 2 2 28 2" xfId="41374"/>
    <cellStyle name="Note 3 2 2 29" xfId="19255"/>
    <cellStyle name="Note 3 2 2 29 2" xfId="42030"/>
    <cellStyle name="Note 3 2 2 3" xfId="1215"/>
    <cellStyle name="Note 3 2 2 3 2" xfId="2855"/>
    <cellStyle name="Note 3 2 2 3 2 2" xfId="25630"/>
    <cellStyle name="Note 3 2 2 3 3" xfId="23990"/>
    <cellStyle name="Note 3 2 2 30" xfId="19911"/>
    <cellStyle name="Note 3 2 2 30 2" xfId="42686"/>
    <cellStyle name="Note 3 2 2 31" xfId="20567"/>
    <cellStyle name="Note 3 2 2 31 2" xfId="43342"/>
    <cellStyle name="Note 3 2 2 32" xfId="21223"/>
    <cellStyle name="Note 3 2 2 32 2" xfId="43998"/>
    <cellStyle name="Note 3 2 2 33" xfId="21879"/>
    <cellStyle name="Note 3 2 2 33 2" xfId="44654"/>
    <cellStyle name="Note 3 2 2 34" xfId="22535"/>
    <cellStyle name="Note 3 2 2 34 2" xfId="45310"/>
    <cellStyle name="Note 3 2 2 35" xfId="23334"/>
    <cellStyle name="Note 3 2 2 4" xfId="1871"/>
    <cellStyle name="Note 3 2 2 4 2" xfId="3511"/>
    <cellStyle name="Note 3 2 2 4 2 2" xfId="26286"/>
    <cellStyle name="Note 3 2 2 4 3" xfId="24646"/>
    <cellStyle name="Note 3 2 2 5" xfId="4167"/>
    <cellStyle name="Note 3 2 2 5 2" xfId="26942"/>
    <cellStyle name="Note 3 2 2 6" xfId="4823"/>
    <cellStyle name="Note 3 2 2 6 2" xfId="27598"/>
    <cellStyle name="Note 3 2 2 7" xfId="5479"/>
    <cellStyle name="Note 3 2 2 7 2" xfId="28254"/>
    <cellStyle name="Note 3 2 2 8" xfId="6135"/>
    <cellStyle name="Note 3 2 2 8 2" xfId="28910"/>
    <cellStyle name="Note 3 2 2 9" xfId="2527"/>
    <cellStyle name="Note 3 2 2 9 2" xfId="25302"/>
    <cellStyle name="Note 3 2 20" xfId="12510"/>
    <cellStyle name="Note 3 2 20 2" xfId="35285"/>
    <cellStyle name="Note 3 2 21" xfId="13166"/>
    <cellStyle name="Note 3 2 21 2" xfId="35941"/>
    <cellStyle name="Note 3 2 22" xfId="13822"/>
    <cellStyle name="Note 3 2 22 2" xfId="36597"/>
    <cellStyle name="Note 3 2 23" xfId="14478"/>
    <cellStyle name="Note 3 2 23 2" xfId="37253"/>
    <cellStyle name="Note 3 2 24" xfId="15134"/>
    <cellStyle name="Note 3 2 24 2" xfId="37909"/>
    <cellStyle name="Note 3 2 25" xfId="15790"/>
    <cellStyle name="Note 3 2 25 2" xfId="38565"/>
    <cellStyle name="Note 3 2 26" xfId="16446"/>
    <cellStyle name="Note 3 2 26 2" xfId="39221"/>
    <cellStyle name="Note 3 2 27" xfId="17102"/>
    <cellStyle name="Note 3 2 27 2" xfId="39877"/>
    <cellStyle name="Note 3 2 28" xfId="17758"/>
    <cellStyle name="Note 3 2 28 2" xfId="40533"/>
    <cellStyle name="Note 3 2 29" xfId="18414"/>
    <cellStyle name="Note 3 2 29 2" xfId="41189"/>
    <cellStyle name="Note 3 2 3" xfId="702"/>
    <cellStyle name="Note 3 2 3 10" xfId="8246"/>
    <cellStyle name="Note 3 2 3 10 2" xfId="31021"/>
    <cellStyle name="Note 3 2 3 11" xfId="8902"/>
    <cellStyle name="Note 3 2 3 11 2" xfId="31677"/>
    <cellStyle name="Note 3 2 3 12" xfId="9558"/>
    <cellStyle name="Note 3 2 3 12 2" xfId="32333"/>
    <cellStyle name="Note 3 2 3 13" xfId="10214"/>
    <cellStyle name="Note 3 2 3 13 2" xfId="32989"/>
    <cellStyle name="Note 3 2 3 14" xfId="10870"/>
    <cellStyle name="Note 3 2 3 14 2" xfId="33645"/>
    <cellStyle name="Note 3 2 3 15" xfId="11526"/>
    <cellStyle name="Note 3 2 3 15 2" xfId="34301"/>
    <cellStyle name="Note 3 2 3 16" xfId="12182"/>
    <cellStyle name="Note 3 2 3 16 2" xfId="34957"/>
    <cellStyle name="Note 3 2 3 17" xfId="12838"/>
    <cellStyle name="Note 3 2 3 17 2" xfId="35613"/>
    <cellStyle name="Note 3 2 3 18" xfId="13494"/>
    <cellStyle name="Note 3 2 3 18 2" xfId="36269"/>
    <cellStyle name="Note 3 2 3 19" xfId="14150"/>
    <cellStyle name="Note 3 2 3 19 2" xfId="36925"/>
    <cellStyle name="Note 3 2 3 2" xfId="1358"/>
    <cellStyle name="Note 3 2 3 2 2" xfId="3654"/>
    <cellStyle name="Note 3 2 3 2 2 2" xfId="26429"/>
    <cellStyle name="Note 3 2 3 2 3" xfId="24133"/>
    <cellStyle name="Note 3 2 3 20" xfId="14806"/>
    <cellStyle name="Note 3 2 3 20 2" xfId="37581"/>
    <cellStyle name="Note 3 2 3 21" xfId="15462"/>
    <cellStyle name="Note 3 2 3 21 2" xfId="38237"/>
    <cellStyle name="Note 3 2 3 22" xfId="16118"/>
    <cellStyle name="Note 3 2 3 22 2" xfId="38893"/>
    <cellStyle name="Note 3 2 3 23" xfId="16774"/>
    <cellStyle name="Note 3 2 3 23 2" xfId="39549"/>
    <cellStyle name="Note 3 2 3 24" xfId="17430"/>
    <cellStyle name="Note 3 2 3 24 2" xfId="40205"/>
    <cellStyle name="Note 3 2 3 25" xfId="18086"/>
    <cellStyle name="Note 3 2 3 25 2" xfId="40861"/>
    <cellStyle name="Note 3 2 3 26" xfId="18742"/>
    <cellStyle name="Note 3 2 3 26 2" xfId="41517"/>
    <cellStyle name="Note 3 2 3 27" xfId="19398"/>
    <cellStyle name="Note 3 2 3 27 2" xfId="42173"/>
    <cellStyle name="Note 3 2 3 28" xfId="20054"/>
    <cellStyle name="Note 3 2 3 28 2" xfId="42829"/>
    <cellStyle name="Note 3 2 3 29" xfId="20710"/>
    <cellStyle name="Note 3 2 3 29 2" xfId="43485"/>
    <cellStyle name="Note 3 2 3 3" xfId="2014"/>
    <cellStyle name="Note 3 2 3 3 2" xfId="4310"/>
    <cellStyle name="Note 3 2 3 3 2 2" xfId="27085"/>
    <cellStyle name="Note 3 2 3 3 3" xfId="24789"/>
    <cellStyle name="Note 3 2 3 30" xfId="21366"/>
    <cellStyle name="Note 3 2 3 30 2" xfId="44141"/>
    <cellStyle name="Note 3 2 3 31" xfId="22022"/>
    <cellStyle name="Note 3 2 3 31 2" xfId="44797"/>
    <cellStyle name="Note 3 2 3 32" xfId="22678"/>
    <cellStyle name="Note 3 2 3 32 2" xfId="45453"/>
    <cellStyle name="Note 3 2 3 33" xfId="23477"/>
    <cellStyle name="Note 3 2 3 4" xfId="4966"/>
    <cellStyle name="Note 3 2 3 4 2" xfId="27741"/>
    <cellStyle name="Note 3 2 3 5" xfId="5622"/>
    <cellStyle name="Note 3 2 3 5 2" xfId="28397"/>
    <cellStyle name="Note 3 2 3 6" xfId="6278"/>
    <cellStyle name="Note 3 2 3 6 2" xfId="29053"/>
    <cellStyle name="Note 3 2 3 7" xfId="2998"/>
    <cellStyle name="Note 3 2 3 7 2" xfId="25773"/>
    <cellStyle name="Note 3 2 3 8" xfId="6934"/>
    <cellStyle name="Note 3 2 3 8 2" xfId="29709"/>
    <cellStyle name="Note 3 2 3 9" xfId="7590"/>
    <cellStyle name="Note 3 2 3 9 2" xfId="30365"/>
    <cellStyle name="Note 3 2 30" xfId="19070"/>
    <cellStyle name="Note 3 2 30 2" xfId="41845"/>
    <cellStyle name="Note 3 2 31" xfId="19726"/>
    <cellStyle name="Note 3 2 31 2" xfId="42501"/>
    <cellStyle name="Note 3 2 32" xfId="20382"/>
    <cellStyle name="Note 3 2 32 2" xfId="43157"/>
    <cellStyle name="Note 3 2 33" xfId="21038"/>
    <cellStyle name="Note 3 2 33 2" xfId="43813"/>
    <cellStyle name="Note 3 2 34" xfId="21694"/>
    <cellStyle name="Note 3 2 34 2" xfId="44469"/>
    <cellStyle name="Note 3 2 35" xfId="22350"/>
    <cellStyle name="Note 3 2 35 2" xfId="45125"/>
    <cellStyle name="Note 3 2 36" xfId="23006"/>
    <cellStyle name="Note 3 2 4" xfId="375"/>
    <cellStyle name="Note 3 2 4 2" xfId="2670"/>
    <cellStyle name="Note 3 2 4 2 2" xfId="25445"/>
    <cellStyle name="Note 3 2 4 3" xfId="23149"/>
    <cellStyle name="Note 3 2 5" xfId="1030"/>
    <cellStyle name="Note 3 2 5 2" xfId="3326"/>
    <cellStyle name="Note 3 2 5 2 2" xfId="26101"/>
    <cellStyle name="Note 3 2 5 3" xfId="23805"/>
    <cellStyle name="Note 3 2 6" xfId="1686"/>
    <cellStyle name="Note 3 2 6 2" xfId="3982"/>
    <cellStyle name="Note 3 2 6 2 2" xfId="26757"/>
    <cellStyle name="Note 3 2 6 3" xfId="24461"/>
    <cellStyle name="Note 3 2 7" xfId="4638"/>
    <cellStyle name="Note 3 2 7 2" xfId="27413"/>
    <cellStyle name="Note 3 2 8" xfId="5294"/>
    <cellStyle name="Note 3 2 8 2" xfId="28069"/>
    <cellStyle name="Note 3 2 9" xfId="5950"/>
    <cellStyle name="Note 3 2 9 2" xfId="28725"/>
    <cellStyle name="Note 3 20" xfId="11768"/>
    <cellStyle name="Note 3 20 2" xfId="34543"/>
    <cellStyle name="Note 3 21" xfId="12424"/>
    <cellStyle name="Note 3 21 2" xfId="35199"/>
    <cellStyle name="Note 3 22" xfId="13080"/>
    <cellStyle name="Note 3 22 2" xfId="35855"/>
    <cellStyle name="Note 3 23" xfId="13736"/>
    <cellStyle name="Note 3 23 2" xfId="36511"/>
    <cellStyle name="Note 3 24" xfId="14392"/>
    <cellStyle name="Note 3 24 2" xfId="37167"/>
    <cellStyle name="Note 3 25" xfId="15048"/>
    <cellStyle name="Note 3 25 2" xfId="37823"/>
    <cellStyle name="Note 3 26" xfId="15704"/>
    <cellStyle name="Note 3 26 2" xfId="38479"/>
    <cellStyle name="Note 3 27" xfId="16360"/>
    <cellStyle name="Note 3 27 2" xfId="39135"/>
    <cellStyle name="Note 3 28" xfId="17016"/>
    <cellStyle name="Note 3 28 2" xfId="39791"/>
    <cellStyle name="Note 3 29" xfId="17672"/>
    <cellStyle name="Note 3 29 2" xfId="40447"/>
    <cellStyle name="Note 3 3" xfId="474"/>
    <cellStyle name="Note 3 3 10" xfId="6705"/>
    <cellStyle name="Note 3 3 10 2" xfId="29480"/>
    <cellStyle name="Note 3 3 11" xfId="7361"/>
    <cellStyle name="Note 3 3 11 2" xfId="30136"/>
    <cellStyle name="Note 3 3 12" xfId="8017"/>
    <cellStyle name="Note 3 3 12 2" xfId="30792"/>
    <cellStyle name="Note 3 3 13" xfId="8673"/>
    <cellStyle name="Note 3 3 13 2" xfId="31448"/>
    <cellStyle name="Note 3 3 14" xfId="9329"/>
    <cellStyle name="Note 3 3 14 2" xfId="32104"/>
    <cellStyle name="Note 3 3 15" xfId="9985"/>
    <cellStyle name="Note 3 3 15 2" xfId="32760"/>
    <cellStyle name="Note 3 3 16" xfId="10641"/>
    <cellStyle name="Note 3 3 16 2" xfId="33416"/>
    <cellStyle name="Note 3 3 17" xfId="11297"/>
    <cellStyle name="Note 3 3 17 2" xfId="34072"/>
    <cellStyle name="Note 3 3 18" xfId="11953"/>
    <cellStyle name="Note 3 3 18 2" xfId="34728"/>
    <cellStyle name="Note 3 3 19" xfId="12609"/>
    <cellStyle name="Note 3 3 19 2" xfId="35384"/>
    <cellStyle name="Note 3 3 2" xfId="801"/>
    <cellStyle name="Note 3 3 2 10" xfId="8345"/>
    <cellStyle name="Note 3 3 2 10 2" xfId="31120"/>
    <cellStyle name="Note 3 3 2 11" xfId="9001"/>
    <cellStyle name="Note 3 3 2 11 2" xfId="31776"/>
    <cellStyle name="Note 3 3 2 12" xfId="9657"/>
    <cellStyle name="Note 3 3 2 12 2" xfId="32432"/>
    <cellStyle name="Note 3 3 2 13" xfId="10313"/>
    <cellStyle name="Note 3 3 2 13 2" xfId="33088"/>
    <cellStyle name="Note 3 3 2 14" xfId="10969"/>
    <cellStyle name="Note 3 3 2 14 2" xfId="33744"/>
    <cellStyle name="Note 3 3 2 15" xfId="11625"/>
    <cellStyle name="Note 3 3 2 15 2" xfId="34400"/>
    <cellStyle name="Note 3 3 2 16" xfId="12281"/>
    <cellStyle name="Note 3 3 2 16 2" xfId="35056"/>
    <cellStyle name="Note 3 3 2 17" xfId="12937"/>
    <cellStyle name="Note 3 3 2 17 2" xfId="35712"/>
    <cellStyle name="Note 3 3 2 18" xfId="13593"/>
    <cellStyle name="Note 3 3 2 18 2" xfId="36368"/>
    <cellStyle name="Note 3 3 2 19" xfId="14249"/>
    <cellStyle name="Note 3 3 2 19 2" xfId="37024"/>
    <cellStyle name="Note 3 3 2 2" xfId="1457"/>
    <cellStyle name="Note 3 3 2 2 2" xfId="3753"/>
    <cellStyle name="Note 3 3 2 2 2 2" xfId="26528"/>
    <cellStyle name="Note 3 3 2 2 3" xfId="24232"/>
    <cellStyle name="Note 3 3 2 20" xfId="14905"/>
    <cellStyle name="Note 3 3 2 20 2" xfId="37680"/>
    <cellStyle name="Note 3 3 2 21" xfId="15561"/>
    <cellStyle name="Note 3 3 2 21 2" xfId="38336"/>
    <cellStyle name="Note 3 3 2 22" xfId="16217"/>
    <cellStyle name="Note 3 3 2 22 2" xfId="38992"/>
    <cellStyle name="Note 3 3 2 23" xfId="16873"/>
    <cellStyle name="Note 3 3 2 23 2" xfId="39648"/>
    <cellStyle name="Note 3 3 2 24" xfId="17529"/>
    <cellStyle name="Note 3 3 2 24 2" xfId="40304"/>
    <cellStyle name="Note 3 3 2 25" xfId="18185"/>
    <cellStyle name="Note 3 3 2 25 2" xfId="40960"/>
    <cellStyle name="Note 3 3 2 26" xfId="18841"/>
    <cellStyle name="Note 3 3 2 26 2" xfId="41616"/>
    <cellStyle name="Note 3 3 2 27" xfId="19497"/>
    <cellStyle name="Note 3 3 2 27 2" xfId="42272"/>
    <cellStyle name="Note 3 3 2 28" xfId="20153"/>
    <cellStyle name="Note 3 3 2 28 2" xfId="42928"/>
    <cellStyle name="Note 3 3 2 29" xfId="20809"/>
    <cellStyle name="Note 3 3 2 29 2" xfId="43584"/>
    <cellStyle name="Note 3 3 2 3" xfId="2113"/>
    <cellStyle name="Note 3 3 2 3 2" xfId="4409"/>
    <cellStyle name="Note 3 3 2 3 2 2" xfId="27184"/>
    <cellStyle name="Note 3 3 2 3 3" xfId="24888"/>
    <cellStyle name="Note 3 3 2 30" xfId="21465"/>
    <cellStyle name="Note 3 3 2 30 2" xfId="44240"/>
    <cellStyle name="Note 3 3 2 31" xfId="22121"/>
    <cellStyle name="Note 3 3 2 31 2" xfId="44896"/>
    <cellStyle name="Note 3 3 2 32" xfId="22777"/>
    <cellStyle name="Note 3 3 2 32 2" xfId="45552"/>
    <cellStyle name="Note 3 3 2 33" xfId="23576"/>
    <cellStyle name="Note 3 3 2 4" xfId="5065"/>
    <cellStyle name="Note 3 3 2 4 2" xfId="27840"/>
    <cellStyle name="Note 3 3 2 5" xfId="5721"/>
    <cellStyle name="Note 3 3 2 5 2" xfId="28496"/>
    <cellStyle name="Note 3 3 2 6" xfId="6377"/>
    <cellStyle name="Note 3 3 2 6 2" xfId="29152"/>
    <cellStyle name="Note 3 3 2 7" xfId="3097"/>
    <cellStyle name="Note 3 3 2 7 2" xfId="25872"/>
    <cellStyle name="Note 3 3 2 8" xfId="7033"/>
    <cellStyle name="Note 3 3 2 8 2" xfId="29808"/>
    <cellStyle name="Note 3 3 2 9" xfId="7689"/>
    <cellStyle name="Note 3 3 2 9 2" xfId="30464"/>
    <cellStyle name="Note 3 3 20" xfId="13265"/>
    <cellStyle name="Note 3 3 20 2" xfId="36040"/>
    <cellStyle name="Note 3 3 21" xfId="13921"/>
    <cellStyle name="Note 3 3 21 2" xfId="36696"/>
    <cellStyle name="Note 3 3 22" xfId="14577"/>
    <cellStyle name="Note 3 3 22 2" xfId="37352"/>
    <cellStyle name="Note 3 3 23" xfId="15233"/>
    <cellStyle name="Note 3 3 23 2" xfId="38008"/>
    <cellStyle name="Note 3 3 24" xfId="15889"/>
    <cellStyle name="Note 3 3 24 2" xfId="38664"/>
    <cellStyle name="Note 3 3 25" xfId="16545"/>
    <cellStyle name="Note 3 3 25 2" xfId="39320"/>
    <cellStyle name="Note 3 3 26" xfId="17201"/>
    <cellStyle name="Note 3 3 26 2" xfId="39976"/>
    <cellStyle name="Note 3 3 27" xfId="17857"/>
    <cellStyle name="Note 3 3 27 2" xfId="40632"/>
    <cellStyle name="Note 3 3 28" xfId="18513"/>
    <cellStyle name="Note 3 3 28 2" xfId="41288"/>
    <cellStyle name="Note 3 3 29" xfId="19169"/>
    <cellStyle name="Note 3 3 29 2" xfId="41944"/>
    <cellStyle name="Note 3 3 3" xfId="1129"/>
    <cellStyle name="Note 3 3 3 2" xfId="2769"/>
    <cellStyle name="Note 3 3 3 2 2" xfId="25544"/>
    <cellStyle name="Note 3 3 3 3" xfId="23904"/>
    <cellStyle name="Note 3 3 30" xfId="19825"/>
    <cellStyle name="Note 3 3 30 2" xfId="42600"/>
    <cellStyle name="Note 3 3 31" xfId="20481"/>
    <cellStyle name="Note 3 3 31 2" xfId="43256"/>
    <cellStyle name="Note 3 3 32" xfId="21137"/>
    <cellStyle name="Note 3 3 32 2" xfId="43912"/>
    <cellStyle name="Note 3 3 33" xfId="21793"/>
    <cellStyle name="Note 3 3 33 2" xfId="44568"/>
    <cellStyle name="Note 3 3 34" xfId="22449"/>
    <cellStyle name="Note 3 3 34 2" xfId="45224"/>
    <cellStyle name="Note 3 3 35" xfId="23248"/>
    <cellStyle name="Note 3 3 4" xfId="1785"/>
    <cellStyle name="Note 3 3 4 2" xfId="3425"/>
    <cellStyle name="Note 3 3 4 2 2" xfId="26200"/>
    <cellStyle name="Note 3 3 4 3" xfId="24560"/>
    <cellStyle name="Note 3 3 5" xfId="4081"/>
    <cellStyle name="Note 3 3 5 2" xfId="26856"/>
    <cellStyle name="Note 3 3 6" xfId="4737"/>
    <cellStyle name="Note 3 3 6 2" xfId="27512"/>
    <cellStyle name="Note 3 3 7" xfId="5393"/>
    <cellStyle name="Note 3 3 7 2" xfId="28168"/>
    <cellStyle name="Note 3 3 8" xfId="6049"/>
    <cellStyle name="Note 3 3 8 2" xfId="28824"/>
    <cellStyle name="Note 3 3 9" xfId="2441"/>
    <cellStyle name="Note 3 3 9 2" xfId="25216"/>
    <cellStyle name="Note 3 30" xfId="18328"/>
    <cellStyle name="Note 3 30 2" xfId="41103"/>
    <cellStyle name="Note 3 31" xfId="18984"/>
    <cellStyle name="Note 3 31 2" xfId="41759"/>
    <cellStyle name="Note 3 32" xfId="19640"/>
    <cellStyle name="Note 3 32 2" xfId="42415"/>
    <cellStyle name="Note 3 33" xfId="20296"/>
    <cellStyle name="Note 3 33 2" xfId="43071"/>
    <cellStyle name="Note 3 34" xfId="20952"/>
    <cellStyle name="Note 3 34 2" xfId="43727"/>
    <cellStyle name="Note 3 35" xfId="21608"/>
    <cellStyle name="Note 3 35 2" xfId="44383"/>
    <cellStyle name="Note 3 36" xfId="22264"/>
    <cellStyle name="Note 3 36 2" xfId="45039"/>
    <cellStyle name="Note 3 37" xfId="203"/>
    <cellStyle name="Note 3 38" xfId="22920"/>
    <cellStyle name="Note 3 4" xfId="616"/>
    <cellStyle name="Note 3 4 10" xfId="8160"/>
    <cellStyle name="Note 3 4 10 2" xfId="30935"/>
    <cellStyle name="Note 3 4 11" xfId="8816"/>
    <cellStyle name="Note 3 4 11 2" xfId="31591"/>
    <cellStyle name="Note 3 4 12" xfId="9472"/>
    <cellStyle name="Note 3 4 12 2" xfId="32247"/>
    <cellStyle name="Note 3 4 13" xfId="10128"/>
    <cellStyle name="Note 3 4 13 2" xfId="32903"/>
    <cellStyle name="Note 3 4 14" xfId="10784"/>
    <cellStyle name="Note 3 4 14 2" xfId="33559"/>
    <cellStyle name="Note 3 4 15" xfId="11440"/>
    <cellStyle name="Note 3 4 15 2" xfId="34215"/>
    <cellStyle name="Note 3 4 16" xfId="12096"/>
    <cellStyle name="Note 3 4 16 2" xfId="34871"/>
    <cellStyle name="Note 3 4 17" xfId="12752"/>
    <cellStyle name="Note 3 4 17 2" xfId="35527"/>
    <cellStyle name="Note 3 4 18" xfId="13408"/>
    <cellStyle name="Note 3 4 18 2" xfId="36183"/>
    <cellStyle name="Note 3 4 19" xfId="14064"/>
    <cellStyle name="Note 3 4 19 2" xfId="36839"/>
    <cellStyle name="Note 3 4 2" xfId="1272"/>
    <cellStyle name="Note 3 4 2 2" xfId="3568"/>
    <cellStyle name="Note 3 4 2 2 2" xfId="26343"/>
    <cellStyle name="Note 3 4 2 3" xfId="24047"/>
    <cellStyle name="Note 3 4 20" xfId="14720"/>
    <cellStyle name="Note 3 4 20 2" xfId="37495"/>
    <cellStyle name="Note 3 4 21" xfId="15376"/>
    <cellStyle name="Note 3 4 21 2" xfId="38151"/>
    <cellStyle name="Note 3 4 22" xfId="16032"/>
    <cellStyle name="Note 3 4 22 2" xfId="38807"/>
    <cellStyle name="Note 3 4 23" xfId="16688"/>
    <cellStyle name="Note 3 4 23 2" xfId="39463"/>
    <cellStyle name="Note 3 4 24" xfId="17344"/>
    <cellStyle name="Note 3 4 24 2" xfId="40119"/>
    <cellStyle name="Note 3 4 25" xfId="18000"/>
    <cellStyle name="Note 3 4 25 2" xfId="40775"/>
    <cellStyle name="Note 3 4 26" xfId="18656"/>
    <cellStyle name="Note 3 4 26 2" xfId="41431"/>
    <cellStyle name="Note 3 4 27" xfId="19312"/>
    <cellStyle name="Note 3 4 27 2" xfId="42087"/>
    <cellStyle name="Note 3 4 28" xfId="19968"/>
    <cellStyle name="Note 3 4 28 2" xfId="42743"/>
    <cellStyle name="Note 3 4 29" xfId="20624"/>
    <cellStyle name="Note 3 4 29 2" xfId="43399"/>
    <cellStyle name="Note 3 4 3" xfId="1928"/>
    <cellStyle name="Note 3 4 3 2" xfId="4224"/>
    <cellStyle name="Note 3 4 3 2 2" xfId="26999"/>
    <cellStyle name="Note 3 4 3 3" xfId="24703"/>
    <cellStyle name="Note 3 4 30" xfId="21280"/>
    <cellStyle name="Note 3 4 30 2" xfId="44055"/>
    <cellStyle name="Note 3 4 31" xfId="21936"/>
    <cellStyle name="Note 3 4 31 2" xfId="44711"/>
    <cellStyle name="Note 3 4 32" xfId="22592"/>
    <cellStyle name="Note 3 4 32 2" xfId="45367"/>
    <cellStyle name="Note 3 4 33" xfId="23391"/>
    <cellStyle name="Note 3 4 4" xfId="4880"/>
    <cellStyle name="Note 3 4 4 2" xfId="27655"/>
    <cellStyle name="Note 3 4 5" xfId="5536"/>
    <cellStyle name="Note 3 4 5 2" xfId="28311"/>
    <cellStyle name="Note 3 4 6" xfId="6192"/>
    <cellStyle name="Note 3 4 6 2" xfId="28967"/>
    <cellStyle name="Note 3 4 7" xfId="2912"/>
    <cellStyle name="Note 3 4 7 2" xfId="25687"/>
    <cellStyle name="Note 3 4 8" xfId="6848"/>
    <cellStyle name="Note 3 4 8 2" xfId="29623"/>
    <cellStyle name="Note 3 4 9" xfId="7504"/>
    <cellStyle name="Note 3 4 9 2" xfId="30279"/>
    <cellStyle name="Note 3 5" xfId="289"/>
    <cellStyle name="Note 3 5 2" xfId="2584"/>
    <cellStyle name="Note 3 5 2 2" xfId="25359"/>
    <cellStyle name="Note 3 5 3" xfId="23063"/>
    <cellStyle name="Note 3 6" xfId="944"/>
    <cellStyle name="Note 3 6 2" xfId="3240"/>
    <cellStyle name="Note 3 6 2 2" xfId="26015"/>
    <cellStyle name="Note 3 6 3" xfId="23719"/>
    <cellStyle name="Note 3 7" xfId="1600"/>
    <cellStyle name="Note 3 7 2" xfId="3896"/>
    <cellStyle name="Note 3 7 2 2" xfId="26671"/>
    <cellStyle name="Note 3 7 3" xfId="24375"/>
    <cellStyle name="Note 3 8" xfId="4552"/>
    <cellStyle name="Note 3 8 2" xfId="27327"/>
    <cellStyle name="Note 3 9" xfId="5208"/>
    <cellStyle name="Note 3 9 2" xfId="27983"/>
    <cellStyle name="Note 4" xfId="85"/>
    <cellStyle name="Note 4 10" xfId="5879"/>
    <cellStyle name="Note 4 10 2" xfId="28654"/>
    <cellStyle name="Note 4 11" xfId="2271"/>
    <cellStyle name="Note 4 11 2" xfId="25046"/>
    <cellStyle name="Note 4 12" xfId="6535"/>
    <cellStyle name="Note 4 12 2" xfId="29310"/>
    <cellStyle name="Note 4 13" xfId="7191"/>
    <cellStyle name="Note 4 13 2" xfId="29966"/>
    <cellStyle name="Note 4 14" xfId="7847"/>
    <cellStyle name="Note 4 14 2" xfId="30622"/>
    <cellStyle name="Note 4 15" xfId="8503"/>
    <cellStyle name="Note 4 15 2" xfId="31278"/>
    <cellStyle name="Note 4 16" xfId="9159"/>
    <cellStyle name="Note 4 16 2" xfId="31934"/>
    <cellStyle name="Note 4 17" xfId="9815"/>
    <cellStyle name="Note 4 17 2" xfId="32590"/>
    <cellStyle name="Note 4 18" xfId="10471"/>
    <cellStyle name="Note 4 18 2" xfId="33246"/>
    <cellStyle name="Note 4 19" xfId="11127"/>
    <cellStyle name="Note 4 19 2" xfId="33902"/>
    <cellStyle name="Note 4 2" xfId="158"/>
    <cellStyle name="Note 4 2 10" xfId="2356"/>
    <cellStyle name="Note 4 2 10 2" xfId="25131"/>
    <cellStyle name="Note 4 2 11" xfId="6620"/>
    <cellStyle name="Note 4 2 11 2" xfId="29395"/>
    <cellStyle name="Note 4 2 12" xfId="7276"/>
    <cellStyle name="Note 4 2 12 2" xfId="30051"/>
    <cellStyle name="Note 4 2 13" xfId="7932"/>
    <cellStyle name="Note 4 2 13 2" xfId="30707"/>
    <cellStyle name="Note 4 2 14" xfId="8588"/>
    <cellStyle name="Note 4 2 14 2" xfId="31363"/>
    <cellStyle name="Note 4 2 15" xfId="9244"/>
    <cellStyle name="Note 4 2 15 2" xfId="32019"/>
    <cellStyle name="Note 4 2 16" xfId="9900"/>
    <cellStyle name="Note 4 2 16 2" xfId="32675"/>
    <cellStyle name="Note 4 2 17" xfId="10556"/>
    <cellStyle name="Note 4 2 17 2" xfId="33331"/>
    <cellStyle name="Note 4 2 18" xfId="11212"/>
    <cellStyle name="Note 4 2 18 2" xfId="33987"/>
    <cellStyle name="Note 4 2 19" xfId="11868"/>
    <cellStyle name="Note 4 2 19 2" xfId="34643"/>
    <cellStyle name="Note 4 2 2" xfId="572"/>
    <cellStyle name="Note 4 2 2 10" xfId="6805"/>
    <cellStyle name="Note 4 2 2 10 2" xfId="29580"/>
    <cellStyle name="Note 4 2 2 11" xfId="7461"/>
    <cellStyle name="Note 4 2 2 11 2" xfId="30236"/>
    <cellStyle name="Note 4 2 2 12" xfId="8117"/>
    <cellStyle name="Note 4 2 2 12 2" xfId="30892"/>
    <cellStyle name="Note 4 2 2 13" xfId="8773"/>
    <cellStyle name="Note 4 2 2 13 2" xfId="31548"/>
    <cellStyle name="Note 4 2 2 14" xfId="9429"/>
    <cellStyle name="Note 4 2 2 14 2" xfId="32204"/>
    <cellStyle name="Note 4 2 2 15" xfId="10085"/>
    <cellStyle name="Note 4 2 2 15 2" xfId="32860"/>
    <cellStyle name="Note 4 2 2 16" xfId="10741"/>
    <cellStyle name="Note 4 2 2 16 2" xfId="33516"/>
    <cellStyle name="Note 4 2 2 17" xfId="11397"/>
    <cellStyle name="Note 4 2 2 17 2" xfId="34172"/>
    <cellStyle name="Note 4 2 2 18" xfId="12053"/>
    <cellStyle name="Note 4 2 2 18 2" xfId="34828"/>
    <cellStyle name="Note 4 2 2 19" xfId="12709"/>
    <cellStyle name="Note 4 2 2 19 2" xfId="35484"/>
    <cellStyle name="Note 4 2 2 2" xfId="901"/>
    <cellStyle name="Note 4 2 2 2 10" xfId="8445"/>
    <cellStyle name="Note 4 2 2 2 10 2" xfId="31220"/>
    <cellStyle name="Note 4 2 2 2 11" xfId="9101"/>
    <cellStyle name="Note 4 2 2 2 11 2" xfId="31876"/>
    <cellStyle name="Note 4 2 2 2 12" xfId="9757"/>
    <cellStyle name="Note 4 2 2 2 12 2" xfId="32532"/>
    <cellStyle name="Note 4 2 2 2 13" xfId="10413"/>
    <cellStyle name="Note 4 2 2 2 13 2" xfId="33188"/>
    <cellStyle name="Note 4 2 2 2 14" xfId="11069"/>
    <cellStyle name="Note 4 2 2 2 14 2" xfId="33844"/>
    <cellStyle name="Note 4 2 2 2 15" xfId="11725"/>
    <cellStyle name="Note 4 2 2 2 15 2" xfId="34500"/>
    <cellStyle name="Note 4 2 2 2 16" xfId="12381"/>
    <cellStyle name="Note 4 2 2 2 16 2" xfId="35156"/>
    <cellStyle name="Note 4 2 2 2 17" xfId="13037"/>
    <cellStyle name="Note 4 2 2 2 17 2" xfId="35812"/>
    <cellStyle name="Note 4 2 2 2 18" xfId="13693"/>
    <cellStyle name="Note 4 2 2 2 18 2" xfId="36468"/>
    <cellStyle name="Note 4 2 2 2 19" xfId="14349"/>
    <cellStyle name="Note 4 2 2 2 19 2" xfId="37124"/>
    <cellStyle name="Note 4 2 2 2 2" xfId="1557"/>
    <cellStyle name="Note 4 2 2 2 2 2" xfId="3853"/>
    <cellStyle name="Note 4 2 2 2 2 2 2" xfId="26628"/>
    <cellStyle name="Note 4 2 2 2 2 3" xfId="24332"/>
    <cellStyle name="Note 4 2 2 2 20" xfId="15005"/>
    <cellStyle name="Note 4 2 2 2 20 2" xfId="37780"/>
    <cellStyle name="Note 4 2 2 2 21" xfId="15661"/>
    <cellStyle name="Note 4 2 2 2 21 2" xfId="38436"/>
    <cellStyle name="Note 4 2 2 2 22" xfId="16317"/>
    <cellStyle name="Note 4 2 2 2 22 2" xfId="39092"/>
    <cellStyle name="Note 4 2 2 2 23" xfId="16973"/>
    <cellStyle name="Note 4 2 2 2 23 2" xfId="39748"/>
    <cellStyle name="Note 4 2 2 2 24" xfId="17629"/>
    <cellStyle name="Note 4 2 2 2 24 2" xfId="40404"/>
    <cellStyle name="Note 4 2 2 2 25" xfId="18285"/>
    <cellStyle name="Note 4 2 2 2 25 2" xfId="41060"/>
    <cellStyle name="Note 4 2 2 2 26" xfId="18941"/>
    <cellStyle name="Note 4 2 2 2 26 2" xfId="41716"/>
    <cellStyle name="Note 4 2 2 2 27" xfId="19597"/>
    <cellStyle name="Note 4 2 2 2 27 2" xfId="42372"/>
    <cellStyle name="Note 4 2 2 2 28" xfId="20253"/>
    <cellStyle name="Note 4 2 2 2 28 2" xfId="43028"/>
    <cellStyle name="Note 4 2 2 2 29" xfId="20909"/>
    <cellStyle name="Note 4 2 2 2 29 2" xfId="43684"/>
    <cellStyle name="Note 4 2 2 2 3" xfId="2213"/>
    <cellStyle name="Note 4 2 2 2 3 2" xfId="4509"/>
    <cellStyle name="Note 4 2 2 2 3 2 2" xfId="27284"/>
    <cellStyle name="Note 4 2 2 2 3 3" xfId="24988"/>
    <cellStyle name="Note 4 2 2 2 30" xfId="21565"/>
    <cellStyle name="Note 4 2 2 2 30 2" xfId="44340"/>
    <cellStyle name="Note 4 2 2 2 31" xfId="22221"/>
    <cellStyle name="Note 4 2 2 2 31 2" xfId="44996"/>
    <cellStyle name="Note 4 2 2 2 32" xfId="22877"/>
    <cellStyle name="Note 4 2 2 2 32 2" xfId="45652"/>
    <cellStyle name="Note 4 2 2 2 33" xfId="23676"/>
    <cellStyle name="Note 4 2 2 2 4" xfId="5165"/>
    <cellStyle name="Note 4 2 2 2 4 2" xfId="27940"/>
    <cellStyle name="Note 4 2 2 2 5" xfId="5821"/>
    <cellStyle name="Note 4 2 2 2 5 2" xfId="28596"/>
    <cellStyle name="Note 4 2 2 2 6" xfId="6477"/>
    <cellStyle name="Note 4 2 2 2 6 2" xfId="29252"/>
    <cellStyle name="Note 4 2 2 2 7" xfId="3197"/>
    <cellStyle name="Note 4 2 2 2 7 2" xfId="25972"/>
    <cellStyle name="Note 4 2 2 2 8" xfId="7133"/>
    <cellStyle name="Note 4 2 2 2 8 2" xfId="29908"/>
    <cellStyle name="Note 4 2 2 2 9" xfId="7789"/>
    <cellStyle name="Note 4 2 2 2 9 2" xfId="30564"/>
    <cellStyle name="Note 4 2 2 20" xfId="13365"/>
    <cellStyle name="Note 4 2 2 20 2" xfId="36140"/>
    <cellStyle name="Note 4 2 2 21" xfId="14021"/>
    <cellStyle name="Note 4 2 2 21 2" xfId="36796"/>
    <cellStyle name="Note 4 2 2 22" xfId="14677"/>
    <cellStyle name="Note 4 2 2 22 2" xfId="37452"/>
    <cellStyle name="Note 4 2 2 23" xfId="15333"/>
    <cellStyle name="Note 4 2 2 23 2" xfId="38108"/>
    <cellStyle name="Note 4 2 2 24" xfId="15989"/>
    <cellStyle name="Note 4 2 2 24 2" xfId="38764"/>
    <cellStyle name="Note 4 2 2 25" xfId="16645"/>
    <cellStyle name="Note 4 2 2 25 2" xfId="39420"/>
    <cellStyle name="Note 4 2 2 26" xfId="17301"/>
    <cellStyle name="Note 4 2 2 26 2" xfId="40076"/>
    <cellStyle name="Note 4 2 2 27" xfId="17957"/>
    <cellStyle name="Note 4 2 2 27 2" xfId="40732"/>
    <cellStyle name="Note 4 2 2 28" xfId="18613"/>
    <cellStyle name="Note 4 2 2 28 2" xfId="41388"/>
    <cellStyle name="Note 4 2 2 29" xfId="19269"/>
    <cellStyle name="Note 4 2 2 29 2" xfId="42044"/>
    <cellStyle name="Note 4 2 2 3" xfId="1229"/>
    <cellStyle name="Note 4 2 2 3 2" xfId="2869"/>
    <cellStyle name="Note 4 2 2 3 2 2" xfId="25644"/>
    <cellStyle name="Note 4 2 2 3 3" xfId="24004"/>
    <cellStyle name="Note 4 2 2 30" xfId="19925"/>
    <cellStyle name="Note 4 2 2 30 2" xfId="42700"/>
    <cellStyle name="Note 4 2 2 31" xfId="20581"/>
    <cellStyle name="Note 4 2 2 31 2" xfId="43356"/>
    <cellStyle name="Note 4 2 2 32" xfId="21237"/>
    <cellStyle name="Note 4 2 2 32 2" xfId="44012"/>
    <cellStyle name="Note 4 2 2 33" xfId="21893"/>
    <cellStyle name="Note 4 2 2 33 2" xfId="44668"/>
    <cellStyle name="Note 4 2 2 34" xfId="22549"/>
    <cellStyle name="Note 4 2 2 34 2" xfId="45324"/>
    <cellStyle name="Note 4 2 2 35" xfId="23348"/>
    <cellStyle name="Note 4 2 2 4" xfId="1885"/>
    <cellStyle name="Note 4 2 2 4 2" xfId="3525"/>
    <cellStyle name="Note 4 2 2 4 2 2" xfId="26300"/>
    <cellStyle name="Note 4 2 2 4 3" xfId="24660"/>
    <cellStyle name="Note 4 2 2 5" xfId="4181"/>
    <cellStyle name="Note 4 2 2 5 2" xfId="26956"/>
    <cellStyle name="Note 4 2 2 6" xfId="4837"/>
    <cellStyle name="Note 4 2 2 6 2" xfId="27612"/>
    <cellStyle name="Note 4 2 2 7" xfId="5493"/>
    <cellStyle name="Note 4 2 2 7 2" xfId="28268"/>
    <cellStyle name="Note 4 2 2 8" xfId="6149"/>
    <cellStyle name="Note 4 2 2 8 2" xfId="28924"/>
    <cellStyle name="Note 4 2 2 9" xfId="2541"/>
    <cellStyle name="Note 4 2 2 9 2" xfId="25316"/>
    <cellStyle name="Note 4 2 20" xfId="12524"/>
    <cellStyle name="Note 4 2 20 2" xfId="35299"/>
    <cellStyle name="Note 4 2 21" xfId="13180"/>
    <cellStyle name="Note 4 2 21 2" xfId="35955"/>
    <cellStyle name="Note 4 2 22" xfId="13836"/>
    <cellStyle name="Note 4 2 22 2" xfId="36611"/>
    <cellStyle name="Note 4 2 23" xfId="14492"/>
    <cellStyle name="Note 4 2 23 2" xfId="37267"/>
    <cellStyle name="Note 4 2 24" xfId="15148"/>
    <cellStyle name="Note 4 2 24 2" xfId="37923"/>
    <cellStyle name="Note 4 2 25" xfId="15804"/>
    <cellStyle name="Note 4 2 25 2" xfId="38579"/>
    <cellStyle name="Note 4 2 26" xfId="16460"/>
    <cellStyle name="Note 4 2 26 2" xfId="39235"/>
    <cellStyle name="Note 4 2 27" xfId="17116"/>
    <cellStyle name="Note 4 2 27 2" xfId="39891"/>
    <cellStyle name="Note 4 2 28" xfId="17772"/>
    <cellStyle name="Note 4 2 28 2" xfId="40547"/>
    <cellStyle name="Note 4 2 29" xfId="18428"/>
    <cellStyle name="Note 4 2 29 2" xfId="41203"/>
    <cellStyle name="Note 4 2 3" xfId="716"/>
    <cellStyle name="Note 4 2 3 10" xfId="8260"/>
    <cellStyle name="Note 4 2 3 10 2" xfId="31035"/>
    <cellStyle name="Note 4 2 3 11" xfId="8916"/>
    <cellStyle name="Note 4 2 3 11 2" xfId="31691"/>
    <cellStyle name="Note 4 2 3 12" xfId="9572"/>
    <cellStyle name="Note 4 2 3 12 2" xfId="32347"/>
    <cellStyle name="Note 4 2 3 13" xfId="10228"/>
    <cellStyle name="Note 4 2 3 13 2" xfId="33003"/>
    <cellStyle name="Note 4 2 3 14" xfId="10884"/>
    <cellStyle name="Note 4 2 3 14 2" xfId="33659"/>
    <cellStyle name="Note 4 2 3 15" xfId="11540"/>
    <cellStyle name="Note 4 2 3 15 2" xfId="34315"/>
    <cellStyle name="Note 4 2 3 16" xfId="12196"/>
    <cellStyle name="Note 4 2 3 16 2" xfId="34971"/>
    <cellStyle name="Note 4 2 3 17" xfId="12852"/>
    <cellStyle name="Note 4 2 3 17 2" xfId="35627"/>
    <cellStyle name="Note 4 2 3 18" xfId="13508"/>
    <cellStyle name="Note 4 2 3 18 2" xfId="36283"/>
    <cellStyle name="Note 4 2 3 19" xfId="14164"/>
    <cellStyle name="Note 4 2 3 19 2" xfId="36939"/>
    <cellStyle name="Note 4 2 3 2" xfId="1372"/>
    <cellStyle name="Note 4 2 3 2 2" xfId="3668"/>
    <cellStyle name="Note 4 2 3 2 2 2" xfId="26443"/>
    <cellStyle name="Note 4 2 3 2 3" xfId="24147"/>
    <cellStyle name="Note 4 2 3 20" xfId="14820"/>
    <cellStyle name="Note 4 2 3 20 2" xfId="37595"/>
    <cellStyle name="Note 4 2 3 21" xfId="15476"/>
    <cellStyle name="Note 4 2 3 21 2" xfId="38251"/>
    <cellStyle name="Note 4 2 3 22" xfId="16132"/>
    <cellStyle name="Note 4 2 3 22 2" xfId="38907"/>
    <cellStyle name="Note 4 2 3 23" xfId="16788"/>
    <cellStyle name="Note 4 2 3 23 2" xfId="39563"/>
    <cellStyle name="Note 4 2 3 24" xfId="17444"/>
    <cellStyle name="Note 4 2 3 24 2" xfId="40219"/>
    <cellStyle name="Note 4 2 3 25" xfId="18100"/>
    <cellStyle name="Note 4 2 3 25 2" xfId="40875"/>
    <cellStyle name="Note 4 2 3 26" xfId="18756"/>
    <cellStyle name="Note 4 2 3 26 2" xfId="41531"/>
    <cellStyle name="Note 4 2 3 27" xfId="19412"/>
    <cellStyle name="Note 4 2 3 27 2" xfId="42187"/>
    <cellStyle name="Note 4 2 3 28" xfId="20068"/>
    <cellStyle name="Note 4 2 3 28 2" xfId="42843"/>
    <cellStyle name="Note 4 2 3 29" xfId="20724"/>
    <cellStyle name="Note 4 2 3 29 2" xfId="43499"/>
    <cellStyle name="Note 4 2 3 3" xfId="2028"/>
    <cellStyle name="Note 4 2 3 3 2" xfId="4324"/>
    <cellStyle name="Note 4 2 3 3 2 2" xfId="27099"/>
    <cellStyle name="Note 4 2 3 3 3" xfId="24803"/>
    <cellStyle name="Note 4 2 3 30" xfId="21380"/>
    <cellStyle name="Note 4 2 3 30 2" xfId="44155"/>
    <cellStyle name="Note 4 2 3 31" xfId="22036"/>
    <cellStyle name="Note 4 2 3 31 2" xfId="44811"/>
    <cellStyle name="Note 4 2 3 32" xfId="22692"/>
    <cellStyle name="Note 4 2 3 32 2" xfId="45467"/>
    <cellStyle name="Note 4 2 3 33" xfId="23491"/>
    <cellStyle name="Note 4 2 3 4" xfId="4980"/>
    <cellStyle name="Note 4 2 3 4 2" xfId="27755"/>
    <cellStyle name="Note 4 2 3 5" xfId="5636"/>
    <cellStyle name="Note 4 2 3 5 2" xfId="28411"/>
    <cellStyle name="Note 4 2 3 6" xfId="6292"/>
    <cellStyle name="Note 4 2 3 6 2" xfId="29067"/>
    <cellStyle name="Note 4 2 3 7" xfId="3012"/>
    <cellStyle name="Note 4 2 3 7 2" xfId="25787"/>
    <cellStyle name="Note 4 2 3 8" xfId="6948"/>
    <cellStyle name="Note 4 2 3 8 2" xfId="29723"/>
    <cellStyle name="Note 4 2 3 9" xfId="7604"/>
    <cellStyle name="Note 4 2 3 9 2" xfId="30379"/>
    <cellStyle name="Note 4 2 30" xfId="19084"/>
    <cellStyle name="Note 4 2 30 2" xfId="41859"/>
    <cellStyle name="Note 4 2 31" xfId="19740"/>
    <cellStyle name="Note 4 2 31 2" xfId="42515"/>
    <cellStyle name="Note 4 2 32" xfId="20396"/>
    <cellStyle name="Note 4 2 32 2" xfId="43171"/>
    <cellStyle name="Note 4 2 33" xfId="21052"/>
    <cellStyle name="Note 4 2 33 2" xfId="43827"/>
    <cellStyle name="Note 4 2 34" xfId="21708"/>
    <cellStyle name="Note 4 2 34 2" xfId="44483"/>
    <cellStyle name="Note 4 2 35" xfId="22364"/>
    <cellStyle name="Note 4 2 35 2" xfId="45139"/>
    <cellStyle name="Note 4 2 36" xfId="23020"/>
    <cellStyle name="Note 4 2 4" xfId="389"/>
    <cellStyle name="Note 4 2 4 2" xfId="2684"/>
    <cellStyle name="Note 4 2 4 2 2" xfId="25459"/>
    <cellStyle name="Note 4 2 4 3" xfId="23163"/>
    <cellStyle name="Note 4 2 5" xfId="1044"/>
    <cellStyle name="Note 4 2 5 2" xfId="3340"/>
    <cellStyle name="Note 4 2 5 2 2" xfId="26115"/>
    <cellStyle name="Note 4 2 5 3" xfId="23819"/>
    <cellStyle name="Note 4 2 6" xfId="1700"/>
    <cellStyle name="Note 4 2 6 2" xfId="3996"/>
    <cellStyle name="Note 4 2 6 2 2" xfId="26771"/>
    <cellStyle name="Note 4 2 6 3" xfId="24475"/>
    <cellStyle name="Note 4 2 7" xfId="4652"/>
    <cellStyle name="Note 4 2 7 2" xfId="27427"/>
    <cellStyle name="Note 4 2 8" xfId="5308"/>
    <cellStyle name="Note 4 2 8 2" xfId="28083"/>
    <cellStyle name="Note 4 2 9" xfId="5964"/>
    <cellStyle name="Note 4 2 9 2" xfId="28739"/>
    <cellStyle name="Note 4 20" xfId="11783"/>
    <cellStyle name="Note 4 20 2" xfId="34558"/>
    <cellStyle name="Note 4 21" xfId="12439"/>
    <cellStyle name="Note 4 21 2" xfId="35214"/>
    <cellStyle name="Note 4 22" xfId="13095"/>
    <cellStyle name="Note 4 22 2" xfId="35870"/>
    <cellStyle name="Note 4 23" xfId="13751"/>
    <cellStyle name="Note 4 23 2" xfId="36526"/>
    <cellStyle name="Note 4 24" xfId="14407"/>
    <cellStyle name="Note 4 24 2" xfId="37182"/>
    <cellStyle name="Note 4 25" xfId="15063"/>
    <cellStyle name="Note 4 25 2" xfId="37838"/>
    <cellStyle name="Note 4 26" xfId="15719"/>
    <cellStyle name="Note 4 26 2" xfId="38494"/>
    <cellStyle name="Note 4 27" xfId="16375"/>
    <cellStyle name="Note 4 27 2" xfId="39150"/>
    <cellStyle name="Note 4 28" xfId="17031"/>
    <cellStyle name="Note 4 28 2" xfId="39806"/>
    <cellStyle name="Note 4 29" xfId="17687"/>
    <cellStyle name="Note 4 29 2" xfId="40462"/>
    <cellStyle name="Note 4 3" xfId="488"/>
    <cellStyle name="Note 4 3 10" xfId="6720"/>
    <cellStyle name="Note 4 3 10 2" xfId="29495"/>
    <cellStyle name="Note 4 3 11" xfId="7376"/>
    <cellStyle name="Note 4 3 11 2" xfId="30151"/>
    <cellStyle name="Note 4 3 12" xfId="8032"/>
    <cellStyle name="Note 4 3 12 2" xfId="30807"/>
    <cellStyle name="Note 4 3 13" xfId="8688"/>
    <cellStyle name="Note 4 3 13 2" xfId="31463"/>
    <cellStyle name="Note 4 3 14" xfId="9344"/>
    <cellStyle name="Note 4 3 14 2" xfId="32119"/>
    <cellStyle name="Note 4 3 15" xfId="10000"/>
    <cellStyle name="Note 4 3 15 2" xfId="32775"/>
    <cellStyle name="Note 4 3 16" xfId="10656"/>
    <cellStyle name="Note 4 3 16 2" xfId="33431"/>
    <cellStyle name="Note 4 3 17" xfId="11312"/>
    <cellStyle name="Note 4 3 17 2" xfId="34087"/>
    <cellStyle name="Note 4 3 18" xfId="11968"/>
    <cellStyle name="Note 4 3 18 2" xfId="34743"/>
    <cellStyle name="Note 4 3 19" xfId="12624"/>
    <cellStyle name="Note 4 3 19 2" xfId="35399"/>
    <cellStyle name="Note 4 3 2" xfId="816"/>
    <cellStyle name="Note 4 3 2 10" xfId="8360"/>
    <cellStyle name="Note 4 3 2 10 2" xfId="31135"/>
    <cellStyle name="Note 4 3 2 11" xfId="9016"/>
    <cellStyle name="Note 4 3 2 11 2" xfId="31791"/>
    <cellStyle name="Note 4 3 2 12" xfId="9672"/>
    <cellStyle name="Note 4 3 2 12 2" xfId="32447"/>
    <cellStyle name="Note 4 3 2 13" xfId="10328"/>
    <cellStyle name="Note 4 3 2 13 2" xfId="33103"/>
    <cellStyle name="Note 4 3 2 14" xfId="10984"/>
    <cellStyle name="Note 4 3 2 14 2" xfId="33759"/>
    <cellStyle name="Note 4 3 2 15" xfId="11640"/>
    <cellStyle name="Note 4 3 2 15 2" xfId="34415"/>
    <cellStyle name="Note 4 3 2 16" xfId="12296"/>
    <cellStyle name="Note 4 3 2 16 2" xfId="35071"/>
    <cellStyle name="Note 4 3 2 17" xfId="12952"/>
    <cellStyle name="Note 4 3 2 17 2" xfId="35727"/>
    <cellStyle name="Note 4 3 2 18" xfId="13608"/>
    <cellStyle name="Note 4 3 2 18 2" xfId="36383"/>
    <cellStyle name="Note 4 3 2 19" xfId="14264"/>
    <cellStyle name="Note 4 3 2 19 2" xfId="37039"/>
    <cellStyle name="Note 4 3 2 2" xfId="1472"/>
    <cellStyle name="Note 4 3 2 2 2" xfId="3768"/>
    <cellStyle name="Note 4 3 2 2 2 2" xfId="26543"/>
    <cellStyle name="Note 4 3 2 2 3" xfId="24247"/>
    <cellStyle name="Note 4 3 2 20" xfId="14920"/>
    <cellStyle name="Note 4 3 2 20 2" xfId="37695"/>
    <cellStyle name="Note 4 3 2 21" xfId="15576"/>
    <cellStyle name="Note 4 3 2 21 2" xfId="38351"/>
    <cellStyle name="Note 4 3 2 22" xfId="16232"/>
    <cellStyle name="Note 4 3 2 22 2" xfId="39007"/>
    <cellStyle name="Note 4 3 2 23" xfId="16888"/>
    <cellStyle name="Note 4 3 2 23 2" xfId="39663"/>
    <cellStyle name="Note 4 3 2 24" xfId="17544"/>
    <cellStyle name="Note 4 3 2 24 2" xfId="40319"/>
    <cellStyle name="Note 4 3 2 25" xfId="18200"/>
    <cellStyle name="Note 4 3 2 25 2" xfId="40975"/>
    <cellStyle name="Note 4 3 2 26" xfId="18856"/>
    <cellStyle name="Note 4 3 2 26 2" xfId="41631"/>
    <cellStyle name="Note 4 3 2 27" xfId="19512"/>
    <cellStyle name="Note 4 3 2 27 2" xfId="42287"/>
    <cellStyle name="Note 4 3 2 28" xfId="20168"/>
    <cellStyle name="Note 4 3 2 28 2" xfId="42943"/>
    <cellStyle name="Note 4 3 2 29" xfId="20824"/>
    <cellStyle name="Note 4 3 2 29 2" xfId="43599"/>
    <cellStyle name="Note 4 3 2 3" xfId="2128"/>
    <cellStyle name="Note 4 3 2 3 2" xfId="4424"/>
    <cellStyle name="Note 4 3 2 3 2 2" xfId="27199"/>
    <cellStyle name="Note 4 3 2 3 3" xfId="24903"/>
    <cellStyle name="Note 4 3 2 30" xfId="21480"/>
    <cellStyle name="Note 4 3 2 30 2" xfId="44255"/>
    <cellStyle name="Note 4 3 2 31" xfId="22136"/>
    <cellStyle name="Note 4 3 2 31 2" xfId="44911"/>
    <cellStyle name="Note 4 3 2 32" xfId="22792"/>
    <cellStyle name="Note 4 3 2 32 2" xfId="45567"/>
    <cellStyle name="Note 4 3 2 33" xfId="23591"/>
    <cellStyle name="Note 4 3 2 4" xfId="5080"/>
    <cellStyle name="Note 4 3 2 4 2" xfId="27855"/>
    <cellStyle name="Note 4 3 2 5" xfId="5736"/>
    <cellStyle name="Note 4 3 2 5 2" xfId="28511"/>
    <cellStyle name="Note 4 3 2 6" xfId="6392"/>
    <cellStyle name="Note 4 3 2 6 2" xfId="29167"/>
    <cellStyle name="Note 4 3 2 7" xfId="3112"/>
    <cellStyle name="Note 4 3 2 7 2" xfId="25887"/>
    <cellStyle name="Note 4 3 2 8" xfId="7048"/>
    <cellStyle name="Note 4 3 2 8 2" xfId="29823"/>
    <cellStyle name="Note 4 3 2 9" xfId="7704"/>
    <cellStyle name="Note 4 3 2 9 2" xfId="30479"/>
    <cellStyle name="Note 4 3 20" xfId="13280"/>
    <cellStyle name="Note 4 3 20 2" xfId="36055"/>
    <cellStyle name="Note 4 3 21" xfId="13936"/>
    <cellStyle name="Note 4 3 21 2" xfId="36711"/>
    <cellStyle name="Note 4 3 22" xfId="14592"/>
    <cellStyle name="Note 4 3 22 2" xfId="37367"/>
    <cellStyle name="Note 4 3 23" xfId="15248"/>
    <cellStyle name="Note 4 3 23 2" xfId="38023"/>
    <cellStyle name="Note 4 3 24" xfId="15904"/>
    <cellStyle name="Note 4 3 24 2" xfId="38679"/>
    <cellStyle name="Note 4 3 25" xfId="16560"/>
    <cellStyle name="Note 4 3 25 2" xfId="39335"/>
    <cellStyle name="Note 4 3 26" xfId="17216"/>
    <cellStyle name="Note 4 3 26 2" xfId="39991"/>
    <cellStyle name="Note 4 3 27" xfId="17872"/>
    <cellStyle name="Note 4 3 27 2" xfId="40647"/>
    <cellStyle name="Note 4 3 28" xfId="18528"/>
    <cellStyle name="Note 4 3 28 2" xfId="41303"/>
    <cellStyle name="Note 4 3 29" xfId="19184"/>
    <cellStyle name="Note 4 3 29 2" xfId="41959"/>
    <cellStyle name="Note 4 3 3" xfId="1144"/>
    <cellStyle name="Note 4 3 3 2" xfId="2784"/>
    <cellStyle name="Note 4 3 3 2 2" xfId="25559"/>
    <cellStyle name="Note 4 3 3 3" xfId="23919"/>
    <cellStyle name="Note 4 3 30" xfId="19840"/>
    <cellStyle name="Note 4 3 30 2" xfId="42615"/>
    <cellStyle name="Note 4 3 31" xfId="20496"/>
    <cellStyle name="Note 4 3 31 2" xfId="43271"/>
    <cellStyle name="Note 4 3 32" xfId="21152"/>
    <cellStyle name="Note 4 3 32 2" xfId="43927"/>
    <cellStyle name="Note 4 3 33" xfId="21808"/>
    <cellStyle name="Note 4 3 33 2" xfId="44583"/>
    <cellStyle name="Note 4 3 34" xfId="22464"/>
    <cellStyle name="Note 4 3 34 2" xfId="45239"/>
    <cellStyle name="Note 4 3 35" xfId="23263"/>
    <cellStyle name="Note 4 3 4" xfId="1800"/>
    <cellStyle name="Note 4 3 4 2" xfId="3440"/>
    <cellStyle name="Note 4 3 4 2 2" xfId="26215"/>
    <cellStyle name="Note 4 3 4 3" xfId="24575"/>
    <cellStyle name="Note 4 3 5" xfId="4096"/>
    <cellStyle name="Note 4 3 5 2" xfId="26871"/>
    <cellStyle name="Note 4 3 6" xfId="4752"/>
    <cellStyle name="Note 4 3 6 2" xfId="27527"/>
    <cellStyle name="Note 4 3 7" xfId="5408"/>
    <cellStyle name="Note 4 3 7 2" xfId="28183"/>
    <cellStyle name="Note 4 3 8" xfId="6064"/>
    <cellStyle name="Note 4 3 8 2" xfId="28839"/>
    <cellStyle name="Note 4 3 9" xfId="2456"/>
    <cellStyle name="Note 4 3 9 2" xfId="25231"/>
    <cellStyle name="Note 4 30" xfId="18343"/>
    <cellStyle name="Note 4 30 2" xfId="41118"/>
    <cellStyle name="Note 4 31" xfId="18999"/>
    <cellStyle name="Note 4 31 2" xfId="41774"/>
    <cellStyle name="Note 4 32" xfId="19655"/>
    <cellStyle name="Note 4 32 2" xfId="42430"/>
    <cellStyle name="Note 4 33" xfId="20311"/>
    <cellStyle name="Note 4 33 2" xfId="43086"/>
    <cellStyle name="Note 4 34" xfId="20967"/>
    <cellStyle name="Note 4 34 2" xfId="43742"/>
    <cellStyle name="Note 4 35" xfId="21623"/>
    <cellStyle name="Note 4 35 2" xfId="44398"/>
    <cellStyle name="Note 4 36" xfId="22279"/>
    <cellStyle name="Note 4 36 2" xfId="45054"/>
    <cellStyle name="Note 4 37" xfId="218"/>
    <cellStyle name="Note 4 38" xfId="22935"/>
    <cellStyle name="Note 4 4" xfId="631"/>
    <cellStyle name="Note 4 4 10" xfId="8175"/>
    <cellStyle name="Note 4 4 10 2" xfId="30950"/>
    <cellStyle name="Note 4 4 11" xfId="8831"/>
    <cellStyle name="Note 4 4 11 2" xfId="31606"/>
    <cellStyle name="Note 4 4 12" xfId="9487"/>
    <cellStyle name="Note 4 4 12 2" xfId="32262"/>
    <cellStyle name="Note 4 4 13" xfId="10143"/>
    <cellStyle name="Note 4 4 13 2" xfId="32918"/>
    <cellStyle name="Note 4 4 14" xfId="10799"/>
    <cellStyle name="Note 4 4 14 2" xfId="33574"/>
    <cellStyle name="Note 4 4 15" xfId="11455"/>
    <cellStyle name="Note 4 4 15 2" xfId="34230"/>
    <cellStyle name="Note 4 4 16" xfId="12111"/>
    <cellStyle name="Note 4 4 16 2" xfId="34886"/>
    <cellStyle name="Note 4 4 17" xfId="12767"/>
    <cellStyle name="Note 4 4 17 2" xfId="35542"/>
    <cellStyle name="Note 4 4 18" xfId="13423"/>
    <cellStyle name="Note 4 4 18 2" xfId="36198"/>
    <cellStyle name="Note 4 4 19" xfId="14079"/>
    <cellStyle name="Note 4 4 19 2" xfId="36854"/>
    <cellStyle name="Note 4 4 2" xfId="1287"/>
    <cellStyle name="Note 4 4 2 2" xfId="3583"/>
    <cellStyle name="Note 4 4 2 2 2" xfId="26358"/>
    <cellStyle name="Note 4 4 2 3" xfId="24062"/>
    <cellStyle name="Note 4 4 20" xfId="14735"/>
    <cellStyle name="Note 4 4 20 2" xfId="37510"/>
    <cellStyle name="Note 4 4 21" xfId="15391"/>
    <cellStyle name="Note 4 4 21 2" xfId="38166"/>
    <cellStyle name="Note 4 4 22" xfId="16047"/>
    <cellStyle name="Note 4 4 22 2" xfId="38822"/>
    <cellStyle name="Note 4 4 23" xfId="16703"/>
    <cellStyle name="Note 4 4 23 2" xfId="39478"/>
    <cellStyle name="Note 4 4 24" xfId="17359"/>
    <cellStyle name="Note 4 4 24 2" xfId="40134"/>
    <cellStyle name="Note 4 4 25" xfId="18015"/>
    <cellStyle name="Note 4 4 25 2" xfId="40790"/>
    <cellStyle name="Note 4 4 26" xfId="18671"/>
    <cellStyle name="Note 4 4 26 2" xfId="41446"/>
    <cellStyle name="Note 4 4 27" xfId="19327"/>
    <cellStyle name="Note 4 4 27 2" xfId="42102"/>
    <cellStyle name="Note 4 4 28" xfId="19983"/>
    <cellStyle name="Note 4 4 28 2" xfId="42758"/>
    <cellStyle name="Note 4 4 29" xfId="20639"/>
    <cellStyle name="Note 4 4 29 2" xfId="43414"/>
    <cellStyle name="Note 4 4 3" xfId="1943"/>
    <cellStyle name="Note 4 4 3 2" xfId="4239"/>
    <cellStyle name="Note 4 4 3 2 2" xfId="27014"/>
    <cellStyle name="Note 4 4 3 3" xfId="24718"/>
    <cellStyle name="Note 4 4 30" xfId="21295"/>
    <cellStyle name="Note 4 4 30 2" xfId="44070"/>
    <cellStyle name="Note 4 4 31" xfId="21951"/>
    <cellStyle name="Note 4 4 31 2" xfId="44726"/>
    <cellStyle name="Note 4 4 32" xfId="22607"/>
    <cellStyle name="Note 4 4 32 2" xfId="45382"/>
    <cellStyle name="Note 4 4 33" xfId="23406"/>
    <cellStyle name="Note 4 4 4" xfId="4895"/>
    <cellStyle name="Note 4 4 4 2" xfId="27670"/>
    <cellStyle name="Note 4 4 5" xfId="5551"/>
    <cellStyle name="Note 4 4 5 2" xfId="28326"/>
    <cellStyle name="Note 4 4 6" xfId="6207"/>
    <cellStyle name="Note 4 4 6 2" xfId="28982"/>
    <cellStyle name="Note 4 4 7" xfId="2927"/>
    <cellStyle name="Note 4 4 7 2" xfId="25702"/>
    <cellStyle name="Note 4 4 8" xfId="6863"/>
    <cellStyle name="Note 4 4 8 2" xfId="29638"/>
    <cellStyle name="Note 4 4 9" xfId="7519"/>
    <cellStyle name="Note 4 4 9 2" xfId="30294"/>
    <cellStyle name="Note 4 5" xfId="304"/>
    <cellStyle name="Note 4 5 2" xfId="2599"/>
    <cellStyle name="Note 4 5 2 2" xfId="25374"/>
    <cellStyle name="Note 4 5 3" xfId="23078"/>
    <cellStyle name="Note 4 6" xfId="959"/>
    <cellStyle name="Note 4 6 2" xfId="3255"/>
    <cellStyle name="Note 4 6 2 2" xfId="26030"/>
    <cellStyle name="Note 4 6 3" xfId="23734"/>
    <cellStyle name="Note 4 7" xfId="1615"/>
    <cellStyle name="Note 4 7 2" xfId="3911"/>
    <cellStyle name="Note 4 7 2 2" xfId="26686"/>
    <cellStyle name="Note 4 7 3" xfId="24390"/>
    <cellStyle name="Note 4 8" xfId="4567"/>
    <cellStyle name="Note 4 8 2" xfId="27342"/>
    <cellStyle name="Note 4 9" xfId="5223"/>
    <cellStyle name="Note 4 9 2" xfId="27998"/>
    <cellStyle name="Note 5" xfId="87"/>
    <cellStyle name="Note 5 10" xfId="5893"/>
    <cellStyle name="Note 5 10 2" xfId="28668"/>
    <cellStyle name="Note 5 11" xfId="2285"/>
    <cellStyle name="Note 5 11 2" xfId="25060"/>
    <cellStyle name="Note 5 12" xfId="6549"/>
    <cellStyle name="Note 5 12 2" xfId="29324"/>
    <cellStyle name="Note 5 13" xfId="7205"/>
    <cellStyle name="Note 5 13 2" xfId="29980"/>
    <cellStyle name="Note 5 14" xfId="7861"/>
    <cellStyle name="Note 5 14 2" xfId="30636"/>
    <cellStyle name="Note 5 15" xfId="8517"/>
    <cellStyle name="Note 5 15 2" xfId="31292"/>
    <cellStyle name="Note 5 16" xfId="9173"/>
    <cellStyle name="Note 5 16 2" xfId="31948"/>
    <cellStyle name="Note 5 17" xfId="9829"/>
    <cellStyle name="Note 5 17 2" xfId="32604"/>
    <cellStyle name="Note 5 18" xfId="10485"/>
    <cellStyle name="Note 5 18 2" xfId="33260"/>
    <cellStyle name="Note 5 19" xfId="11141"/>
    <cellStyle name="Note 5 19 2" xfId="33916"/>
    <cellStyle name="Note 5 2" xfId="172"/>
    <cellStyle name="Note 5 2 10" xfId="2370"/>
    <cellStyle name="Note 5 2 10 2" xfId="25145"/>
    <cellStyle name="Note 5 2 11" xfId="6634"/>
    <cellStyle name="Note 5 2 11 2" xfId="29409"/>
    <cellStyle name="Note 5 2 12" xfId="7290"/>
    <cellStyle name="Note 5 2 12 2" xfId="30065"/>
    <cellStyle name="Note 5 2 13" xfId="7946"/>
    <cellStyle name="Note 5 2 13 2" xfId="30721"/>
    <cellStyle name="Note 5 2 14" xfId="8602"/>
    <cellStyle name="Note 5 2 14 2" xfId="31377"/>
    <cellStyle name="Note 5 2 15" xfId="9258"/>
    <cellStyle name="Note 5 2 15 2" xfId="32033"/>
    <cellStyle name="Note 5 2 16" xfId="9914"/>
    <cellStyle name="Note 5 2 16 2" xfId="32689"/>
    <cellStyle name="Note 5 2 17" xfId="10570"/>
    <cellStyle name="Note 5 2 17 2" xfId="33345"/>
    <cellStyle name="Note 5 2 18" xfId="11226"/>
    <cellStyle name="Note 5 2 18 2" xfId="34001"/>
    <cellStyle name="Note 5 2 19" xfId="11882"/>
    <cellStyle name="Note 5 2 19 2" xfId="34657"/>
    <cellStyle name="Note 5 2 2" xfId="586"/>
    <cellStyle name="Note 5 2 2 10" xfId="6819"/>
    <cellStyle name="Note 5 2 2 10 2" xfId="29594"/>
    <cellStyle name="Note 5 2 2 11" xfId="7475"/>
    <cellStyle name="Note 5 2 2 11 2" xfId="30250"/>
    <cellStyle name="Note 5 2 2 12" xfId="8131"/>
    <cellStyle name="Note 5 2 2 12 2" xfId="30906"/>
    <cellStyle name="Note 5 2 2 13" xfId="8787"/>
    <cellStyle name="Note 5 2 2 13 2" xfId="31562"/>
    <cellStyle name="Note 5 2 2 14" xfId="9443"/>
    <cellStyle name="Note 5 2 2 14 2" xfId="32218"/>
    <cellStyle name="Note 5 2 2 15" xfId="10099"/>
    <cellStyle name="Note 5 2 2 15 2" xfId="32874"/>
    <cellStyle name="Note 5 2 2 16" xfId="10755"/>
    <cellStyle name="Note 5 2 2 16 2" xfId="33530"/>
    <cellStyle name="Note 5 2 2 17" xfId="11411"/>
    <cellStyle name="Note 5 2 2 17 2" xfId="34186"/>
    <cellStyle name="Note 5 2 2 18" xfId="12067"/>
    <cellStyle name="Note 5 2 2 18 2" xfId="34842"/>
    <cellStyle name="Note 5 2 2 19" xfId="12723"/>
    <cellStyle name="Note 5 2 2 19 2" xfId="35498"/>
    <cellStyle name="Note 5 2 2 2" xfId="915"/>
    <cellStyle name="Note 5 2 2 2 10" xfId="8459"/>
    <cellStyle name="Note 5 2 2 2 10 2" xfId="31234"/>
    <cellStyle name="Note 5 2 2 2 11" xfId="9115"/>
    <cellStyle name="Note 5 2 2 2 11 2" xfId="31890"/>
    <cellStyle name="Note 5 2 2 2 12" xfId="9771"/>
    <cellStyle name="Note 5 2 2 2 12 2" xfId="32546"/>
    <cellStyle name="Note 5 2 2 2 13" xfId="10427"/>
    <cellStyle name="Note 5 2 2 2 13 2" xfId="33202"/>
    <cellStyle name="Note 5 2 2 2 14" xfId="11083"/>
    <cellStyle name="Note 5 2 2 2 14 2" xfId="33858"/>
    <cellStyle name="Note 5 2 2 2 15" xfId="11739"/>
    <cellStyle name="Note 5 2 2 2 15 2" xfId="34514"/>
    <cellStyle name="Note 5 2 2 2 16" xfId="12395"/>
    <cellStyle name="Note 5 2 2 2 16 2" xfId="35170"/>
    <cellStyle name="Note 5 2 2 2 17" xfId="13051"/>
    <cellStyle name="Note 5 2 2 2 17 2" xfId="35826"/>
    <cellStyle name="Note 5 2 2 2 18" xfId="13707"/>
    <cellStyle name="Note 5 2 2 2 18 2" xfId="36482"/>
    <cellStyle name="Note 5 2 2 2 19" xfId="14363"/>
    <cellStyle name="Note 5 2 2 2 19 2" xfId="37138"/>
    <cellStyle name="Note 5 2 2 2 2" xfId="1571"/>
    <cellStyle name="Note 5 2 2 2 2 2" xfId="3867"/>
    <cellStyle name="Note 5 2 2 2 2 2 2" xfId="26642"/>
    <cellStyle name="Note 5 2 2 2 2 3" xfId="24346"/>
    <cellStyle name="Note 5 2 2 2 20" xfId="15019"/>
    <cellStyle name="Note 5 2 2 2 20 2" xfId="37794"/>
    <cellStyle name="Note 5 2 2 2 21" xfId="15675"/>
    <cellStyle name="Note 5 2 2 2 21 2" xfId="38450"/>
    <cellStyle name="Note 5 2 2 2 22" xfId="16331"/>
    <cellStyle name="Note 5 2 2 2 22 2" xfId="39106"/>
    <cellStyle name="Note 5 2 2 2 23" xfId="16987"/>
    <cellStyle name="Note 5 2 2 2 23 2" xfId="39762"/>
    <cellStyle name="Note 5 2 2 2 24" xfId="17643"/>
    <cellStyle name="Note 5 2 2 2 24 2" xfId="40418"/>
    <cellStyle name="Note 5 2 2 2 25" xfId="18299"/>
    <cellStyle name="Note 5 2 2 2 25 2" xfId="41074"/>
    <cellStyle name="Note 5 2 2 2 26" xfId="18955"/>
    <cellStyle name="Note 5 2 2 2 26 2" xfId="41730"/>
    <cellStyle name="Note 5 2 2 2 27" xfId="19611"/>
    <cellStyle name="Note 5 2 2 2 27 2" xfId="42386"/>
    <cellStyle name="Note 5 2 2 2 28" xfId="20267"/>
    <cellStyle name="Note 5 2 2 2 28 2" xfId="43042"/>
    <cellStyle name="Note 5 2 2 2 29" xfId="20923"/>
    <cellStyle name="Note 5 2 2 2 29 2" xfId="43698"/>
    <cellStyle name="Note 5 2 2 2 3" xfId="2227"/>
    <cellStyle name="Note 5 2 2 2 3 2" xfId="4523"/>
    <cellStyle name="Note 5 2 2 2 3 2 2" xfId="27298"/>
    <cellStyle name="Note 5 2 2 2 3 3" xfId="25002"/>
    <cellStyle name="Note 5 2 2 2 30" xfId="21579"/>
    <cellStyle name="Note 5 2 2 2 30 2" xfId="44354"/>
    <cellStyle name="Note 5 2 2 2 31" xfId="22235"/>
    <cellStyle name="Note 5 2 2 2 31 2" xfId="45010"/>
    <cellStyle name="Note 5 2 2 2 32" xfId="22891"/>
    <cellStyle name="Note 5 2 2 2 32 2" xfId="45666"/>
    <cellStyle name="Note 5 2 2 2 33" xfId="23690"/>
    <cellStyle name="Note 5 2 2 2 4" xfId="5179"/>
    <cellStyle name="Note 5 2 2 2 4 2" xfId="27954"/>
    <cellStyle name="Note 5 2 2 2 5" xfId="5835"/>
    <cellStyle name="Note 5 2 2 2 5 2" xfId="28610"/>
    <cellStyle name="Note 5 2 2 2 6" xfId="6491"/>
    <cellStyle name="Note 5 2 2 2 6 2" xfId="29266"/>
    <cellStyle name="Note 5 2 2 2 7" xfId="3211"/>
    <cellStyle name="Note 5 2 2 2 7 2" xfId="25986"/>
    <cellStyle name="Note 5 2 2 2 8" xfId="7147"/>
    <cellStyle name="Note 5 2 2 2 8 2" xfId="29922"/>
    <cellStyle name="Note 5 2 2 2 9" xfId="7803"/>
    <cellStyle name="Note 5 2 2 2 9 2" xfId="30578"/>
    <cellStyle name="Note 5 2 2 20" xfId="13379"/>
    <cellStyle name="Note 5 2 2 20 2" xfId="36154"/>
    <cellStyle name="Note 5 2 2 21" xfId="14035"/>
    <cellStyle name="Note 5 2 2 21 2" xfId="36810"/>
    <cellStyle name="Note 5 2 2 22" xfId="14691"/>
    <cellStyle name="Note 5 2 2 22 2" xfId="37466"/>
    <cellStyle name="Note 5 2 2 23" xfId="15347"/>
    <cellStyle name="Note 5 2 2 23 2" xfId="38122"/>
    <cellStyle name="Note 5 2 2 24" xfId="16003"/>
    <cellStyle name="Note 5 2 2 24 2" xfId="38778"/>
    <cellStyle name="Note 5 2 2 25" xfId="16659"/>
    <cellStyle name="Note 5 2 2 25 2" xfId="39434"/>
    <cellStyle name="Note 5 2 2 26" xfId="17315"/>
    <cellStyle name="Note 5 2 2 26 2" xfId="40090"/>
    <cellStyle name="Note 5 2 2 27" xfId="17971"/>
    <cellStyle name="Note 5 2 2 27 2" xfId="40746"/>
    <cellStyle name="Note 5 2 2 28" xfId="18627"/>
    <cellStyle name="Note 5 2 2 28 2" xfId="41402"/>
    <cellStyle name="Note 5 2 2 29" xfId="19283"/>
    <cellStyle name="Note 5 2 2 29 2" xfId="42058"/>
    <cellStyle name="Note 5 2 2 3" xfId="1243"/>
    <cellStyle name="Note 5 2 2 3 2" xfId="2883"/>
    <cellStyle name="Note 5 2 2 3 2 2" xfId="25658"/>
    <cellStyle name="Note 5 2 2 3 3" xfId="24018"/>
    <cellStyle name="Note 5 2 2 30" xfId="19939"/>
    <cellStyle name="Note 5 2 2 30 2" xfId="42714"/>
    <cellStyle name="Note 5 2 2 31" xfId="20595"/>
    <cellStyle name="Note 5 2 2 31 2" xfId="43370"/>
    <cellStyle name="Note 5 2 2 32" xfId="21251"/>
    <cellStyle name="Note 5 2 2 32 2" xfId="44026"/>
    <cellStyle name="Note 5 2 2 33" xfId="21907"/>
    <cellStyle name="Note 5 2 2 33 2" xfId="44682"/>
    <cellStyle name="Note 5 2 2 34" xfId="22563"/>
    <cellStyle name="Note 5 2 2 34 2" xfId="45338"/>
    <cellStyle name="Note 5 2 2 35" xfId="23362"/>
    <cellStyle name="Note 5 2 2 4" xfId="1899"/>
    <cellStyle name="Note 5 2 2 4 2" xfId="3539"/>
    <cellStyle name="Note 5 2 2 4 2 2" xfId="26314"/>
    <cellStyle name="Note 5 2 2 4 3" xfId="24674"/>
    <cellStyle name="Note 5 2 2 5" xfId="4195"/>
    <cellStyle name="Note 5 2 2 5 2" xfId="26970"/>
    <cellStyle name="Note 5 2 2 6" xfId="4851"/>
    <cellStyle name="Note 5 2 2 6 2" xfId="27626"/>
    <cellStyle name="Note 5 2 2 7" xfId="5507"/>
    <cellStyle name="Note 5 2 2 7 2" xfId="28282"/>
    <cellStyle name="Note 5 2 2 8" xfId="6163"/>
    <cellStyle name="Note 5 2 2 8 2" xfId="28938"/>
    <cellStyle name="Note 5 2 2 9" xfId="2555"/>
    <cellStyle name="Note 5 2 2 9 2" xfId="25330"/>
    <cellStyle name="Note 5 2 20" xfId="12538"/>
    <cellStyle name="Note 5 2 20 2" xfId="35313"/>
    <cellStyle name="Note 5 2 21" xfId="13194"/>
    <cellStyle name="Note 5 2 21 2" xfId="35969"/>
    <cellStyle name="Note 5 2 22" xfId="13850"/>
    <cellStyle name="Note 5 2 22 2" xfId="36625"/>
    <cellStyle name="Note 5 2 23" xfId="14506"/>
    <cellStyle name="Note 5 2 23 2" xfId="37281"/>
    <cellStyle name="Note 5 2 24" xfId="15162"/>
    <cellStyle name="Note 5 2 24 2" xfId="37937"/>
    <cellStyle name="Note 5 2 25" xfId="15818"/>
    <cellStyle name="Note 5 2 25 2" xfId="38593"/>
    <cellStyle name="Note 5 2 26" xfId="16474"/>
    <cellStyle name="Note 5 2 26 2" xfId="39249"/>
    <cellStyle name="Note 5 2 27" xfId="17130"/>
    <cellStyle name="Note 5 2 27 2" xfId="39905"/>
    <cellStyle name="Note 5 2 28" xfId="17786"/>
    <cellStyle name="Note 5 2 28 2" xfId="40561"/>
    <cellStyle name="Note 5 2 29" xfId="18442"/>
    <cellStyle name="Note 5 2 29 2" xfId="41217"/>
    <cellStyle name="Note 5 2 3" xfId="730"/>
    <cellStyle name="Note 5 2 3 10" xfId="8274"/>
    <cellStyle name="Note 5 2 3 10 2" xfId="31049"/>
    <cellStyle name="Note 5 2 3 11" xfId="8930"/>
    <cellStyle name="Note 5 2 3 11 2" xfId="31705"/>
    <cellStyle name="Note 5 2 3 12" xfId="9586"/>
    <cellStyle name="Note 5 2 3 12 2" xfId="32361"/>
    <cellStyle name="Note 5 2 3 13" xfId="10242"/>
    <cellStyle name="Note 5 2 3 13 2" xfId="33017"/>
    <cellStyle name="Note 5 2 3 14" xfId="10898"/>
    <cellStyle name="Note 5 2 3 14 2" xfId="33673"/>
    <cellStyle name="Note 5 2 3 15" xfId="11554"/>
    <cellStyle name="Note 5 2 3 15 2" xfId="34329"/>
    <cellStyle name="Note 5 2 3 16" xfId="12210"/>
    <cellStyle name="Note 5 2 3 16 2" xfId="34985"/>
    <cellStyle name="Note 5 2 3 17" xfId="12866"/>
    <cellStyle name="Note 5 2 3 17 2" xfId="35641"/>
    <cellStyle name="Note 5 2 3 18" xfId="13522"/>
    <cellStyle name="Note 5 2 3 18 2" xfId="36297"/>
    <cellStyle name="Note 5 2 3 19" xfId="14178"/>
    <cellStyle name="Note 5 2 3 19 2" xfId="36953"/>
    <cellStyle name="Note 5 2 3 2" xfId="1386"/>
    <cellStyle name="Note 5 2 3 2 2" xfId="3682"/>
    <cellStyle name="Note 5 2 3 2 2 2" xfId="26457"/>
    <cellStyle name="Note 5 2 3 2 3" xfId="24161"/>
    <cellStyle name="Note 5 2 3 20" xfId="14834"/>
    <cellStyle name="Note 5 2 3 20 2" xfId="37609"/>
    <cellStyle name="Note 5 2 3 21" xfId="15490"/>
    <cellStyle name="Note 5 2 3 21 2" xfId="38265"/>
    <cellStyle name="Note 5 2 3 22" xfId="16146"/>
    <cellStyle name="Note 5 2 3 22 2" xfId="38921"/>
    <cellStyle name="Note 5 2 3 23" xfId="16802"/>
    <cellStyle name="Note 5 2 3 23 2" xfId="39577"/>
    <cellStyle name="Note 5 2 3 24" xfId="17458"/>
    <cellStyle name="Note 5 2 3 24 2" xfId="40233"/>
    <cellStyle name="Note 5 2 3 25" xfId="18114"/>
    <cellStyle name="Note 5 2 3 25 2" xfId="40889"/>
    <cellStyle name="Note 5 2 3 26" xfId="18770"/>
    <cellStyle name="Note 5 2 3 26 2" xfId="41545"/>
    <cellStyle name="Note 5 2 3 27" xfId="19426"/>
    <cellStyle name="Note 5 2 3 27 2" xfId="42201"/>
    <cellStyle name="Note 5 2 3 28" xfId="20082"/>
    <cellStyle name="Note 5 2 3 28 2" xfId="42857"/>
    <cellStyle name="Note 5 2 3 29" xfId="20738"/>
    <cellStyle name="Note 5 2 3 29 2" xfId="43513"/>
    <cellStyle name="Note 5 2 3 3" xfId="2042"/>
    <cellStyle name="Note 5 2 3 3 2" xfId="4338"/>
    <cellStyle name="Note 5 2 3 3 2 2" xfId="27113"/>
    <cellStyle name="Note 5 2 3 3 3" xfId="24817"/>
    <cellStyle name="Note 5 2 3 30" xfId="21394"/>
    <cellStyle name="Note 5 2 3 30 2" xfId="44169"/>
    <cellStyle name="Note 5 2 3 31" xfId="22050"/>
    <cellStyle name="Note 5 2 3 31 2" xfId="44825"/>
    <cellStyle name="Note 5 2 3 32" xfId="22706"/>
    <cellStyle name="Note 5 2 3 32 2" xfId="45481"/>
    <cellStyle name="Note 5 2 3 33" xfId="23505"/>
    <cellStyle name="Note 5 2 3 4" xfId="4994"/>
    <cellStyle name="Note 5 2 3 4 2" xfId="27769"/>
    <cellStyle name="Note 5 2 3 5" xfId="5650"/>
    <cellStyle name="Note 5 2 3 5 2" xfId="28425"/>
    <cellStyle name="Note 5 2 3 6" xfId="6306"/>
    <cellStyle name="Note 5 2 3 6 2" xfId="29081"/>
    <cellStyle name="Note 5 2 3 7" xfId="3026"/>
    <cellStyle name="Note 5 2 3 7 2" xfId="25801"/>
    <cellStyle name="Note 5 2 3 8" xfId="6962"/>
    <cellStyle name="Note 5 2 3 8 2" xfId="29737"/>
    <cellStyle name="Note 5 2 3 9" xfId="7618"/>
    <cellStyle name="Note 5 2 3 9 2" xfId="30393"/>
    <cellStyle name="Note 5 2 30" xfId="19098"/>
    <cellStyle name="Note 5 2 30 2" xfId="41873"/>
    <cellStyle name="Note 5 2 31" xfId="19754"/>
    <cellStyle name="Note 5 2 31 2" xfId="42529"/>
    <cellStyle name="Note 5 2 32" xfId="20410"/>
    <cellStyle name="Note 5 2 32 2" xfId="43185"/>
    <cellStyle name="Note 5 2 33" xfId="21066"/>
    <cellStyle name="Note 5 2 33 2" xfId="43841"/>
    <cellStyle name="Note 5 2 34" xfId="21722"/>
    <cellStyle name="Note 5 2 34 2" xfId="44497"/>
    <cellStyle name="Note 5 2 35" xfId="22378"/>
    <cellStyle name="Note 5 2 35 2" xfId="45153"/>
    <cellStyle name="Note 5 2 36" xfId="23034"/>
    <cellStyle name="Note 5 2 4" xfId="403"/>
    <cellStyle name="Note 5 2 4 2" xfId="2698"/>
    <cellStyle name="Note 5 2 4 2 2" xfId="25473"/>
    <cellStyle name="Note 5 2 4 3" xfId="23177"/>
    <cellStyle name="Note 5 2 5" xfId="1058"/>
    <cellStyle name="Note 5 2 5 2" xfId="3354"/>
    <cellStyle name="Note 5 2 5 2 2" xfId="26129"/>
    <cellStyle name="Note 5 2 5 3" xfId="23833"/>
    <cellStyle name="Note 5 2 6" xfId="1714"/>
    <cellStyle name="Note 5 2 6 2" xfId="4010"/>
    <cellStyle name="Note 5 2 6 2 2" xfId="26785"/>
    <cellStyle name="Note 5 2 6 3" xfId="24489"/>
    <cellStyle name="Note 5 2 7" xfId="4666"/>
    <cellStyle name="Note 5 2 7 2" xfId="27441"/>
    <cellStyle name="Note 5 2 8" xfId="5322"/>
    <cellStyle name="Note 5 2 8 2" xfId="28097"/>
    <cellStyle name="Note 5 2 9" xfId="5978"/>
    <cellStyle name="Note 5 2 9 2" xfId="28753"/>
    <cellStyle name="Note 5 20" xfId="11797"/>
    <cellStyle name="Note 5 20 2" xfId="34572"/>
    <cellStyle name="Note 5 21" xfId="12453"/>
    <cellStyle name="Note 5 21 2" xfId="35228"/>
    <cellStyle name="Note 5 22" xfId="13109"/>
    <cellStyle name="Note 5 22 2" xfId="35884"/>
    <cellStyle name="Note 5 23" xfId="13765"/>
    <cellStyle name="Note 5 23 2" xfId="36540"/>
    <cellStyle name="Note 5 24" xfId="14421"/>
    <cellStyle name="Note 5 24 2" xfId="37196"/>
    <cellStyle name="Note 5 25" xfId="15077"/>
    <cellStyle name="Note 5 25 2" xfId="37852"/>
    <cellStyle name="Note 5 26" xfId="15733"/>
    <cellStyle name="Note 5 26 2" xfId="38508"/>
    <cellStyle name="Note 5 27" xfId="16389"/>
    <cellStyle name="Note 5 27 2" xfId="39164"/>
    <cellStyle name="Note 5 28" xfId="17045"/>
    <cellStyle name="Note 5 28 2" xfId="39820"/>
    <cellStyle name="Note 5 29" xfId="17701"/>
    <cellStyle name="Note 5 29 2" xfId="40476"/>
    <cellStyle name="Note 5 3" xfId="502"/>
    <cellStyle name="Note 5 3 10" xfId="6734"/>
    <cellStyle name="Note 5 3 10 2" xfId="29509"/>
    <cellStyle name="Note 5 3 11" xfId="7390"/>
    <cellStyle name="Note 5 3 11 2" xfId="30165"/>
    <cellStyle name="Note 5 3 12" xfId="8046"/>
    <cellStyle name="Note 5 3 12 2" xfId="30821"/>
    <cellStyle name="Note 5 3 13" xfId="8702"/>
    <cellStyle name="Note 5 3 13 2" xfId="31477"/>
    <cellStyle name="Note 5 3 14" xfId="9358"/>
    <cellStyle name="Note 5 3 14 2" xfId="32133"/>
    <cellStyle name="Note 5 3 15" xfId="10014"/>
    <cellStyle name="Note 5 3 15 2" xfId="32789"/>
    <cellStyle name="Note 5 3 16" xfId="10670"/>
    <cellStyle name="Note 5 3 16 2" xfId="33445"/>
    <cellStyle name="Note 5 3 17" xfId="11326"/>
    <cellStyle name="Note 5 3 17 2" xfId="34101"/>
    <cellStyle name="Note 5 3 18" xfId="11982"/>
    <cellStyle name="Note 5 3 18 2" xfId="34757"/>
    <cellStyle name="Note 5 3 19" xfId="12638"/>
    <cellStyle name="Note 5 3 19 2" xfId="35413"/>
    <cellStyle name="Note 5 3 2" xfId="830"/>
    <cellStyle name="Note 5 3 2 10" xfId="8374"/>
    <cellStyle name="Note 5 3 2 10 2" xfId="31149"/>
    <cellStyle name="Note 5 3 2 11" xfId="9030"/>
    <cellStyle name="Note 5 3 2 11 2" xfId="31805"/>
    <cellStyle name="Note 5 3 2 12" xfId="9686"/>
    <cellStyle name="Note 5 3 2 12 2" xfId="32461"/>
    <cellStyle name="Note 5 3 2 13" xfId="10342"/>
    <cellStyle name="Note 5 3 2 13 2" xfId="33117"/>
    <cellStyle name="Note 5 3 2 14" xfId="10998"/>
    <cellStyle name="Note 5 3 2 14 2" xfId="33773"/>
    <cellStyle name="Note 5 3 2 15" xfId="11654"/>
    <cellStyle name="Note 5 3 2 15 2" xfId="34429"/>
    <cellStyle name="Note 5 3 2 16" xfId="12310"/>
    <cellStyle name="Note 5 3 2 16 2" xfId="35085"/>
    <cellStyle name="Note 5 3 2 17" xfId="12966"/>
    <cellStyle name="Note 5 3 2 17 2" xfId="35741"/>
    <cellStyle name="Note 5 3 2 18" xfId="13622"/>
    <cellStyle name="Note 5 3 2 18 2" xfId="36397"/>
    <cellStyle name="Note 5 3 2 19" xfId="14278"/>
    <cellStyle name="Note 5 3 2 19 2" xfId="37053"/>
    <cellStyle name="Note 5 3 2 2" xfId="1486"/>
    <cellStyle name="Note 5 3 2 2 2" xfId="3782"/>
    <cellStyle name="Note 5 3 2 2 2 2" xfId="26557"/>
    <cellStyle name="Note 5 3 2 2 3" xfId="24261"/>
    <cellStyle name="Note 5 3 2 20" xfId="14934"/>
    <cellStyle name="Note 5 3 2 20 2" xfId="37709"/>
    <cellStyle name="Note 5 3 2 21" xfId="15590"/>
    <cellStyle name="Note 5 3 2 21 2" xfId="38365"/>
    <cellStyle name="Note 5 3 2 22" xfId="16246"/>
    <cellStyle name="Note 5 3 2 22 2" xfId="39021"/>
    <cellStyle name="Note 5 3 2 23" xfId="16902"/>
    <cellStyle name="Note 5 3 2 23 2" xfId="39677"/>
    <cellStyle name="Note 5 3 2 24" xfId="17558"/>
    <cellStyle name="Note 5 3 2 24 2" xfId="40333"/>
    <cellStyle name="Note 5 3 2 25" xfId="18214"/>
    <cellStyle name="Note 5 3 2 25 2" xfId="40989"/>
    <cellStyle name="Note 5 3 2 26" xfId="18870"/>
    <cellStyle name="Note 5 3 2 26 2" xfId="41645"/>
    <cellStyle name="Note 5 3 2 27" xfId="19526"/>
    <cellStyle name="Note 5 3 2 27 2" xfId="42301"/>
    <cellStyle name="Note 5 3 2 28" xfId="20182"/>
    <cellStyle name="Note 5 3 2 28 2" xfId="42957"/>
    <cellStyle name="Note 5 3 2 29" xfId="20838"/>
    <cellStyle name="Note 5 3 2 29 2" xfId="43613"/>
    <cellStyle name="Note 5 3 2 3" xfId="2142"/>
    <cellStyle name="Note 5 3 2 3 2" xfId="4438"/>
    <cellStyle name="Note 5 3 2 3 2 2" xfId="27213"/>
    <cellStyle name="Note 5 3 2 3 3" xfId="24917"/>
    <cellStyle name="Note 5 3 2 30" xfId="21494"/>
    <cellStyle name="Note 5 3 2 30 2" xfId="44269"/>
    <cellStyle name="Note 5 3 2 31" xfId="22150"/>
    <cellStyle name="Note 5 3 2 31 2" xfId="44925"/>
    <cellStyle name="Note 5 3 2 32" xfId="22806"/>
    <cellStyle name="Note 5 3 2 32 2" xfId="45581"/>
    <cellStyle name="Note 5 3 2 33" xfId="23605"/>
    <cellStyle name="Note 5 3 2 4" xfId="5094"/>
    <cellStyle name="Note 5 3 2 4 2" xfId="27869"/>
    <cellStyle name="Note 5 3 2 5" xfId="5750"/>
    <cellStyle name="Note 5 3 2 5 2" xfId="28525"/>
    <cellStyle name="Note 5 3 2 6" xfId="6406"/>
    <cellStyle name="Note 5 3 2 6 2" xfId="29181"/>
    <cellStyle name="Note 5 3 2 7" xfId="3126"/>
    <cellStyle name="Note 5 3 2 7 2" xfId="25901"/>
    <cellStyle name="Note 5 3 2 8" xfId="7062"/>
    <cellStyle name="Note 5 3 2 8 2" xfId="29837"/>
    <cellStyle name="Note 5 3 2 9" xfId="7718"/>
    <cellStyle name="Note 5 3 2 9 2" xfId="30493"/>
    <cellStyle name="Note 5 3 20" xfId="13294"/>
    <cellStyle name="Note 5 3 20 2" xfId="36069"/>
    <cellStyle name="Note 5 3 21" xfId="13950"/>
    <cellStyle name="Note 5 3 21 2" xfId="36725"/>
    <cellStyle name="Note 5 3 22" xfId="14606"/>
    <cellStyle name="Note 5 3 22 2" xfId="37381"/>
    <cellStyle name="Note 5 3 23" xfId="15262"/>
    <cellStyle name="Note 5 3 23 2" xfId="38037"/>
    <cellStyle name="Note 5 3 24" xfId="15918"/>
    <cellStyle name="Note 5 3 24 2" xfId="38693"/>
    <cellStyle name="Note 5 3 25" xfId="16574"/>
    <cellStyle name="Note 5 3 25 2" xfId="39349"/>
    <cellStyle name="Note 5 3 26" xfId="17230"/>
    <cellStyle name="Note 5 3 26 2" xfId="40005"/>
    <cellStyle name="Note 5 3 27" xfId="17886"/>
    <cellStyle name="Note 5 3 27 2" xfId="40661"/>
    <cellStyle name="Note 5 3 28" xfId="18542"/>
    <cellStyle name="Note 5 3 28 2" xfId="41317"/>
    <cellStyle name="Note 5 3 29" xfId="19198"/>
    <cellStyle name="Note 5 3 29 2" xfId="41973"/>
    <cellStyle name="Note 5 3 3" xfId="1158"/>
    <cellStyle name="Note 5 3 3 2" xfId="2798"/>
    <cellStyle name="Note 5 3 3 2 2" xfId="25573"/>
    <cellStyle name="Note 5 3 3 3" xfId="23933"/>
    <cellStyle name="Note 5 3 30" xfId="19854"/>
    <cellStyle name="Note 5 3 30 2" xfId="42629"/>
    <cellStyle name="Note 5 3 31" xfId="20510"/>
    <cellStyle name="Note 5 3 31 2" xfId="43285"/>
    <cellStyle name="Note 5 3 32" xfId="21166"/>
    <cellStyle name="Note 5 3 32 2" xfId="43941"/>
    <cellStyle name="Note 5 3 33" xfId="21822"/>
    <cellStyle name="Note 5 3 33 2" xfId="44597"/>
    <cellStyle name="Note 5 3 34" xfId="22478"/>
    <cellStyle name="Note 5 3 34 2" xfId="45253"/>
    <cellStyle name="Note 5 3 35" xfId="23277"/>
    <cellStyle name="Note 5 3 4" xfId="1814"/>
    <cellStyle name="Note 5 3 4 2" xfId="3454"/>
    <cellStyle name="Note 5 3 4 2 2" xfId="26229"/>
    <cellStyle name="Note 5 3 4 3" xfId="24589"/>
    <cellStyle name="Note 5 3 5" xfId="4110"/>
    <cellStyle name="Note 5 3 5 2" xfId="26885"/>
    <cellStyle name="Note 5 3 6" xfId="4766"/>
    <cellStyle name="Note 5 3 6 2" xfId="27541"/>
    <cellStyle name="Note 5 3 7" xfId="5422"/>
    <cellStyle name="Note 5 3 7 2" xfId="28197"/>
    <cellStyle name="Note 5 3 8" xfId="6078"/>
    <cellStyle name="Note 5 3 8 2" xfId="28853"/>
    <cellStyle name="Note 5 3 9" xfId="2470"/>
    <cellStyle name="Note 5 3 9 2" xfId="25245"/>
    <cellStyle name="Note 5 30" xfId="18357"/>
    <cellStyle name="Note 5 30 2" xfId="41132"/>
    <cellStyle name="Note 5 31" xfId="19013"/>
    <cellStyle name="Note 5 31 2" xfId="41788"/>
    <cellStyle name="Note 5 32" xfId="19669"/>
    <cellStyle name="Note 5 32 2" xfId="42444"/>
    <cellStyle name="Note 5 33" xfId="20325"/>
    <cellStyle name="Note 5 33 2" xfId="43100"/>
    <cellStyle name="Note 5 34" xfId="20981"/>
    <cellStyle name="Note 5 34 2" xfId="43756"/>
    <cellStyle name="Note 5 35" xfId="21637"/>
    <cellStyle name="Note 5 35 2" xfId="44412"/>
    <cellStyle name="Note 5 36" xfId="22293"/>
    <cellStyle name="Note 5 36 2" xfId="45068"/>
    <cellStyle name="Note 5 37" xfId="232"/>
    <cellStyle name="Note 5 38" xfId="22949"/>
    <cellStyle name="Note 5 4" xfId="645"/>
    <cellStyle name="Note 5 4 10" xfId="8189"/>
    <cellStyle name="Note 5 4 10 2" xfId="30964"/>
    <cellStyle name="Note 5 4 11" xfId="8845"/>
    <cellStyle name="Note 5 4 11 2" xfId="31620"/>
    <cellStyle name="Note 5 4 12" xfId="9501"/>
    <cellStyle name="Note 5 4 12 2" xfId="32276"/>
    <cellStyle name="Note 5 4 13" xfId="10157"/>
    <cellStyle name="Note 5 4 13 2" xfId="32932"/>
    <cellStyle name="Note 5 4 14" xfId="10813"/>
    <cellStyle name="Note 5 4 14 2" xfId="33588"/>
    <cellStyle name="Note 5 4 15" xfId="11469"/>
    <cellStyle name="Note 5 4 15 2" xfId="34244"/>
    <cellStyle name="Note 5 4 16" xfId="12125"/>
    <cellStyle name="Note 5 4 16 2" xfId="34900"/>
    <cellStyle name="Note 5 4 17" xfId="12781"/>
    <cellStyle name="Note 5 4 17 2" xfId="35556"/>
    <cellStyle name="Note 5 4 18" xfId="13437"/>
    <cellStyle name="Note 5 4 18 2" xfId="36212"/>
    <cellStyle name="Note 5 4 19" xfId="14093"/>
    <cellStyle name="Note 5 4 19 2" xfId="36868"/>
    <cellStyle name="Note 5 4 2" xfId="1301"/>
    <cellStyle name="Note 5 4 2 2" xfId="3597"/>
    <cellStyle name="Note 5 4 2 2 2" xfId="26372"/>
    <cellStyle name="Note 5 4 2 3" xfId="24076"/>
    <cellStyle name="Note 5 4 20" xfId="14749"/>
    <cellStyle name="Note 5 4 20 2" xfId="37524"/>
    <cellStyle name="Note 5 4 21" xfId="15405"/>
    <cellStyle name="Note 5 4 21 2" xfId="38180"/>
    <cellStyle name="Note 5 4 22" xfId="16061"/>
    <cellStyle name="Note 5 4 22 2" xfId="38836"/>
    <cellStyle name="Note 5 4 23" xfId="16717"/>
    <cellStyle name="Note 5 4 23 2" xfId="39492"/>
    <cellStyle name="Note 5 4 24" xfId="17373"/>
    <cellStyle name="Note 5 4 24 2" xfId="40148"/>
    <cellStyle name="Note 5 4 25" xfId="18029"/>
    <cellStyle name="Note 5 4 25 2" xfId="40804"/>
    <cellStyle name="Note 5 4 26" xfId="18685"/>
    <cellStyle name="Note 5 4 26 2" xfId="41460"/>
    <cellStyle name="Note 5 4 27" xfId="19341"/>
    <cellStyle name="Note 5 4 27 2" xfId="42116"/>
    <cellStyle name="Note 5 4 28" xfId="19997"/>
    <cellStyle name="Note 5 4 28 2" xfId="42772"/>
    <cellStyle name="Note 5 4 29" xfId="20653"/>
    <cellStyle name="Note 5 4 29 2" xfId="43428"/>
    <cellStyle name="Note 5 4 3" xfId="1957"/>
    <cellStyle name="Note 5 4 3 2" xfId="4253"/>
    <cellStyle name="Note 5 4 3 2 2" xfId="27028"/>
    <cellStyle name="Note 5 4 3 3" xfId="24732"/>
    <cellStyle name="Note 5 4 30" xfId="21309"/>
    <cellStyle name="Note 5 4 30 2" xfId="44084"/>
    <cellStyle name="Note 5 4 31" xfId="21965"/>
    <cellStyle name="Note 5 4 31 2" xfId="44740"/>
    <cellStyle name="Note 5 4 32" xfId="22621"/>
    <cellStyle name="Note 5 4 32 2" xfId="45396"/>
    <cellStyle name="Note 5 4 33" xfId="23420"/>
    <cellStyle name="Note 5 4 4" xfId="4909"/>
    <cellStyle name="Note 5 4 4 2" xfId="27684"/>
    <cellStyle name="Note 5 4 5" xfId="5565"/>
    <cellStyle name="Note 5 4 5 2" xfId="28340"/>
    <cellStyle name="Note 5 4 6" xfId="6221"/>
    <cellStyle name="Note 5 4 6 2" xfId="28996"/>
    <cellStyle name="Note 5 4 7" xfId="2941"/>
    <cellStyle name="Note 5 4 7 2" xfId="25716"/>
    <cellStyle name="Note 5 4 8" xfId="6877"/>
    <cellStyle name="Note 5 4 8 2" xfId="29652"/>
    <cellStyle name="Note 5 4 9" xfId="7533"/>
    <cellStyle name="Note 5 4 9 2" xfId="30308"/>
    <cellStyle name="Note 5 5" xfId="318"/>
    <cellStyle name="Note 5 5 2" xfId="2613"/>
    <cellStyle name="Note 5 5 2 2" xfId="25388"/>
    <cellStyle name="Note 5 5 3" xfId="23092"/>
    <cellStyle name="Note 5 6" xfId="973"/>
    <cellStyle name="Note 5 6 2" xfId="3269"/>
    <cellStyle name="Note 5 6 2 2" xfId="26044"/>
    <cellStyle name="Note 5 6 3" xfId="23748"/>
    <cellStyle name="Note 5 7" xfId="1629"/>
    <cellStyle name="Note 5 7 2" xfId="3925"/>
    <cellStyle name="Note 5 7 2 2" xfId="26700"/>
    <cellStyle name="Note 5 7 3" xfId="24404"/>
    <cellStyle name="Note 5 8" xfId="4581"/>
    <cellStyle name="Note 5 8 2" xfId="27356"/>
    <cellStyle name="Note 5 9" xfId="5237"/>
    <cellStyle name="Note 5 9 2" xfId="28012"/>
    <cellStyle name="Note 6" xfId="101"/>
    <cellStyle name="Note 6 10" xfId="2299"/>
    <cellStyle name="Note 6 10 2" xfId="25074"/>
    <cellStyle name="Note 6 11" xfId="6563"/>
    <cellStyle name="Note 6 11 2" xfId="29338"/>
    <cellStyle name="Note 6 12" xfId="7219"/>
    <cellStyle name="Note 6 12 2" xfId="29994"/>
    <cellStyle name="Note 6 13" xfId="7875"/>
    <cellStyle name="Note 6 13 2" xfId="30650"/>
    <cellStyle name="Note 6 14" xfId="8531"/>
    <cellStyle name="Note 6 14 2" xfId="31306"/>
    <cellStyle name="Note 6 15" xfId="9187"/>
    <cellStyle name="Note 6 15 2" xfId="31962"/>
    <cellStyle name="Note 6 16" xfId="9843"/>
    <cellStyle name="Note 6 16 2" xfId="32618"/>
    <cellStyle name="Note 6 17" xfId="10499"/>
    <cellStyle name="Note 6 17 2" xfId="33274"/>
    <cellStyle name="Note 6 18" xfId="11155"/>
    <cellStyle name="Note 6 18 2" xfId="33930"/>
    <cellStyle name="Note 6 19" xfId="11811"/>
    <cellStyle name="Note 6 19 2" xfId="34586"/>
    <cellStyle name="Note 6 2" xfId="516"/>
    <cellStyle name="Note 6 2 10" xfId="6748"/>
    <cellStyle name="Note 6 2 10 2" xfId="29523"/>
    <cellStyle name="Note 6 2 11" xfId="7404"/>
    <cellStyle name="Note 6 2 11 2" xfId="30179"/>
    <cellStyle name="Note 6 2 12" xfId="8060"/>
    <cellStyle name="Note 6 2 12 2" xfId="30835"/>
    <cellStyle name="Note 6 2 13" xfId="8716"/>
    <cellStyle name="Note 6 2 13 2" xfId="31491"/>
    <cellStyle name="Note 6 2 14" xfId="9372"/>
    <cellStyle name="Note 6 2 14 2" xfId="32147"/>
    <cellStyle name="Note 6 2 15" xfId="10028"/>
    <cellStyle name="Note 6 2 15 2" xfId="32803"/>
    <cellStyle name="Note 6 2 16" xfId="10684"/>
    <cellStyle name="Note 6 2 16 2" xfId="33459"/>
    <cellStyle name="Note 6 2 17" xfId="11340"/>
    <cellStyle name="Note 6 2 17 2" xfId="34115"/>
    <cellStyle name="Note 6 2 18" xfId="11996"/>
    <cellStyle name="Note 6 2 18 2" xfId="34771"/>
    <cellStyle name="Note 6 2 19" xfId="12652"/>
    <cellStyle name="Note 6 2 19 2" xfId="35427"/>
    <cellStyle name="Note 6 2 2" xfId="844"/>
    <cellStyle name="Note 6 2 2 10" xfId="8388"/>
    <cellStyle name="Note 6 2 2 10 2" xfId="31163"/>
    <cellStyle name="Note 6 2 2 11" xfId="9044"/>
    <cellStyle name="Note 6 2 2 11 2" xfId="31819"/>
    <cellStyle name="Note 6 2 2 12" xfId="9700"/>
    <cellStyle name="Note 6 2 2 12 2" xfId="32475"/>
    <cellStyle name="Note 6 2 2 13" xfId="10356"/>
    <cellStyle name="Note 6 2 2 13 2" xfId="33131"/>
    <cellStyle name="Note 6 2 2 14" xfId="11012"/>
    <cellStyle name="Note 6 2 2 14 2" xfId="33787"/>
    <cellStyle name="Note 6 2 2 15" xfId="11668"/>
    <cellStyle name="Note 6 2 2 15 2" xfId="34443"/>
    <cellStyle name="Note 6 2 2 16" xfId="12324"/>
    <cellStyle name="Note 6 2 2 16 2" xfId="35099"/>
    <cellStyle name="Note 6 2 2 17" xfId="12980"/>
    <cellStyle name="Note 6 2 2 17 2" xfId="35755"/>
    <cellStyle name="Note 6 2 2 18" xfId="13636"/>
    <cellStyle name="Note 6 2 2 18 2" xfId="36411"/>
    <cellStyle name="Note 6 2 2 19" xfId="14292"/>
    <cellStyle name="Note 6 2 2 19 2" xfId="37067"/>
    <cellStyle name="Note 6 2 2 2" xfId="1500"/>
    <cellStyle name="Note 6 2 2 2 2" xfId="3796"/>
    <cellStyle name="Note 6 2 2 2 2 2" xfId="26571"/>
    <cellStyle name="Note 6 2 2 2 3" xfId="24275"/>
    <cellStyle name="Note 6 2 2 20" xfId="14948"/>
    <cellStyle name="Note 6 2 2 20 2" xfId="37723"/>
    <cellStyle name="Note 6 2 2 21" xfId="15604"/>
    <cellStyle name="Note 6 2 2 21 2" xfId="38379"/>
    <cellStyle name="Note 6 2 2 22" xfId="16260"/>
    <cellStyle name="Note 6 2 2 22 2" xfId="39035"/>
    <cellStyle name="Note 6 2 2 23" xfId="16916"/>
    <cellStyle name="Note 6 2 2 23 2" xfId="39691"/>
    <cellStyle name="Note 6 2 2 24" xfId="17572"/>
    <cellStyle name="Note 6 2 2 24 2" xfId="40347"/>
    <cellStyle name="Note 6 2 2 25" xfId="18228"/>
    <cellStyle name="Note 6 2 2 25 2" xfId="41003"/>
    <cellStyle name="Note 6 2 2 26" xfId="18884"/>
    <cellStyle name="Note 6 2 2 26 2" xfId="41659"/>
    <cellStyle name="Note 6 2 2 27" xfId="19540"/>
    <cellStyle name="Note 6 2 2 27 2" xfId="42315"/>
    <cellStyle name="Note 6 2 2 28" xfId="20196"/>
    <cellStyle name="Note 6 2 2 28 2" xfId="42971"/>
    <cellStyle name="Note 6 2 2 29" xfId="20852"/>
    <cellStyle name="Note 6 2 2 29 2" xfId="43627"/>
    <cellStyle name="Note 6 2 2 3" xfId="2156"/>
    <cellStyle name="Note 6 2 2 3 2" xfId="4452"/>
    <cellStyle name="Note 6 2 2 3 2 2" xfId="27227"/>
    <cellStyle name="Note 6 2 2 3 3" xfId="24931"/>
    <cellStyle name="Note 6 2 2 30" xfId="21508"/>
    <cellStyle name="Note 6 2 2 30 2" xfId="44283"/>
    <cellStyle name="Note 6 2 2 31" xfId="22164"/>
    <cellStyle name="Note 6 2 2 31 2" xfId="44939"/>
    <cellStyle name="Note 6 2 2 32" xfId="22820"/>
    <cellStyle name="Note 6 2 2 32 2" xfId="45595"/>
    <cellStyle name="Note 6 2 2 33" xfId="23619"/>
    <cellStyle name="Note 6 2 2 4" xfId="5108"/>
    <cellStyle name="Note 6 2 2 4 2" xfId="27883"/>
    <cellStyle name="Note 6 2 2 5" xfId="5764"/>
    <cellStyle name="Note 6 2 2 5 2" xfId="28539"/>
    <cellStyle name="Note 6 2 2 6" xfId="6420"/>
    <cellStyle name="Note 6 2 2 6 2" xfId="29195"/>
    <cellStyle name="Note 6 2 2 7" xfId="3140"/>
    <cellStyle name="Note 6 2 2 7 2" xfId="25915"/>
    <cellStyle name="Note 6 2 2 8" xfId="7076"/>
    <cellStyle name="Note 6 2 2 8 2" xfId="29851"/>
    <cellStyle name="Note 6 2 2 9" xfId="7732"/>
    <cellStyle name="Note 6 2 2 9 2" xfId="30507"/>
    <cellStyle name="Note 6 2 20" xfId="13308"/>
    <cellStyle name="Note 6 2 20 2" xfId="36083"/>
    <cellStyle name="Note 6 2 21" xfId="13964"/>
    <cellStyle name="Note 6 2 21 2" xfId="36739"/>
    <cellStyle name="Note 6 2 22" xfId="14620"/>
    <cellStyle name="Note 6 2 22 2" xfId="37395"/>
    <cellStyle name="Note 6 2 23" xfId="15276"/>
    <cellStyle name="Note 6 2 23 2" xfId="38051"/>
    <cellStyle name="Note 6 2 24" xfId="15932"/>
    <cellStyle name="Note 6 2 24 2" xfId="38707"/>
    <cellStyle name="Note 6 2 25" xfId="16588"/>
    <cellStyle name="Note 6 2 25 2" xfId="39363"/>
    <cellStyle name="Note 6 2 26" xfId="17244"/>
    <cellStyle name="Note 6 2 26 2" xfId="40019"/>
    <cellStyle name="Note 6 2 27" xfId="17900"/>
    <cellStyle name="Note 6 2 27 2" xfId="40675"/>
    <cellStyle name="Note 6 2 28" xfId="18556"/>
    <cellStyle name="Note 6 2 28 2" xfId="41331"/>
    <cellStyle name="Note 6 2 29" xfId="19212"/>
    <cellStyle name="Note 6 2 29 2" xfId="41987"/>
    <cellStyle name="Note 6 2 3" xfId="1172"/>
    <cellStyle name="Note 6 2 3 2" xfId="2812"/>
    <cellStyle name="Note 6 2 3 2 2" xfId="25587"/>
    <cellStyle name="Note 6 2 3 3" xfId="23947"/>
    <cellStyle name="Note 6 2 30" xfId="19868"/>
    <cellStyle name="Note 6 2 30 2" xfId="42643"/>
    <cellStyle name="Note 6 2 31" xfId="20524"/>
    <cellStyle name="Note 6 2 31 2" xfId="43299"/>
    <cellStyle name="Note 6 2 32" xfId="21180"/>
    <cellStyle name="Note 6 2 32 2" xfId="43955"/>
    <cellStyle name="Note 6 2 33" xfId="21836"/>
    <cellStyle name="Note 6 2 33 2" xfId="44611"/>
    <cellStyle name="Note 6 2 34" xfId="22492"/>
    <cellStyle name="Note 6 2 34 2" xfId="45267"/>
    <cellStyle name="Note 6 2 35" xfId="23291"/>
    <cellStyle name="Note 6 2 4" xfId="1828"/>
    <cellStyle name="Note 6 2 4 2" xfId="3468"/>
    <cellStyle name="Note 6 2 4 2 2" xfId="26243"/>
    <cellStyle name="Note 6 2 4 3" xfId="24603"/>
    <cellStyle name="Note 6 2 5" xfId="4124"/>
    <cellStyle name="Note 6 2 5 2" xfId="26899"/>
    <cellStyle name="Note 6 2 6" xfId="4780"/>
    <cellStyle name="Note 6 2 6 2" xfId="27555"/>
    <cellStyle name="Note 6 2 7" xfId="5436"/>
    <cellStyle name="Note 6 2 7 2" xfId="28211"/>
    <cellStyle name="Note 6 2 8" xfId="6092"/>
    <cellStyle name="Note 6 2 8 2" xfId="28867"/>
    <cellStyle name="Note 6 2 9" xfId="2484"/>
    <cellStyle name="Note 6 2 9 2" xfId="25259"/>
    <cellStyle name="Note 6 20" xfId="12467"/>
    <cellStyle name="Note 6 20 2" xfId="35242"/>
    <cellStyle name="Note 6 21" xfId="13123"/>
    <cellStyle name="Note 6 21 2" xfId="35898"/>
    <cellStyle name="Note 6 22" xfId="13779"/>
    <cellStyle name="Note 6 22 2" xfId="36554"/>
    <cellStyle name="Note 6 23" xfId="14435"/>
    <cellStyle name="Note 6 23 2" xfId="37210"/>
    <cellStyle name="Note 6 24" xfId="15091"/>
    <cellStyle name="Note 6 24 2" xfId="37866"/>
    <cellStyle name="Note 6 25" xfId="15747"/>
    <cellStyle name="Note 6 25 2" xfId="38522"/>
    <cellStyle name="Note 6 26" xfId="16403"/>
    <cellStyle name="Note 6 26 2" xfId="39178"/>
    <cellStyle name="Note 6 27" xfId="17059"/>
    <cellStyle name="Note 6 27 2" xfId="39834"/>
    <cellStyle name="Note 6 28" xfId="17715"/>
    <cellStyle name="Note 6 28 2" xfId="40490"/>
    <cellStyle name="Note 6 29" xfId="18371"/>
    <cellStyle name="Note 6 29 2" xfId="41146"/>
    <cellStyle name="Note 6 3" xfId="659"/>
    <cellStyle name="Note 6 3 10" xfId="8203"/>
    <cellStyle name="Note 6 3 10 2" xfId="30978"/>
    <cellStyle name="Note 6 3 11" xfId="8859"/>
    <cellStyle name="Note 6 3 11 2" xfId="31634"/>
    <cellStyle name="Note 6 3 12" xfId="9515"/>
    <cellStyle name="Note 6 3 12 2" xfId="32290"/>
    <cellStyle name="Note 6 3 13" xfId="10171"/>
    <cellStyle name="Note 6 3 13 2" xfId="32946"/>
    <cellStyle name="Note 6 3 14" xfId="10827"/>
    <cellStyle name="Note 6 3 14 2" xfId="33602"/>
    <cellStyle name="Note 6 3 15" xfId="11483"/>
    <cellStyle name="Note 6 3 15 2" xfId="34258"/>
    <cellStyle name="Note 6 3 16" xfId="12139"/>
    <cellStyle name="Note 6 3 16 2" xfId="34914"/>
    <cellStyle name="Note 6 3 17" xfId="12795"/>
    <cellStyle name="Note 6 3 17 2" xfId="35570"/>
    <cellStyle name="Note 6 3 18" xfId="13451"/>
    <cellStyle name="Note 6 3 18 2" xfId="36226"/>
    <cellStyle name="Note 6 3 19" xfId="14107"/>
    <cellStyle name="Note 6 3 19 2" xfId="36882"/>
    <cellStyle name="Note 6 3 2" xfId="1315"/>
    <cellStyle name="Note 6 3 2 2" xfId="3611"/>
    <cellStyle name="Note 6 3 2 2 2" xfId="26386"/>
    <cellStyle name="Note 6 3 2 3" xfId="24090"/>
    <cellStyle name="Note 6 3 20" xfId="14763"/>
    <cellStyle name="Note 6 3 20 2" xfId="37538"/>
    <cellStyle name="Note 6 3 21" xfId="15419"/>
    <cellStyle name="Note 6 3 21 2" xfId="38194"/>
    <cellStyle name="Note 6 3 22" xfId="16075"/>
    <cellStyle name="Note 6 3 22 2" xfId="38850"/>
    <cellStyle name="Note 6 3 23" xfId="16731"/>
    <cellStyle name="Note 6 3 23 2" xfId="39506"/>
    <cellStyle name="Note 6 3 24" xfId="17387"/>
    <cellStyle name="Note 6 3 24 2" xfId="40162"/>
    <cellStyle name="Note 6 3 25" xfId="18043"/>
    <cellStyle name="Note 6 3 25 2" xfId="40818"/>
    <cellStyle name="Note 6 3 26" xfId="18699"/>
    <cellStyle name="Note 6 3 26 2" xfId="41474"/>
    <cellStyle name="Note 6 3 27" xfId="19355"/>
    <cellStyle name="Note 6 3 27 2" xfId="42130"/>
    <cellStyle name="Note 6 3 28" xfId="20011"/>
    <cellStyle name="Note 6 3 28 2" xfId="42786"/>
    <cellStyle name="Note 6 3 29" xfId="20667"/>
    <cellStyle name="Note 6 3 29 2" xfId="43442"/>
    <cellStyle name="Note 6 3 3" xfId="1971"/>
    <cellStyle name="Note 6 3 3 2" xfId="4267"/>
    <cellStyle name="Note 6 3 3 2 2" xfId="27042"/>
    <cellStyle name="Note 6 3 3 3" xfId="24746"/>
    <cellStyle name="Note 6 3 30" xfId="21323"/>
    <cellStyle name="Note 6 3 30 2" xfId="44098"/>
    <cellStyle name="Note 6 3 31" xfId="21979"/>
    <cellStyle name="Note 6 3 31 2" xfId="44754"/>
    <cellStyle name="Note 6 3 32" xfId="22635"/>
    <cellStyle name="Note 6 3 32 2" xfId="45410"/>
    <cellStyle name="Note 6 3 33" xfId="23434"/>
    <cellStyle name="Note 6 3 4" xfId="4923"/>
    <cellStyle name="Note 6 3 4 2" xfId="27698"/>
    <cellStyle name="Note 6 3 5" xfId="5579"/>
    <cellStyle name="Note 6 3 5 2" xfId="28354"/>
    <cellStyle name="Note 6 3 6" xfId="6235"/>
    <cellStyle name="Note 6 3 6 2" xfId="29010"/>
    <cellStyle name="Note 6 3 7" xfId="2955"/>
    <cellStyle name="Note 6 3 7 2" xfId="25730"/>
    <cellStyle name="Note 6 3 8" xfId="6891"/>
    <cellStyle name="Note 6 3 8 2" xfId="29666"/>
    <cellStyle name="Note 6 3 9" xfId="7547"/>
    <cellStyle name="Note 6 3 9 2" xfId="30322"/>
    <cellStyle name="Note 6 30" xfId="19027"/>
    <cellStyle name="Note 6 30 2" xfId="41802"/>
    <cellStyle name="Note 6 31" xfId="19683"/>
    <cellStyle name="Note 6 31 2" xfId="42458"/>
    <cellStyle name="Note 6 32" xfId="20339"/>
    <cellStyle name="Note 6 32 2" xfId="43114"/>
    <cellStyle name="Note 6 33" xfId="20995"/>
    <cellStyle name="Note 6 33 2" xfId="43770"/>
    <cellStyle name="Note 6 34" xfId="21651"/>
    <cellStyle name="Note 6 34 2" xfId="44426"/>
    <cellStyle name="Note 6 35" xfId="22307"/>
    <cellStyle name="Note 6 35 2" xfId="45082"/>
    <cellStyle name="Note 6 36" xfId="246"/>
    <cellStyle name="Note 6 37" xfId="22963"/>
    <cellStyle name="Note 6 4" xfId="332"/>
    <cellStyle name="Note 6 4 2" xfId="2627"/>
    <cellStyle name="Note 6 4 2 2" xfId="25402"/>
    <cellStyle name="Note 6 4 3" xfId="23106"/>
    <cellStyle name="Note 6 5" xfId="987"/>
    <cellStyle name="Note 6 5 2" xfId="3283"/>
    <cellStyle name="Note 6 5 2 2" xfId="26058"/>
    <cellStyle name="Note 6 5 3" xfId="23762"/>
    <cellStyle name="Note 6 6" xfId="1643"/>
    <cellStyle name="Note 6 6 2" xfId="3939"/>
    <cellStyle name="Note 6 6 2 2" xfId="26714"/>
    <cellStyle name="Note 6 6 3" xfId="24418"/>
    <cellStyle name="Note 6 7" xfId="4595"/>
    <cellStyle name="Note 6 7 2" xfId="27370"/>
    <cellStyle name="Note 6 8" xfId="5251"/>
    <cellStyle name="Note 6 8 2" xfId="28026"/>
    <cellStyle name="Note 6 9" xfId="5907"/>
    <cellStyle name="Note 6 9 2" xfId="28682"/>
    <cellStyle name="Note 7" xfId="418"/>
    <cellStyle name="Note 7 10" xfId="6649"/>
    <cellStyle name="Note 7 10 2" xfId="29424"/>
    <cellStyle name="Note 7 11" xfId="7305"/>
    <cellStyle name="Note 7 11 2" xfId="30080"/>
    <cellStyle name="Note 7 12" xfId="7961"/>
    <cellStyle name="Note 7 12 2" xfId="30736"/>
    <cellStyle name="Note 7 13" xfId="8617"/>
    <cellStyle name="Note 7 13 2" xfId="31392"/>
    <cellStyle name="Note 7 14" xfId="9273"/>
    <cellStyle name="Note 7 14 2" xfId="32048"/>
    <cellStyle name="Note 7 15" xfId="9929"/>
    <cellStyle name="Note 7 15 2" xfId="32704"/>
    <cellStyle name="Note 7 16" xfId="10585"/>
    <cellStyle name="Note 7 16 2" xfId="33360"/>
    <cellStyle name="Note 7 17" xfId="11241"/>
    <cellStyle name="Note 7 17 2" xfId="34016"/>
    <cellStyle name="Note 7 18" xfId="11897"/>
    <cellStyle name="Note 7 18 2" xfId="34672"/>
    <cellStyle name="Note 7 19" xfId="12553"/>
    <cellStyle name="Note 7 19 2" xfId="35328"/>
    <cellStyle name="Note 7 2" xfId="745"/>
    <cellStyle name="Note 7 2 10" xfId="8289"/>
    <cellStyle name="Note 7 2 10 2" xfId="31064"/>
    <cellStyle name="Note 7 2 11" xfId="8945"/>
    <cellStyle name="Note 7 2 11 2" xfId="31720"/>
    <cellStyle name="Note 7 2 12" xfId="9601"/>
    <cellStyle name="Note 7 2 12 2" xfId="32376"/>
    <cellStyle name="Note 7 2 13" xfId="10257"/>
    <cellStyle name="Note 7 2 13 2" xfId="33032"/>
    <cellStyle name="Note 7 2 14" xfId="10913"/>
    <cellStyle name="Note 7 2 14 2" xfId="33688"/>
    <cellStyle name="Note 7 2 15" xfId="11569"/>
    <cellStyle name="Note 7 2 15 2" xfId="34344"/>
    <cellStyle name="Note 7 2 16" xfId="12225"/>
    <cellStyle name="Note 7 2 16 2" xfId="35000"/>
    <cellStyle name="Note 7 2 17" xfId="12881"/>
    <cellStyle name="Note 7 2 17 2" xfId="35656"/>
    <cellStyle name="Note 7 2 18" xfId="13537"/>
    <cellStyle name="Note 7 2 18 2" xfId="36312"/>
    <cellStyle name="Note 7 2 19" xfId="14193"/>
    <cellStyle name="Note 7 2 19 2" xfId="36968"/>
    <cellStyle name="Note 7 2 2" xfId="1401"/>
    <cellStyle name="Note 7 2 2 2" xfId="3697"/>
    <cellStyle name="Note 7 2 2 2 2" xfId="26472"/>
    <cellStyle name="Note 7 2 2 3" xfId="24176"/>
    <cellStyle name="Note 7 2 20" xfId="14849"/>
    <cellStyle name="Note 7 2 20 2" xfId="37624"/>
    <cellStyle name="Note 7 2 21" xfId="15505"/>
    <cellStyle name="Note 7 2 21 2" xfId="38280"/>
    <cellStyle name="Note 7 2 22" xfId="16161"/>
    <cellStyle name="Note 7 2 22 2" xfId="38936"/>
    <cellStyle name="Note 7 2 23" xfId="16817"/>
    <cellStyle name="Note 7 2 23 2" xfId="39592"/>
    <cellStyle name="Note 7 2 24" xfId="17473"/>
    <cellStyle name="Note 7 2 24 2" xfId="40248"/>
    <cellStyle name="Note 7 2 25" xfId="18129"/>
    <cellStyle name="Note 7 2 25 2" xfId="40904"/>
    <cellStyle name="Note 7 2 26" xfId="18785"/>
    <cellStyle name="Note 7 2 26 2" xfId="41560"/>
    <cellStyle name="Note 7 2 27" xfId="19441"/>
    <cellStyle name="Note 7 2 27 2" xfId="42216"/>
    <cellStyle name="Note 7 2 28" xfId="20097"/>
    <cellStyle name="Note 7 2 28 2" xfId="42872"/>
    <cellStyle name="Note 7 2 29" xfId="20753"/>
    <cellStyle name="Note 7 2 29 2" xfId="43528"/>
    <cellStyle name="Note 7 2 3" xfId="2057"/>
    <cellStyle name="Note 7 2 3 2" xfId="4353"/>
    <cellStyle name="Note 7 2 3 2 2" xfId="27128"/>
    <cellStyle name="Note 7 2 3 3" xfId="24832"/>
    <cellStyle name="Note 7 2 30" xfId="21409"/>
    <cellStyle name="Note 7 2 30 2" xfId="44184"/>
    <cellStyle name="Note 7 2 31" xfId="22065"/>
    <cellStyle name="Note 7 2 31 2" xfId="44840"/>
    <cellStyle name="Note 7 2 32" xfId="22721"/>
    <cellStyle name="Note 7 2 32 2" xfId="45496"/>
    <cellStyle name="Note 7 2 33" xfId="23520"/>
    <cellStyle name="Note 7 2 4" xfId="5009"/>
    <cellStyle name="Note 7 2 4 2" xfId="27784"/>
    <cellStyle name="Note 7 2 5" xfId="5665"/>
    <cellStyle name="Note 7 2 5 2" xfId="28440"/>
    <cellStyle name="Note 7 2 6" xfId="6321"/>
    <cellStyle name="Note 7 2 6 2" xfId="29096"/>
    <cellStyle name="Note 7 2 7" xfId="3041"/>
    <cellStyle name="Note 7 2 7 2" xfId="25816"/>
    <cellStyle name="Note 7 2 8" xfId="6977"/>
    <cellStyle name="Note 7 2 8 2" xfId="29752"/>
    <cellStyle name="Note 7 2 9" xfId="7633"/>
    <cellStyle name="Note 7 2 9 2" xfId="30408"/>
    <cellStyle name="Note 7 20" xfId="13209"/>
    <cellStyle name="Note 7 20 2" xfId="35984"/>
    <cellStyle name="Note 7 21" xfId="13865"/>
    <cellStyle name="Note 7 21 2" xfId="36640"/>
    <cellStyle name="Note 7 22" xfId="14521"/>
    <cellStyle name="Note 7 22 2" xfId="37296"/>
    <cellStyle name="Note 7 23" xfId="15177"/>
    <cellStyle name="Note 7 23 2" xfId="37952"/>
    <cellStyle name="Note 7 24" xfId="15833"/>
    <cellStyle name="Note 7 24 2" xfId="38608"/>
    <cellStyle name="Note 7 25" xfId="16489"/>
    <cellStyle name="Note 7 25 2" xfId="39264"/>
    <cellStyle name="Note 7 26" xfId="17145"/>
    <cellStyle name="Note 7 26 2" xfId="39920"/>
    <cellStyle name="Note 7 27" xfId="17801"/>
    <cellStyle name="Note 7 27 2" xfId="40576"/>
    <cellStyle name="Note 7 28" xfId="18457"/>
    <cellStyle name="Note 7 28 2" xfId="41232"/>
    <cellStyle name="Note 7 29" xfId="19113"/>
    <cellStyle name="Note 7 29 2" xfId="41888"/>
    <cellStyle name="Note 7 3" xfId="1073"/>
    <cellStyle name="Note 7 3 2" xfId="2713"/>
    <cellStyle name="Note 7 3 2 2" xfId="25488"/>
    <cellStyle name="Note 7 3 3" xfId="23848"/>
    <cellStyle name="Note 7 30" xfId="19769"/>
    <cellStyle name="Note 7 30 2" xfId="42544"/>
    <cellStyle name="Note 7 31" xfId="20425"/>
    <cellStyle name="Note 7 31 2" xfId="43200"/>
    <cellStyle name="Note 7 32" xfId="21081"/>
    <cellStyle name="Note 7 32 2" xfId="43856"/>
    <cellStyle name="Note 7 33" xfId="21737"/>
    <cellStyle name="Note 7 33 2" xfId="44512"/>
    <cellStyle name="Note 7 34" xfId="22393"/>
    <cellStyle name="Note 7 34 2" xfId="45168"/>
    <cellStyle name="Note 7 35" xfId="23192"/>
    <cellStyle name="Note 7 4" xfId="1729"/>
    <cellStyle name="Note 7 4 2" xfId="3369"/>
    <cellStyle name="Note 7 4 2 2" xfId="26144"/>
    <cellStyle name="Note 7 4 3" xfId="24504"/>
    <cellStyle name="Note 7 5" xfId="4025"/>
    <cellStyle name="Note 7 5 2" xfId="26800"/>
    <cellStyle name="Note 7 6" xfId="4681"/>
    <cellStyle name="Note 7 6 2" xfId="27456"/>
    <cellStyle name="Note 7 7" xfId="5337"/>
    <cellStyle name="Note 7 7 2" xfId="28112"/>
    <cellStyle name="Note 7 8" xfId="5993"/>
    <cellStyle name="Note 7 8 2" xfId="28768"/>
    <cellStyle name="Note 7 9" xfId="2385"/>
    <cellStyle name="Note 7 9 2" xfId="25160"/>
    <cellStyle name="Note 8" xfId="432"/>
    <cellStyle name="Note 8 10" xfId="6663"/>
    <cellStyle name="Note 8 10 2" xfId="29438"/>
    <cellStyle name="Note 8 11" xfId="7319"/>
    <cellStyle name="Note 8 11 2" xfId="30094"/>
    <cellStyle name="Note 8 12" xfId="7975"/>
    <cellStyle name="Note 8 12 2" xfId="30750"/>
    <cellStyle name="Note 8 13" xfId="8631"/>
    <cellStyle name="Note 8 13 2" xfId="31406"/>
    <cellStyle name="Note 8 14" xfId="9287"/>
    <cellStyle name="Note 8 14 2" xfId="32062"/>
    <cellStyle name="Note 8 15" xfId="9943"/>
    <cellStyle name="Note 8 15 2" xfId="32718"/>
    <cellStyle name="Note 8 16" xfId="10599"/>
    <cellStyle name="Note 8 16 2" xfId="33374"/>
    <cellStyle name="Note 8 17" xfId="11255"/>
    <cellStyle name="Note 8 17 2" xfId="34030"/>
    <cellStyle name="Note 8 18" xfId="11911"/>
    <cellStyle name="Note 8 18 2" xfId="34686"/>
    <cellStyle name="Note 8 19" xfId="12567"/>
    <cellStyle name="Note 8 19 2" xfId="35342"/>
    <cellStyle name="Note 8 2" xfId="759"/>
    <cellStyle name="Note 8 2 10" xfId="8303"/>
    <cellStyle name="Note 8 2 10 2" xfId="31078"/>
    <cellStyle name="Note 8 2 11" xfId="8959"/>
    <cellStyle name="Note 8 2 11 2" xfId="31734"/>
    <cellStyle name="Note 8 2 12" xfId="9615"/>
    <cellStyle name="Note 8 2 12 2" xfId="32390"/>
    <cellStyle name="Note 8 2 13" xfId="10271"/>
    <cellStyle name="Note 8 2 13 2" xfId="33046"/>
    <cellStyle name="Note 8 2 14" xfId="10927"/>
    <cellStyle name="Note 8 2 14 2" xfId="33702"/>
    <cellStyle name="Note 8 2 15" xfId="11583"/>
    <cellStyle name="Note 8 2 15 2" xfId="34358"/>
    <cellStyle name="Note 8 2 16" xfId="12239"/>
    <cellStyle name="Note 8 2 16 2" xfId="35014"/>
    <cellStyle name="Note 8 2 17" xfId="12895"/>
    <cellStyle name="Note 8 2 17 2" xfId="35670"/>
    <cellStyle name="Note 8 2 18" xfId="13551"/>
    <cellStyle name="Note 8 2 18 2" xfId="36326"/>
    <cellStyle name="Note 8 2 19" xfId="14207"/>
    <cellStyle name="Note 8 2 19 2" xfId="36982"/>
    <cellStyle name="Note 8 2 2" xfId="1415"/>
    <cellStyle name="Note 8 2 2 2" xfId="3711"/>
    <cellStyle name="Note 8 2 2 2 2" xfId="26486"/>
    <cellStyle name="Note 8 2 2 3" xfId="24190"/>
    <cellStyle name="Note 8 2 20" xfId="14863"/>
    <cellStyle name="Note 8 2 20 2" xfId="37638"/>
    <cellStyle name="Note 8 2 21" xfId="15519"/>
    <cellStyle name="Note 8 2 21 2" xfId="38294"/>
    <cellStyle name="Note 8 2 22" xfId="16175"/>
    <cellStyle name="Note 8 2 22 2" xfId="38950"/>
    <cellStyle name="Note 8 2 23" xfId="16831"/>
    <cellStyle name="Note 8 2 23 2" xfId="39606"/>
    <cellStyle name="Note 8 2 24" xfId="17487"/>
    <cellStyle name="Note 8 2 24 2" xfId="40262"/>
    <cellStyle name="Note 8 2 25" xfId="18143"/>
    <cellStyle name="Note 8 2 25 2" xfId="40918"/>
    <cellStyle name="Note 8 2 26" xfId="18799"/>
    <cellStyle name="Note 8 2 26 2" xfId="41574"/>
    <cellStyle name="Note 8 2 27" xfId="19455"/>
    <cellStyle name="Note 8 2 27 2" xfId="42230"/>
    <cellStyle name="Note 8 2 28" xfId="20111"/>
    <cellStyle name="Note 8 2 28 2" xfId="42886"/>
    <cellStyle name="Note 8 2 29" xfId="20767"/>
    <cellStyle name="Note 8 2 29 2" xfId="43542"/>
    <cellStyle name="Note 8 2 3" xfId="2071"/>
    <cellStyle name="Note 8 2 3 2" xfId="4367"/>
    <cellStyle name="Note 8 2 3 2 2" xfId="27142"/>
    <cellStyle name="Note 8 2 3 3" xfId="24846"/>
    <cellStyle name="Note 8 2 30" xfId="21423"/>
    <cellStyle name="Note 8 2 30 2" xfId="44198"/>
    <cellStyle name="Note 8 2 31" xfId="22079"/>
    <cellStyle name="Note 8 2 31 2" xfId="44854"/>
    <cellStyle name="Note 8 2 32" xfId="22735"/>
    <cellStyle name="Note 8 2 32 2" xfId="45510"/>
    <cellStyle name="Note 8 2 33" xfId="23534"/>
    <cellStyle name="Note 8 2 4" xfId="5023"/>
    <cellStyle name="Note 8 2 4 2" xfId="27798"/>
    <cellStyle name="Note 8 2 5" xfId="5679"/>
    <cellStyle name="Note 8 2 5 2" xfId="28454"/>
    <cellStyle name="Note 8 2 6" xfId="6335"/>
    <cellStyle name="Note 8 2 6 2" xfId="29110"/>
    <cellStyle name="Note 8 2 7" xfId="3055"/>
    <cellStyle name="Note 8 2 7 2" xfId="25830"/>
    <cellStyle name="Note 8 2 8" xfId="6991"/>
    <cellStyle name="Note 8 2 8 2" xfId="29766"/>
    <cellStyle name="Note 8 2 9" xfId="7647"/>
    <cellStyle name="Note 8 2 9 2" xfId="30422"/>
    <cellStyle name="Note 8 20" xfId="13223"/>
    <cellStyle name="Note 8 20 2" xfId="35998"/>
    <cellStyle name="Note 8 21" xfId="13879"/>
    <cellStyle name="Note 8 21 2" xfId="36654"/>
    <cellStyle name="Note 8 22" xfId="14535"/>
    <cellStyle name="Note 8 22 2" xfId="37310"/>
    <cellStyle name="Note 8 23" xfId="15191"/>
    <cellStyle name="Note 8 23 2" xfId="37966"/>
    <cellStyle name="Note 8 24" xfId="15847"/>
    <cellStyle name="Note 8 24 2" xfId="38622"/>
    <cellStyle name="Note 8 25" xfId="16503"/>
    <cellStyle name="Note 8 25 2" xfId="39278"/>
    <cellStyle name="Note 8 26" xfId="17159"/>
    <cellStyle name="Note 8 26 2" xfId="39934"/>
    <cellStyle name="Note 8 27" xfId="17815"/>
    <cellStyle name="Note 8 27 2" xfId="40590"/>
    <cellStyle name="Note 8 28" xfId="18471"/>
    <cellStyle name="Note 8 28 2" xfId="41246"/>
    <cellStyle name="Note 8 29" xfId="19127"/>
    <cellStyle name="Note 8 29 2" xfId="41902"/>
    <cellStyle name="Note 8 3" xfId="1087"/>
    <cellStyle name="Note 8 3 2" xfId="2727"/>
    <cellStyle name="Note 8 3 2 2" xfId="25502"/>
    <cellStyle name="Note 8 3 3" xfId="23862"/>
    <cellStyle name="Note 8 30" xfId="19783"/>
    <cellStyle name="Note 8 30 2" xfId="42558"/>
    <cellStyle name="Note 8 31" xfId="20439"/>
    <cellStyle name="Note 8 31 2" xfId="43214"/>
    <cellStyle name="Note 8 32" xfId="21095"/>
    <cellStyle name="Note 8 32 2" xfId="43870"/>
    <cellStyle name="Note 8 33" xfId="21751"/>
    <cellStyle name="Note 8 33 2" xfId="44526"/>
    <cellStyle name="Note 8 34" xfId="22407"/>
    <cellStyle name="Note 8 34 2" xfId="45182"/>
    <cellStyle name="Note 8 35" xfId="23206"/>
    <cellStyle name="Note 8 4" xfId="1743"/>
    <cellStyle name="Note 8 4 2" xfId="3383"/>
    <cellStyle name="Note 8 4 2 2" xfId="26158"/>
    <cellStyle name="Note 8 4 3" xfId="24518"/>
    <cellStyle name="Note 8 5" xfId="4039"/>
    <cellStyle name="Note 8 5 2" xfId="26814"/>
    <cellStyle name="Note 8 6" xfId="4695"/>
    <cellStyle name="Note 8 6 2" xfId="27470"/>
    <cellStyle name="Note 8 7" xfId="5351"/>
    <cellStyle name="Note 8 7 2" xfId="28126"/>
    <cellStyle name="Note 8 8" xfId="6007"/>
    <cellStyle name="Note 8 8 2" xfId="28782"/>
    <cellStyle name="Note 8 9" xfId="2399"/>
    <cellStyle name="Note 8 9 2" xfId="25174"/>
    <cellStyle name="Note 9" xfId="446"/>
    <cellStyle name="Note 9 10" xfId="6677"/>
    <cellStyle name="Note 9 10 2" xfId="29452"/>
    <cellStyle name="Note 9 11" xfId="7333"/>
    <cellStyle name="Note 9 11 2" xfId="30108"/>
    <cellStyle name="Note 9 12" xfId="7989"/>
    <cellStyle name="Note 9 12 2" xfId="30764"/>
    <cellStyle name="Note 9 13" xfId="8645"/>
    <cellStyle name="Note 9 13 2" xfId="31420"/>
    <cellStyle name="Note 9 14" xfId="9301"/>
    <cellStyle name="Note 9 14 2" xfId="32076"/>
    <cellStyle name="Note 9 15" xfId="9957"/>
    <cellStyle name="Note 9 15 2" xfId="32732"/>
    <cellStyle name="Note 9 16" xfId="10613"/>
    <cellStyle name="Note 9 16 2" xfId="33388"/>
    <cellStyle name="Note 9 17" xfId="11269"/>
    <cellStyle name="Note 9 17 2" xfId="34044"/>
    <cellStyle name="Note 9 18" xfId="11925"/>
    <cellStyle name="Note 9 18 2" xfId="34700"/>
    <cellStyle name="Note 9 19" xfId="12581"/>
    <cellStyle name="Note 9 19 2" xfId="35356"/>
    <cellStyle name="Note 9 2" xfId="773"/>
    <cellStyle name="Note 9 2 10" xfId="8317"/>
    <cellStyle name="Note 9 2 10 2" xfId="31092"/>
    <cellStyle name="Note 9 2 11" xfId="8973"/>
    <cellStyle name="Note 9 2 11 2" xfId="31748"/>
    <cellStyle name="Note 9 2 12" xfId="9629"/>
    <cellStyle name="Note 9 2 12 2" xfId="32404"/>
    <cellStyle name="Note 9 2 13" xfId="10285"/>
    <cellStyle name="Note 9 2 13 2" xfId="33060"/>
    <cellStyle name="Note 9 2 14" xfId="10941"/>
    <cellStyle name="Note 9 2 14 2" xfId="33716"/>
    <cellStyle name="Note 9 2 15" xfId="11597"/>
    <cellStyle name="Note 9 2 15 2" xfId="34372"/>
    <cellStyle name="Note 9 2 16" xfId="12253"/>
    <cellStyle name="Note 9 2 16 2" xfId="35028"/>
    <cellStyle name="Note 9 2 17" xfId="12909"/>
    <cellStyle name="Note 9 2 17 2" xfId="35684"/>
    <cellStyle name="Note 9 2 18" xfId="13565"/>
    <cellStyle name="Note 9 2 18 2" xfId="36340"/>
    <cellStyle name="Note 9 2 19" xfId="14221"/>
    <cellStyle name="Note 9 2 19 2" xfId="36996"/>
    <cellStyle name="Note 9 2 2" xfId="1429"/>
    <cellStyle name="Note 9 2 2 2" xfId="3725"/>
    <cellStyle name="Note 9 2 2 2 2" xfId="26500"/>
    <cellStyle name="Note 9 2 2 3" xfId="24204"/>
    <cellStyle name="Note 9 2 20" xfId="14877"/>
    <cellStyle name="Note 9 2 20 2" xfId="37652"/>
    <cellStyle name="Note 9 2 21" xfId="15533"/>
    <cellStyle name="Note 9 2 21 2" xfId="38308"/>
    <cellStyle name="Note 9 2 22" xfId="16189"/>
    <cellStyle name="Note 9 2 22 2" xfId="38964"/>
    <cellStyle name="Note 9 2 23" xfId="16845"/>
    <cellStyle name="Note 9 2 23 2" xfId="39620"/>
    <cellStyle name="Note 9 2 24" xfId="17501"/>
    <cellStyle name="Note 9 2 24 2" xfId="40276"/>
    <cellStyle name="Note 9 2 25" xfId="18157"/>
    <cellStyle name="Note 9 2 25 2" xfId="40932"/>
    <cellStyle name="Note 9 2 26" xfId="18813"/>
    <cellStyle name="Note 9 2 26 2" xfId="41588"/>
    <cellStyle name="Note 9 2 27" xfId="19469"/>
    <cellStyle name="Note 9 2 27 2" xfId="42244"/>
    <cellStyle name="Note 9 2 28" xfId="20125"/>
    <cellStyle name="Note 9 2 28 2" xfId="42900"/>
    <cellStyle name="Note 9 2 29" xfId="20781"/>
    <cellStyle name="Note 9 2 29 2" xfId="43556"/>
    <cellStyle name="Note 9 2 3" xfId="2085"/>
    <cellStyle name="Note 9 2 3 2" xfId="4381"/>
    <cellStyle name="Note 9 2 3 2 2" xfId="27156"/>
    <cellStyle name="Note 9 2 3 3" xfId="24860"/>
    <cellStyle name="Note 9 2 30" xfId="21437"/>
    <cellStyle name="Note 9 2 30 2" xfId="44212"/>
    <cellStyle name="Note 9 2 31" xfId="22093"/>
    <cellStyle name="Note 9 2 31 2" xfId="44868"/>
    <cellStyle name="Note 9 2 32" xfId="22749"/>
    <cellStyle name="Note 9 2 32 2" xfId="45524"/>
    <cellStyle name="Note 9 2 33" xfId="23548"/>
    <cellStyle name="Note 9 2 4" xfId="5037"/>
    <cellStyle name="Note 9 2 4 2" xfId="27812"/>
    <cellStyle name="Note 9 2 5" xfId="5693"/>
    <cellStyle name="Note 9 2 5 2" xfId="28468"/>
    <cellStyle name="Note 9 2 6" xfId="6349"/>
    <cellStyle name="Note 9 2 6 2" xfId="29124"/>
    <cellStyle name="Note 9 2 7" xfId="3069"/>
    <cellStyle name="Note 9 2 7 2" xfId="25844"/>
    <cellStyle name="Note 9 2 8" xfId="7005"/>
    <cellStyle name="Note 9 2 8 2" xfId="29780"/>
    <cellStyle name="Note 9 2 9" xfId="7661"/>
    <cellStyle name="Note 9 2 9 2" xfId="30436"/>
    <cellStyle name="Note 9 20" xfId="13237"/>
    <cellStyle name="Note 9 20 2" xfId="36012"/>
    <cellStyle name="Note 9 21" xfId="13893"/>
    <cellStyle name="Note 9 21 2" xfId="36668"/>
    <cellStyle name="Note 9 22" xfId="14549"/>
    <cellStyle name="Note 9 22 2" xfId="37324"/>
    <cellStyle name="Note 9 23" xfId="15205"/>
    <cellStyle name="Note 9 23 2" xfId="37980"/>
    <cellStyle name="Note 9 24" xfId="15861"/>
    <cellStyle name="Note 9 24 2" xfId="38636"/>
    <cellStyle name="Note 9 25" xfId="16517"/>
    <cellStyle name="Note 9 25 2" xfId="39292"/>
    <cellStyle name="Note 9 26" xfId="17173"/>
    <cellStyle name="Note 9 26 2" xfId="39948"/>
    <cellStyle name="Note 9 27" xfId="17829"/>
    <cellStyle name="Note 9 27 2" xfId="40604"/>
    <cellStyle name="Note 9 28" xfId="18485"/>
    <cellStyle name="Note 9 28 2" xfId="41260"/>
    <cellStyle name="Note 9 29" xfId="19141"/>
    <cellStyle name="Note 9 29 2" xfId="41916"/>
    <cellStyle name="Note 9 3" xfId="1101"/>
    <cellStyle name="Note 9 3 2" xfId="2741"/>
    <cellStyle name="Note 9 3 2 2" xfId="25516"/>
    <cellStyle name="Note 9 3 3" xfId="23876"/>
    <cellStyle name="Note 9 30" xfId="19797"/>
    <cellStyle name="Note 9 30 2" xfId="42572"/>
    <cellStyle name="Note 9 31" xfId="20453"/>
    <cellStyle name="Note 9 31 2" xfId="43228"/>
    <cellStyle name="Note 9 32" xfId="21109"/>
    <cellStyle name="Note 9 32 2" xfId="43884"/>
    <cellStyle name="Note 9 33" xfId="21765"/>
    <cellStyle name="Note 9 33 2" xfId="44540"/>
    <cellStyle name="Note 9 34" xfId="22421"/>
    <cellStyle name="Note 9 34 2" xfId="45196"/>
    <cellStyle name="Note 9 35" xfId="23220"/>
    <cellStyle name="Note 9 4" xfId="1757"/>
    <cellStyle name="Note 9 4 2" xfId="3397"/>
    <cellStyle name="Note 9 4 2 2" xfId="26172"/>
    <cellStyle name="Note 9 4 3" xfId="24532"/>
    <cellStyle name="Note 9 5" xfId="4053"/>
    <cellStyle name="Note 9 5 2" xfId="26828"/>
    <cellStyle name="Note 9 6" xfId="4709"/>
    <cellStyle name="Note 9 6 2" xfId="27484"/>
    <cellStyle name="Note 9 7" xfId="5365"/>
    <cellStyle name="Note 9 7 2" xfId="28140"/>
    <cellStyle name="Note 9 8" xfId="6021"/>
    <cellStyle name="Note 9 8 2" xfId="28796"/>
    <cellStyle name="Note 9 9" xfId="2413"/>
    <cellStyle name="Note 9 9 2" xfId="25188"/>
    <cellStyle name="Output" xfId="14" builtinId="21" customBuiltin="1"/>
    <cellStyle name="Percent" xfId="4" builtinId="5"/>
    <cellStyle name="Percent 2" xfId="50"/>
    <cellStyle name="Percent 2 2" xfId="128"/>
    <cellStyle name="Percent 3" xfId="47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66FF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409575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Pricing/2018%20Pricing/Jan%201%202018%20HD%20Master%20US%20Price%20Adjustment%20Analysis%20Workfile-rev2.5.1_Volume%20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Activity%20Pop%20Codes%20&amp;%20Percent%20Sales/Original%20Master%202018%20Luberfiner%20Pop%20Code%20Update%201-1-18-rev_10-24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ricing"/>
    </sheetNames>
    <sheetDataSet>
      <sheetData sheetId="0">
        <row r="12">
          <cell r="K12" t="str">
            <v>LFP2160</v>
          </cell>
          <cell r="L12" t="str">
            <v>HD</v>
          </cell>
          <cell r="N12" t="e">
            <v>#N/A</v>
          </cell>
          <cell r="O12" t="str">
            <v>Spin-on Oil Filter</v>
          </cell>
        </row>
        <row r="13">
          <cell r="K13" t="str">
            <v>L3578FN</v>
          </cell>
          <cell r="L13" t="str">
            <v>HD</v>
          </cell>
          <cell r="N13" t="e">
            <v>#N/A</v>
          </cell>
          <cell r="O13" t="str">
            <v>Cartridge Fuel Water Separator Coalescer filter</v>
          </cell>
        </row>
        <row r="14">
          <cell r="K14" t="str">
            <v>LFP3191</v>
          </cell>
          <cell r="L14" t="str">
            <v>HD</v>
          </cell>
          <cell r="N14" t="e">
            <v>#N/A</v>
          </cell>
          <cell r="O14" t="str">
            <v>Spin-on Oil Filter</v>
          </cell>
        </row>
        <row r="15">
          <cell r="K15" t="str">
            <v>LFP4005</v>
          </cell>
          <cell r="L15" t="str">
            <v>HD</v>
          </cell>
          <cell r="N15" t="e">
            <v>#N/A</v>
          </cell>
          <cell r="O15" t="str">
            <v>Spin-on Oil Filter</v>
          </cell>
        </row>
        <row r="16">
          <cell r="K16" t="str">
            <v>LFP9001</v>
          </cell>
          <cell r="L16" t="str">
            <v>HD</v>
          </cell>
          <cell r="N16" t="e">
            <v>#N/A</v>
          </cell>
          <cell r="O16" t="str">
            <v>Spin-on Oil Filter</v>
          </cell>
        </row>
        <row r="17">
          <cell r="K17" t="str">
            <v>LFF1000</v>
          </cell>
          <cell r="L17" t="str">
            <v>HD</v>
          </cell>
          <cell r="N17" t="e">
            <v>#N/A</v>
          </cell>
          <cell r="O17" t="str">
            <v>Spin-on Fuel Filter</v>
          </cell>
        </row>
        <row r="18">
          <cell r="K18" t="str">
            <v>LFP816FN</v>
          </cell>
          <cell r="L18" t="str">
            <v>HD</v>
          </cell>
          <cell r="N18" t="e">
            <v>#N/A</v>
          </cell>
          <cell r="O18" t="str">
            <v>Secondary spin-on fuel filter</v>
          </cell>
        </row>
        <row r="19">
          <cell r="K19" t="str">
            <v>LFP3970</v>
          </cell>
          <cell r="L19" t="str">
            <v>HD</v>
          </cell>
          <cell r="N19" t="e">
            <v>#N/A</v>
          </cell>
          <cell r="O19" t="str">
            <v>Spin-on Oil Filter</v>
          </cell>
        </row>
        <row r="20">
          <cell r="K20" t="str">
            <v>LAF1849</v>
          </cell>
          <cell r="L20" t="str">
            <v>HD</v>
          </cell>
          <cell r="N20" t="e">
            <v>#N/A</v>
          </cell>
          <cell r="O20" t="str">
            <v>Radial Seal Air Filter (Primary) Filter</v>
          </cell>
        </row>
        <row r="21">
          <cell r="K21" t="str">
            <v>LFF2749</v>
          </cell>
          <cell r="L21" t="str">
            <v>HD</v>
          </cell>
          <cell r="N21" t="e">
            <v>#N/A</v>
          </cell>
          <cell r="O21" t="str">
            <v>HD Spin-on Fuel Filter</v>
          </cell>
        </row>
        <row r="22">
          <cell r="K22" t="str">
            <v>LFP8642</v>
          </cell>
          <cell r="L22" t="str">
            <v>HD</v>
          </cell>
          <cell r="N22" t="e">
            <v>#N/A</v>
          </cell>
          <cell r="O22" t="str">
            <v>Spin-on By-Pass Oil Filter</v>
          </cell>
        </row>
        <row r="23">
          <cell r="K23" t="str">
            <v>LFP815FN</v>
          </cell>
          <cell r="L23" t="str">
            <v>HD</v>
          </cell>
          <cell r="N23" t="e">
            <v>#N/A</v>
          </cell>
          <cell r="O23" t="str">
            <v>Primary Spin-on Fuel Filter</v>
          </cell>
        </row>
        <row r="24">
          <cell r="K24" t="str">
            <v>LFF8059</v>
          </cell>
          <cell r="L24" t="str">
            <v>HD</v>
          </cell>
          <cell r="N24" t="e">
            <v>#N/A</v>
          </cell>
          <cell r="O24" t="str">
            <v>Spin-on Fuel Filter</v>
          </cell>
        </row>
        <row r="25">
          <cell r="K25" t="str">
            <v>LFP3000G</v>
          </cell>
          <cell r="L25" t="str">
            <v>HD</v>
          </cell>
          <cell r="N25" t="e">
            <v>#N/A</v>
          </cell>
          <cell r="O25" t="str">
            <v>Extended Life Spin-on Oil Filter</v>
          </cell>
        </row>
        <row r="26">
          <cell r="K26" t="str">
            <v>LFF5</v>
          </cell>
          <cell r="L26" t="str">
            <v>HD</v>
          </cell>
          <cell r="N26" t="e">
            <v>#N/A</v>
          </cell>
          <cell r="O26" t="str">
            <v>Spin-on Fuel Filter</v>
          </cell>
        </row>
        <row r="27">
          <cell r="K27" t="str">
            <v>LFH8737</v>
          </cell>
          <cell r="L27" t="str">
            <v>HD</v>
          </cell>
          <cell r="N27" t="e">
            <v>#N/A</v>
          </cell>
          <cell r="O27" t="str">
            <v>Spin-on Transmission (Hydraulic) Filter</v>
          </cell>
        </row>
        <row r="28">
          <cell r="K28" t="str">
            <v>LFW4071</v>
          </cell>
          <cell r="L28" t="str">
            <v>HD</v>
          </cell>
          <cell r="N28" t="e">
            <v>#N/A</v>
          </cell>
          <cell r="O28" t="str">
            <v>Spin-on Coolant Filter</v>
          </cell>
        </row>
        <row r="29">
          <cell r="K29" t="str">
            <v>LFF5823B</v>
          </cell>
          <cell r="L29" t="str">
            <v>HD</v>
          </cell>
          <cell r="N29" t="e">
            <v>#N/A</v>
          </cell>
          <cell r="O29" t="str">
            <v>Spin-on Fuel Filter</v>
          </cell>
        </row>
        <row r="30">
          <cell r="K30" t="str">
            <v>LFF6776</v>
          </cell>
          <cell r="L30" t="str">
            <v>HD</v>
          </cell>
          <cell r="N30" t="e">
            <v>#N/A</v>
          </cell>
          <cell r="O30" t="str">
            <v>Spin-on Fuel Filter</v>
          </cell>
        </row>
        <row r="31">
          <cell r="K31" t="str">
            <v>LFP3000</v>
          </cell>
          <cell r="L31" t="str">
            <v>HD</v>
          </cell>
          <cell r="N31" t="e">
            <v>#N/A</v>
          </cell>
          <cell r="O31" t="str">
            <v>Spin-on Oil Filter</v>
          </cell>
        </row>
        <row r="32">
          <cell r="K32" t="str">
            <v>LFP3236</v>
          </cell>
          <cell r="L32" t="str">
            <v>HD</v>
          </cell>
          <cell r="N32" t="e">
            <v>#N/A</v>
          </cell>
          <cell r="O32" t="str">
            <v>Spin-on Oil Filter</v>
          </cell>
        </row>
        <row r="33">
          <cell r="K33" t="str">
            <v>LP5090</v>
          </cell>
          <cell r="L33" t="str">
            <v>HD</v>
          </cell>
          <cell r="N33" t="e">
            <v>#N/A</v>
          </cell>
          <cell r="O33" t="str">
            <v>Cartridge Oil Filter</v>
          </cell>
        </row>
        <row r="34">
          <cell r="K34" t="str">
            <v>CAF24003</v>
          </cell>
          <cell r="L34" t="str">
            <v>HD</v>
          </cell>
          <cell r="N34" t="e">
            <v>#N/A</v>
          </cell>
          <cell r="O34" t="str">
            <v>Cabin Air Filter</v>
          </cell>
        </row>
        <row r="35">
          <cell r="K35" t="str">
            <v>LFP780</v>
          </cell>
          <cell r="L35" t="str">
            <v>HD</v>
          </cell>
          <cell r="N35" t="e">
            <v>#N/A</v>
          </cell>
          <cell r="O35" t="str">
            <v>Spin-on Oil Filter</v>
          </cell>
        </row>
        <row r="36">
          <cell r="K36" t="str">
            <v>L5467F</v>
          </cell>
          <cell r="L36" t="str">
            <v>HD</v>
          </cell>
          <cell r="N36" t="e">
            <v>#N/A</v>
          </cell>
          <cell r="O36" t="str">
            <v>Cartridge Fuel Filter</v>
          </cell>
        </row>
        <row r="37">
          <cell r="K37" t="str">
            <v>LAF3551</v>
          </cell>
          <cell r="L37" t="str">
            <v>HD</v>
          </cell>
          <cell r="N37" t="e">
            <v>#N/A</v>
          </cell>
          <cell r="O37" t="str">
            <v>HD Round Air Filter with Attached Lid</v>
          </cell>
        </row>
        <row r="38">
          <cell r="K38" t="str">
            <v>LFP440F</v>
          </cell>
          <cell r="L38" t="str">
            <v>HD</v>
          </cell>
          <cell r="N38" t="e">
            <v>#N/A</v>
          </cell>
          <cell r="O38" t="str">
            <v>Spin-on Fuel Filter</v>
          </cell>
        </row>
        <row r="39">
          <cell r="K39" t="str">
            <v>LFP2286</v>
          </cell>
          <cell r="L39" t="str">
            <v>HD</v>
          </cell>
          <cell r="N39" t="e">
            <v>#N/A</v>
          </cell>
          <cell r="O39" t="str">
            <v>Spin-on Oil Filter</v>
          </cell>
        </row>
        <row r="40">
          <cell r="K40" t="str">
            <v>LAF1878</v>
          </cell>
          <cell r="L40" t="str">
            <v>HD</v>
          </cell>
          <cell r="N40" t="e">
            <v>#N/A</v>
          </cell>
          <cell r="O40" t="str">
            <v>Radial Seal Air Filter (Primary) Filter</v>
          </cell>
        </row>
        <row r="41">
          <cell r="K41" t="str">
            <v>L9915F</v>
          </cell>
          <cell r="L41" t="str">
            <v>HD</v>
          </cell>
          <cell r="N41" t="e">
            <v>#N/A</v>
          </cell>
          <cell r="O41" t="str">
            <v>Cartridge Fuel Water Separator Coalescer filter</v>
          </cell>
        </row>
        <row r="42">
          <cell r="K42" t="str">
            <v>LFF2201</v>
          </cell>
          <cell r="L42" t="str">
            <v>HD</v>
          </cell>
          <cell r="N42" t="str">
            <v>LFF2201</v>
          </cell>
          <cell r="O42" t="str">
            <v>Spin-on Fuel Filter</v>
          </cell>
        </row>
        <row r="43">
          <cell r="K43" t="str">
            <v>2788B</v>
          </cell>
          <cell r="L43" t="str">
            <v>HD</v>
          </cell>
          <cell r="M43" t="str">
            <v>x</v>
          </cell>
          <cell r="N43" t="e">
            <v>#N/A</v>
          </cell>
          <cell r="O43" t="str">
            <v>Luberfiner 500 and 750 cover gasket</v>
          </cell>
        </row>
        <row r="44">
          <cell r="K44" t="str">
            <v>LFF2203</v>
          </cell>
          <cell r="L44" t="str">
            <v>HD</v>
          </cell>
          <cell r="N44" t="str">
            <v>LFF2203</v>
          </cell>
          <cell r="O44" t="str">
            <v>Spin-on Fuel Filter</v>
          </cell>
        </row>
        <row r="45">
          <cell r="K45" t="str">
            <v>L9765FXL</v>
          </cell>
          <cell r="L45" t="str">
            <v>HD</v>
          </cell>
          <cell r="N45" t="e">
            <v>#N/A</v>
          </cell>
          <cell r="O45" t="str">
            <v>Extended Life Cartridge Fuel Water Separator Filter</v>
          </cell>
        </row>
        <row r="46">
          <cell r="K46" t="str">
            <v>LFF5488</v>
          </cell>
          <cell r="L46" t="str">
            <v>HD</v>
          </cell>
          <cell r="N46" t="e">
            <v>#N/A</v>
          </cell>
          <cell r="O46" t="str">
            <v>Spin-on Fuel Filter</v>
          </cell>
        </row>
        <row r="47">
          <cell r="K47" t="str">
            <v>LFF8020</v>
          </cell>
          <cell r="L47" t="str">
            <v>HD</v>
          </cell>
          <cell r="N47" t="e">
            <v>#N/A</v>
          </cell>
          <cell r="O47" t="str">
            <v>Spin-on Fuel Water Separator Filter</v>
          </cell>
        </row>
        <row r="48">
          <cell r="K48">
            <v>920021</v>
          </cell>
          <cell r="L48" t="str">
            <v>HD</v>
          </cell>
          <cell r="M48" t="str">
            <v>x</v>
          </cell>
          <cell r="N48" t="e">
            <v>#N/A</v>
          </cell>
          <cell r="O48" t="str">
            <v>Lubercool II Pint Bottle</v>
          </cell>
        </row>
        <row r="49">
          <cell r="K49" t="str">
            <v>LFP3236TRT</v>
          </cell>
          <cell r="L49" t="str">
            <v>HD</v>
          </cell>
          <cell r="N49" t="e">
            <v>#N/A</v>
          </cell>
          <cell r="O49" t="str">
            <v>Spin-on Oil Filter</v>
          </cell>
        </row>
        <row r="50">
          <cell r="K50" t="str">
            <v>LFP2999R</v>
          </cell>
          <cell r="L50" t="str">
            <v>HD</v>
          </cell>
          <cell r="N50" t="e">
            <v>#N/A</v>
          </cell>
          <cell r="O50" t="str">
            <v>Spin-on Oil Filter</v>
          </cell>
        </row>
        <row r="51">
          <cell r="K51" t="str">
            <v>LAF6260</v>
          </cell>
          <cell r="L51" t="str">
            <v>HD</v>
          </cell>
          <cell r="N51" t="e">
            <v>#N/A</v>
          </cell>
          <cell r="O51" t="str">
            <v>Corrugated Media Air Filter</v>
          </cell>
        </row>
        <row r="52">
          <cell r="K52" t="str">
            <v>LFP1652</v>
          </cell>
          <cell r="L52" t="str">
            <v>HD</v>
          </cell>
          <cell r="N52" t="e">
            <v>#N/A</v>
          </cell>
          <cell r="O52" t="str">
            <v>Spin-on Hydraulic Filter</v>
          </cell>
        </row>
        <row r="53">
          <cell r="K53" t="str">
            <v>CAF24000</v>
          </cell>
          <cell r="L53" t="str">
            <v>HD</v>
          </cell>
          <cell r="N53" t="e">
            <v>#N/A</v>
          </cell>
          <cell r="O53" t="str">
            <v>Cabin Air Filter</v>
          </cell>
        </row>
        <row r="54">
          <cell r="K54" t="str">
            <v>L5467FNXL</v>
          </cell>
          <cell r="L54" t="str">
            <v>HD</v>
          </cell>
          <cell r="N54" t="e">
            <v>#N/A</v>
          </cell>
          <cell r="O54" t="str">
            <v>Extended life Cartridge fuel filter</v>
          </cell>
        </row>
        <row r="55">
          <cell r="K55" t="str">
            <v>L9763FXL</v>
          </cell>
          <cell r="L55" t="str">
            <v>HD</v>
          </cell>
          <cell r="N55" t="e">
            <v>#N/A</v>
          </cell>
          <cell r="O55" t="str">
            <v>Extended Life Cartridge Fuel Water Separator Filter</v>
          </cell>
        </row>
        <row r="56">
          <cell r="K56" t="str">
            <v>LAF6663</v>
          </cell>
          <cell r="L56" t="str">
            <v>HD</v>
          </cell>
          <cell r="N56" t="e">
            <v>#N/A</v>
          </cell>
          <cell r="O56" t="str">
            <v>Radial Seal Outer Air Filter</v>
          </cell>
        </row>
        <row r="57">
          <cell r="K57" t="str">
            <v>L5104F</v>
          </cell>
          <cell r="L57" t="str">
            <v>HD</v>
          </cell>
          <cell r="N57" t="e">
            <v>#N/A</v>
          </cell>
          <cell r="O57" t="str">
            <v>Fuel Filter Kit Primary/Secondary</v>
          </cell>
        </row>
        <row r="58">
          <cell r="K58" t="str">
            <v>LFF3521</v>
          </cell>
          <cell r="L58" t="str">
            <v>HD</v>
          </cell>
          <cell r="N58" t="e">
            <v>#N/A</v>
          </cell>
          <cell r="O58" t="str">
            <v>Spin-on Fuel Filter</v>
          </cell>
        </row>
        <row r="59">
          <cell r="K59" t="str">
            <v>L9729F</v>
          </cell>
          <cell r="L59" t="str">
            <v>HD</v>
          </cell>
          <cell r="N59" t="e">
            <v>#N/A</v>
          </cell>
          <cell r="O59" t="str">
            <v>Cartridge Fuel Water Separator Filter</v>
          </cell>
        </row>
        <row r="60">
          <cell r="K60" t="str">
            <v>LAF4816</v>
          </cell>
          <cell r="L60" t="str">
            <v>HD</v>
          </cell>
          <cell r="N60" t="e">
            <v>#N/A</v>
          </cell>
          <cell r="O60" t="str">
            <v>Radial Seal Air Filter (Primary) Filter</v>
          </cell>
        </row>
        <row r="61">
          <cell r="K61" t="str">
            <v>LFP2285</v>
          </cell>
          <cell r="L61" t="str">
            <v>HD</v>
          </cell>
          <cell r="N61" t="e">
            <v>#N/A</v>
          </cell>
          <cell r="O61" t="str">
            <v>Spin-on Oil Filter</v>
          </cell>
        </row>
        <row r="62">
          <cell r="K62" t="str">
            <v>LFF4783</v>
          </cell>
          <cell r="L62" t="str">
            <v>HD</v>
          </cell>
          <cell r="N62" t="e">
            <v>#N/A</v>
          </cell>
          <cell r="O62" t="str">
            <v>Spin-on Fuel Filter</v>
          </cell>
        </row>
        <row r="63">
          <cell r="K63" t="str">
            <v>LFF5632</v>
          </cell>
          <cell r="L63" t="str">
            <v>HD</v>
          </cell>
          <cell r="N63" t="e">
            <v>#N/A</v>
          </cell>
          <cell r="O63" t="str">
            <v>Spin-on Fuel Filter</v>
          </cell>
        </row>
        <row r="64">
          <cell r="K64" t="str">
            <v>LAF9201</v>
          </cell>
          <cell r="L64" t="str">
            <v>HD</v>
          </cell>
          <cell r="N64" t="e">
            <v>#N/A</v>
          </cell>
          <cell r="O64" t="str">
            <v>Radial Seal Outer Air Filter</v>
          </cell>
        </row>
        <row r="65">
          <cell r="K65" t="str">
            <v>L5091F</v>
          </cell>
          <cell r="L65" t="str">
            <v>HD</v>
          </cell>
          <cell r="N65" t="e">
            <v>#N/A</v>
          </cell>
          <cell r="O65" t="str">
            <v>Fuel Filter Kit Primary/Secondary</v>
          </cell>
        </row>
        <row r="66">
          <cell r="K66" t="str">
            <v>LAF5114MXM</v>
          </cell>
          <cell r="L66" t="str">
            <v>HD</v>
          </cell>
          <cell r="N66" t="e">
            <v>#N/A</v>
          </cell>
          <cell r="O66" t="str">
            <v>Nano Tech Radial Seal Air Filter</v>
          </cell>
        </row>
        <row r="67">
          <cell r="K67" t="str">
            <v>LFF1003</v>
          </cell>
          <cell r="L67" t="str">
            <v>HD</v>
          </cell>
          <cell r="N67" t="e">
            <v>#N/A</v>
          </cell>
          <cell r="O67" t="str">
            <v>Spin-on Fuel Filter</v>
          </cell>
        </row>
        <row r="68">
          <cell r="K68" t="str">
            <v>LFP670</v>
          </cell>
          <cell r="L68" t="str">
            <v>HD</v>
          </cell>
          <cell r="N68" t="e">
            <v>#N/A</v>
          </cell>
          <cell r="O68" t="str">
            <v>Spin-on Oil Filter</v>
          </cell>
        </row>
        <row r="69">
          <cell r="K69" t="str">
            <v>LAF9099</v>
          </cell>
          <cell r="L69" t="str">
            <v>HD</v>
          </cell>
          <cell r="N69" t="e">
            <v>#N/A</v>
          </cell>
          <cell r="O69" t="str">
            <v>Radial Seal Outer Air Filter</v>
          </cell>
        </row>
        <row r="70">
          <cell r="K70" t="str">
            <v>LFF3358</v>
          </cell>
          <cell r="L70" t="str">
            <v>HD</v>
          </cell>
          <cell r="N70" t="str">
            <v>LFF3358</v>
          </cell>
          <cell r="O70" t="str">
            <v>Spin-on Fuel Filter</v>
          </cell>
        </row>
        <row r="71">
          <cell r="K71" t="str">
            <v>LFP3191TRT</v>
          </cell>
          <cell r="L71" t="str">
            <v>HD</v>
          </cell>
          <cell r="N71" t="e">
            <v>#N/A</v>
          </cell>
          <cell r="O71" t="str">
            <v>Spin-on Oil Filter</v>
          </cell>
        </row>
        <row r="72">
          <cell r="K72" t="str">
            <v>L5086F</v>
          </cell>
          <cell r="L72" t="str">
            <v>HD</v>
          </cell>
          <cell r="N72" t="e">
            <v>#N/A</v>
          </cell>
          <cell r="O72" t="str">
            <v>Cartridge Fuel Water Separator Coalescer filter</v>
          </cell>
        </row>
        <row r="73">
          <cell r="K73" t="str">
            <v>LAF8837</v>
          </cell>
          <cell r="L73" t="str">
            <v>HD</v>
          </cell>
          <cell r="N73" t="e">
            <v>#N/A</v>
          </cell>
          <cell r="O73" t="str">
            <v>Flexible Panel Air Filter</v>
          </cell>
        </row>
        <row r="74">
          <cell r="K74" t="str">
            <v>L7694F</v>
          </cell>
          <cell r="L74" t="str">
            <v>HD</v>
          </cell>
          <cell r="N74" t="e">
            <v>#N/A</v>
          </cell>
          <cell r="O74" t="str">
            <v>Cartridge Fuel Filter</v>
          </cell>
        </row>
        <row r="75">
          <cell r="K75" t="str">
            <v>LFP9000</v>
          </cell>
          <cell r="L75" t="str">
            <v>HD</v>
          </cell>
          <cell r="N75" t="e">
            <v>#N/A</v>
          </cell>
          <cell r="O75" t="str">
            <v>Spin-on Oil Filter</v>
          </cell>
        </row>
        <row r="76">
          <cell r="K76" t="str">
            <v>LFW4685</v>
          </cell>
          <cell r="L76" t="str">
            <v>HD</v>
          </cell>
          <cell r="N76" t="e">
            <v>#N/A</v>
          </cell>
          <cell r="O76" t="str">
            <v>Spin-on Coolant Filter</v>
          </cell>
        </row>
        <row r="77">
          <cell r="K77" t="str">
            <v>LP2017</v>
          </cell>
          <cell r="L77" t="str">
            <v>HD</v>
          </cell>
          <cell r="N77" t="e">
            <v>#N/A</v>
          </cell>
          <cell r="O77" t="str">
            <v>Cartridge Oil Filter</v>
          </cell>
        </row>
        <row r="78">
          <cell r="K78" t="str">
            <v>LP8213</v>
          </cell>
          <cell r="L78" t="str">
            <v>HD</v>
          </cell>
          <cell r="N78" t="e">
            <v>#N/A</v>
          </cell>
          <cell r="O78" t="str">
            <v>Cartridge By-Pass Oil Filter</v>
          </cell>
        </row>
        <row r="79">
          <cell r="K79" t="str">
            <v>LP5048</v>
          </cell>
          <cell r="L79" t="str">
            <v>HD</v>
          </cell>
          <cell r="N79" t="e">
            <v>#N/A</v>
          </cell>
          <cell r="O79" t="str">
            <v>Cartridge Oil Filter</v>
          </cell>
        </row>
        <row r="80">
          <cell r="K80" t="str">
            <v>LFW2127</v>
          </cell>
          <cell r="L80" t="str">
            <v>HD</v>
          </cell>
          <cell r="N80" t="e">
            <v>#N/A</v>
          </cell>
          <cell r="O80" t="str">
            <v>Extended Life Spin-on Coolant Filter</v>
          </cell>
        </row>
        <row r="81">
          <cell r="K81" t="str">
            <v>LFP9025</v>
          </cell>
          <cell r="L81" t="str">
            <v>HD</v>
          </cell>
          <cell r="N81" t="e">
            <v>#N/A</v>
          </cell>
          <cell r="O81" t="str">
            <v>Spin-on Oil Filter</v>
          </cell>
        </row>
        <row r="82">
          <cell r="K82" t="str">
            <v>LP7498XL</v>
          </cell>
          <cell r="L82" t="str">
            <v>HD</v>
          </cell>
          <cell r="N82" t="e">
            <v>#N/A</v>
          </cell>
          <cell r="O82" t="str">
            <v>Extended Life Cartridge Oil Filter</v>
          </cell>
        </row>
        <row r="83">
          <cell r="K83" t="str">
            <v>LFF1065</v>
          </cell>
          <cell r="L83" t="str">
            <v>HD</v>
          </cell>
          <cell r="N83" t="e">
            <v>#N/A</v>
          </cell>
          <cell r="O83" t="str">
            <v>Spin-on Fuel Water Separator Filter</v>
          </cell>
        </row>
        <row r="84">
          <cell r="K84" t="str">
            <v>LFP4005RN</v>
          </cell>
          <cell r="L84" t="str">
            <v>HD</v>
          </cell>
          <cell r="N84" t="e">
            <v>#N/A</v>
          </cell>
          <cell r="O84" t="str">
            <v>Spin-on Oil Filter</v>
          </cell>
        </row>
        <row r="85">
          <cell r="K85" t="str">
            <v>LFF1224</v>
          </cell>
          <cell r="L85" t="str">
            <v>HD</v>
          </cell>
          <cell r="N85" t="e">
            <v>#N/A</v>
          </cell>
          <cell r="O85" t="str">
            <v>Spin-on Fuel Filter</v>
          </cell>
        </row>
        <row r="86">
          <cell r="K86" t="str">
            <v>LFP6035</v>
          </cell>
          <cell r="L86" t="str">
            <v>HD</v>
          </cell>
          <cell r="N86" t="e">
            <v>#N/A</v>
          </cell>
          <cell r="O86" t="str">
            <v>Spin-on Oil Filter</v>
          </cell>
        </row>
        <row r="87">
          <cell r="K87" t="str">
            <v>LFP777B</v>
          </cell>
          <cell r="L87" t="str">
            <v>HD</v>
          </cell>
          <cell r="N87" t="e">
            <v>#N/A</v>
          </cell>
          <cell r="O87" t="str">
            <v>Spin-on By-Pass Oil Filter</v>
          </cell>
        </row>
        <row r="88">
          <cell r="K88" t="str">
            <v>LFP449</v>
          </cell>
          <cell r="L88" t="str">
            <v>HD</v>
          </cell>
          <cell r="N88" t="e">
            <v>#N/A</v>
          </cell>
          <cell r="O88" t="str">
            <v>Spin-on Hydraulic Filter</v>
          </cell>
        </row>
        <row r="89">
          <cell r="K89" t="str">
            <v>LFW4074</v>
          </cell>
          <cell r="L89" t="str">
            <v>HD</v>
          </cell>
          <cell r="N89" t="e">
            <v>#N/A</v>
          </cell>
          <cell r="O89" t="str">
            <v>Spin-on Coolant Filter</v>
          </cell>
        </row>
        <row r="90">
          <cell r="K90" t="str">
            <v>L8994F</v>
          </cell>
          <cell r="L90" t="str">
            <v>HD</v>
          </cell>
          <cell r="N90" t="e">
            <v>#N/A</v>
          </cell>
          <cell r="O90" t="str">
            <v>Cartridge Fuel Filter</v>
          </cell>
        </row>
        <row r="91">
          <cell r="K91" t="str">
            <v>LAF3233</v>
          </cell>
          <cell r="L91" t="str">
            <v>HD</v>
          </cell>
          <cell r="N91" t="e">
            <v>#N/A</v>
          </cell>
          <cell r="O91" t="str">
            <v>Corrugated Media Air Filter</v>
          </cell>
        </row>
        <row r="92">
          <cell r="K92" t="str">
            <v>LAF3302</v>
          </cell>
          <cell r="L92" t="str">
            <v>HD</v>
          </cell>
          <cell r="N92" t="e">
            <v>#N/A</v>
          </cell>
          <cell r="O92" t="str">
            <v>Radial Seal Air Filter (Primary) Filter</v>
          </cell>
        </row>
        <row r="93">
          <cell r="K93" t="str">
            <v>LFF3349</v>
          </cell>
          <cell r="L93" t="str">
            <v>HD</v>
          </cell>
          <cell r="N93" t="str">
            <v>LFF3349</v>
          </cell>
          <cell r="O93" t="str">
            <v>Spin-on Fuel Filter</v>
          </cell>
        </row>
        <row r="94">
          <cell r="K94" t="str">
            <v>LFF4470</v>
          </cell>
          <cell r="L94" t="str">
            <v>HD</v>
          </cell>
          <cell r="N94" t="e">
            <v>#N/A</v>
          </cell>
          <cell r="O94" t="str">
            <v>Primary Spin-on Fuel Filter</v>
          </cell>
        </row>
        <row r="95">
          <cell r="K95" t="str">
            <v>LP6043</v>
          </cell>
          <cell r="L95" t="str">
            <v>HD</v>
          </cell>
          <cell r="N95" t="e">
            <v>#N/A</v>
          </cell>
          <cell r="O95" t="str">
            <v>Cartridge Oil Filter</v>
          </cell>
        </row>
        <row r="96">
          <cell r="K96" t="str">
            <v>CAF24005</v>
          </cell>
          <cell r="L96" t="str">
            <v>HD</v>
          </cell>
          <cell r="N96" t="e">
            <v>#N/A</v>
          </cell>
          <cell r="O96" t="str">
            <v>Cabin Air Filter</v>
          </cell>
        </row>
        <row r="97">
          <cell r="K97" t="str">
            <v>LAF2100</v>
          </cell>
          <cell r="L97" t="str">
            <v>HD</v>
          </cell>
          <cell r="N97" t="e">
            <v>#N/A</v>
          </cell>
          <cell r="O97" t="str">
            <v>Cone Shaped Conical Air Filter</v>
          </cell>
        </row>
        <row r="98">
          <cell r="K98" t="str">
            <v>LFP9001TRT</v>
          </cell>
          <cell r="L98" t="str">
            <v>HD</v>
          </cell>
          <cell r="N98" t="e">
            <v>#N/A</v>
          </cell>
          <cell r="O98" t="str">
            <v>Spin-on Oil Filter</v>
          </cell>
        </row>
        <row r="99">
          <cell r="K99" t="str">
            <v>L9684F</v>
          </cell>
          <cell r="L99" t="str">
            <v>HD</v>
          </cell>
          <cell r="N99" t="e">
            <v>#N/A</v>
          </cell>
          <cell r="O99" t="str">
            <v>Cartridge Fuel Water Separator Filter</v>
          </cell>
        </row>
        <row r="100">
          <cell r="K100" t="str">
            <v>LP8700</v>
          </cell>
          <cell r="L100" t="str">
            <v>HD</v>
          </cell>
          <cell r="N100" t="e">
            <v>#N/A</v>
          </cell>
          <cell r="O100" t="str">
            <v>Cartridge Oil Filter</v>
          </cell>
        </row>
        <row r="101">
          <cell r="K101" t="str">
            <v>LFF6012</v>
          </cell>
          <cell r="L101" t="str">
            <v>HD</v>
          </cell>
          <cell r="N101" t="e">
            <v>#N/A</v>
          </cell>
          <cell r="O101" t="str">
            <v>Spin-on Fuel Filter</v>
          </cell>
        </row>
        <row r="102">
          <cell r="K102" t="str">
            <v>LAF9545</v>
          </cell>
          <cell r="L102" t="str">
            <v>HD</v>
          </cell>
          <cell r="N102" t="e">
            <v>#N/A</v>
          </cell>
          <cell r="O102" t="str">
            <v>HD Metal-End Air Filter</v>
          </cell>
        </row>
        <row r="103">
          <cell r="K103" t="str">
            <v>LFF3520</v>
          </cell>
          <cell r="L103" t="str">
            <v>HD</v>
          </cell>
          <cell r="N103" t="str">
            <v>LFF3520</v>
          </cell>
          <cell r="O103" t="str">
            <v>Fuel Dispensing Filter</v>
          </cell>
        </row>
        <row r="104">
          <cell r="K104" t="str">
            <v>CAF24015</v>
          </cell>
          <cell r="L104" t="str">
            <v>HD</v>
          </cell>
          <cell r="N104" t="e">
            <v>#N/A</v>
          </cell>
          <cell r="O104" t="str">
            <v>Cabin Air Filter</v>
          </cell>
        </row>
        <row r="105">
          <cell r="K105" t="str">
            <v>L2020FN</v>
          </cell>
          <cell r="L105" t="str">
            <v>HD</v>
          </cell>
          <cell r="N105" t="e">
            <v>#N/A</v>
          </cell>
          <cell r="O105" t="str">
            <v>Cartridge Fuel Water Separator Filter</v>
          </cell>
        </row>
        <row r="106">
          <cell r="K106" t="str">
            <v>LFP2051</v>
          </cell>
          <cell r="L106" t="str">
            <v>HD</v>
          </cell>
          <cell r="N106" t="e">
            <v>#N/A</v>
          </cell>
          <cell r="O106" t="str">
            <v>Spin-on Oil Filter</v>
          </cell>
        </row>
        <row r="107">
          <cell r="K107" t="str">
            <v>LFF8957</v>
          </cell>
          <cell r="L107" t="str">
            <v>HD</v>
          </cell>
          <cell r="N107" t="e">
            <v>#N/A</v>
          </cell>
          <cell r="O107" t="str">
            <v>Bowl Style Fuel Water Separator Filter</v>
          </cell>
        </row>
        <row r="108">
          <cell r="K108" t="str">
            <v>LFP5964</v>
          </cell>
          <cell r="L108" t="str">
            <v>HD</v>
          </cell>
          <cell r="N108" t="e">
            <v>#N/A</v>
          </cell>
          <cell r="O108" t="str">
            <v>Spin-on Oil Filter</v>
          </cell>
        </row>
        <row r="109">
          <cell r="K109" t="str">
            <v>LFP780G</v>
          </cell>
          <cell r="L109" t="str">
            <v>HD</v>
          </cell>
          <cell r="N109" t="e">
            <v>#N/A</v>
          </cell>
          <cell r="O109" t="str">
            <v>Extended Life Spin-on Oil Filter</v>
          </cell>
        </row>
        <row r="110">
          <cell r="K110" t="str">
            <v>LAF8195</v>
          </cell>
          <cell r="L110" t="str">
            <v>HD</v>
          </cell>
          <cell r="N110" t="e">
            <v>#N/A</v>
          </cell>
          <cell r="O110" t="str">
            <v>Radial Seal Outer Air Filter</v>
          </cell>
        </row>
        <row r="111">
          <cell r="K111" t="str">
            <v>LFH4209</v>
          </cell>
          <cell r="L111" t="str">
            <v>HD</v>
          </cell>
          <cell r="N111" t="e">
            <v>#N/A</v>
          </cell>
          <cell r="O111" t="str">
            <v>Spin-on Hydraulic Filter</v>
          </cell>
        </row>
        <row r="112">
          <cell r="K112" t="str">
            <v>LFF8064</v>
          </cell>
          <cell r="L112" t="str">
            <v>HD</v>
          </cell>
          <cell r="N112" t="e">
            <v>#N/A</v>
          </cell>
          <cell r="O112" t="str">
            <v>Spin-on Fuel Filter</v>
          </cell>
        </row>
        <row r="113">
          <cell r="K113" t="str">
            <v>LFF5686</v>
          </cell>
          <cell r="L113" t="str">
            <v>HD</v>
          </cell>
          <cell r="N113" t="e">
            <v>#N/A</v>
          </cell>
          <cell r="O113" t="str">
            <v>Spin-on Fuel Filter</v>
          </cell>
        </row>
        <row r="114">
          <cell r="K114" t="str">
            <v>LFP9182</v>
          </cell>
          <cell r="L114" t="str">
            <v>HD</v>
          </cell>
          <cell r="N114" t="e">
            <v>#N/A</v>
          </cell>
          <cell r="O114" t="str">
            <v>Spin-on Oil Filter</v>
          </cell>
        </row>
        <row r="115">
          <cell r="K115" t="str">
            <v>CAF24016</v>
          </cell>
          <cell r="L115" t="str">
            <v>HD</v>
          </cell>
          <cell r="N115" t="e">
            <v>#N/A</v>
          </cell>
          <cell r="O115" t="str">
            <v>Cabin Air Filter</v>
          </cell>
        </row>
        <row r="116">
          <cell r="K116" t="str">
            <v>LFF1223</v>
          </cell>
          <cell r="L116" t="str">
            <v>HD</v>
          </cell>
          <cell r="N116" t="e">
            <v>#N/A</v>
          </cell>
          <cell r="O116" t="str">
            <v>Spin-on Fuel Filter</v>
          </cell>
        </row>
        <row r="117">
          <cell r="K117" t="str">
            <v>LFF9342</v>
          </cell>
          <cell r="L117" t="str">
            <v>HD</v>
          </cell>
          <cell r="N117" t="e">
            <v>#N/A</v>
          </cell>
          <cell r="O117" t="str">
            <v>Spin-on Fuel Water Separator Filter</v>
          </cell>
        </row>
        <row r="118">
          <cell r="K118" t="str">
            <v>LFF5485</v>
          </cell>
          <cell r="L118" t="str">
            <v>HD</v>
          </cell>
          <cell r="N118" t="e">
            <v>#N/A</v>
          </cell>
          <cell r="O118" t="str">
            <v>Spin-on Fuel Filter</v>
          </cell>
        </row>
        <row r="119">
          <cell r="K119" t="str">
            <v>HP1</v>
          </cell>
          <cell r="L119" t="str">
            <v>HD</v>
          </cell>
          <cell r="N119" t="e">
            <v>#N/A</v>
          </cell>
          <cell r="O119" t="str">
            <v>High Performance Spin-on Oil Filter</v>
          </cell>
        </row>
        <row r="120">
          <cell r="K120" t="str">
            <v>L3578FXL</v>
          </cell>
          <cell r="L120" t="str">
            <v>HD</v>
          </cell>
          <cell r="N120" t="e">
            <v>#N/A</v>
          </cell>
          <cell r="O120" t="str">
            <v>Extended Life Cartridge Fuel Water Separator Coalescer filter</v>
          </cell>
        </row>
        <row r="121">
          <cell r="K121" t="str">
            <v>LFP219F</v>
          </cell>
          <cell r="L121" t="str">
            <v>HD</v>
          </cell>
          <cell r="N121" t="e">
            <v>#N/A</v>
          </cell>
          <cell r="O121" t="str">
            <v>Spin-on Fuel Filter</v>
          </cell>
        </row>
        <row r="122">
          <cell r="K122" t="str">
            <v>CAF24003XL</v>
          </cell>
          <cell r="L122" t="str">
            <v>HD</v>
          </cell>
          <cell r="N122" t="e">
            <v>#N/A</v>
          </cell>
          <cell r="O122" t="str">
            <v>Cabin Air Filter (Carbon) Extreme Clean</v>
          </cell>
        </row>
        <row r="123">
          <cell r="K123" t="str">
            <v>LAF4544</v>
          </cell>
          <cell r="L123" t="str">
            <v>HD</v>
          </cell>
          <cell r="N123" t="e">
            <v>#N/A</v>
          </cell>
          <cell r="O123" t="str">
            <v>Radial Seal Outer Air Filter</v>
          </cell>
        </row>
        <row r="124">
          <cell r="K124" t="str">
            <v>LFW2126</v>
          </cell>
          <cell r="L124" t="str">
            <v>HD</v>
          </cell>
          <cell r="N124" t="e">
            <v>#N/A</v>
          </cell>
          <cell r="O124" t="str">
            <v>Spin-on Coolant Filter</v>
          </cell>
        </row>
        <row r="125">
          <cell r="K125" t="str">
            <v>LAF6116</v>
          </cell>
          <cell r="L125" t="str">
            <v>HD</v>
          </cell>
          <cell r="N125" t="e">
            <v>#N/A</v>
          </cell>
          <cell r="O125" t="str">
            <v>Corrugated Media Air Filter</v>
          </cell>
        </row>
        <row r="126">
          <cell r="K126" t="str">
            <v>FP590F</v>
          </cell>
          <cell r="L126" t="str">
            <v>HD</v>
          </cell>
          <cell r="N126" t="e">
            <v>#N/A</v>
          </cell>
          <cell r="O126" t="str">
            <v>Spin-on Fuel Filter</v>
          </cell>
        </row>
        <row r="127">
          <cell r="K127" t="str">
            <v>LFF4471</v>
          </cell>
          <cell r="L127" t="str">
            <v>HD</v>
          </cell>
          <cell r="N127" t="e">
            <v>#N/A</v>
          </cell>
          <cell r="O127" t="str">
            <v>Secondary spin-on fuel filter</v>
          </cell>
        </row>
        <row r="128">
          <cell r="K128" t="str">
            <v>LFP4836</v>
          </cell>
          <cell r="L128" t="str">
            <v>HD</v>
          </cell>
          <cell r="N128" t="e">
            <v>#N/A</v>
          </cell>
          <cell r="O128" t="str">
            <v>Spin-on Oil Filter</v>
          </cell>
        </row>
        <row r="129">
          <cell r="K129" t="str">
            <v>LW4076XL</v>
          </cell>
          <cell r="L129" t="str">
            <v>HD</v>
          </cell>
          <cell r="N129" t="e">
            <v>#N/A</v>
          </cell>
          <cell r="O129" t="str">
            <v>Extended Life Cartridge Coolant Filter</v>
          </cell>
        </row>
        <row r="130">
          <cell r="K130" t="str">
            <v>LFF5851</v>
          </cell>
          <cell r="L130" t="str">
            <v>HD</v>
          </cell>
          <cell r="N130" t="e">
            <v>#N/A</v>
          </cell>
          <cell r="O130" t="str">
            <v>Bowl Style Fuel Water Separator Filter</v>
          </cell>
        </row>
        <row r="131">
          <cell r="K131" t="str">
            <v>LP7485</v>
          </cell>
          <cell r="L131" t="str">
            <v>HD</v>
          </cell>
          <cell r="N131" t="e">
            <v>#N/A</v>
          </cell>
          <cell r="O131" t="str">
            <v>Centrifugal Cartridge Oil Filter</v>
          </cell>
        </row>
        <row r="132">
          <cell r="K132" t="str">
            <v>LFF5421</v>
          </cell>
          <cell r="L132" t="str">
            <v>HD</v>
          </cell>
          <cell r="N132" t="e">
            <v>#N/A</v>
          </cell>
          <cell r="O132" t="str">
            <v>Spin-on Fuel Filter</v>
          </cell>
        </row>
        <row r="133">
          <cell r="K133" t="str">
            <v>LFP2160TRT</v>
          </cell>
          <cell r="L133" t="str">
            <v>HD</v>
          </cell>
          <cell r="N133" t="e">
            <v>#N/A</v>
          </cell>
          <cell r="O133" t="str">
            <v>Spin-on Oil Filter</v>
          </cell>
        </row>
        <row r="134">
          <cell r="K134" t="str">
            <v>LFF9342SC</v>
          </cell>
          <cell r="L134" t="str">
            <v>HD</v>
          </cell>
          <cell r="N134" t="e">
            <v>#N/A</v>
          </cell>
          <cell r="O134" t="str">
            <v>Spin-on Fuel Water Separator Filter</v>
          </cell>
        </row>
        <row r="135">
          <cell r="K135" t="str">
            <v>LFP8654</v>
          </cell>
          <cell r="L135" t="str">
            <v>HD</v>
          </cell>
          <cell r="M135" t="str">
            <v>x</v>
          </cell>
          <cell r="N135" t="e">
            <v>#N/A</v>
          </cell>
          <cell r="O135" t="str">
            <v>Brake Dryer Air Filter</v>
          </cell>
        </row>
        <row r="136">
          <cell r="K136" t="str">
            <v>LAF6902</v>
          </cell>
          <cell r="L136" t="str">
            <v>HD</v>
          </cell>
          <cell r="N136" t="e">
            <v>#N/A</v>
          </cell>
          <cell r="O136" t="str">
            <v>Flexible Panel Air Filter</v>
          </cell>
        </row>
        <row r="137">
          <cell r="K137" t="str">
            <v>L296F</v>
          </cell>
          <cell r="L137" t="str">
            <v>HD</v>
          </cell>
          <cell r="N137" t="e">
            <v>#N/A</v>
          </cell>
          <cell r="O137" t="str">
            <v>Cartridge Fuel Filter</v>
          </cell>
        </row>
        <row r="138">
          <cell r="K138" t="str">
            <v>LP8741</v>
          </cell>
          <cell r="L138" t="str">
            <v>HD</v>
          </cell>
          <cell r="N138" t="e">
            <v>#N/A</v>
          </cell>
          <cell r="O138" t="str">
            <v>Cartridge Oil Filter</v>
          </cell>
        </row>
        <row r="139">
          <cell r="K139" t="str">
            <v>LAF9544</v>
          </cell>
          <cell r="L139" t="str">
            <v>HD</v>
          </cell>
          <cell r="N139" t="e">
            <v>#N/A</v>
          </cell>
          <cell r="O139" t="str">
            <v>HD Metal-End Air Filter</v>
          </cell>
        </row>
        <row r="140">
          <cell r="K140" t="str">
            <v>LFF5766</v>
          </cell>
          <cell r="L140" t="str">
            <v>HD</v>
          </cell>
          <cell r="N140" t="e">
            <v>#N/A</v>
          </cell>
          <cell r="O140" t="str">
            <v>Spin-on Fuel Filter</v>
          </cell>
        </row>
        <row r="141">
          <cell r="K141" t="str">
            <v>L4615F</v>
          </cell>
          <cell r="L141" t="str">
            <v>HD</v>
          </cell>
          <cell r="N141" t="e">
            <v>#N/A</v>
          </cell>
          <cell r="O141" t="str">
            <v>Fuel Filter Kit Primary/Secondary</v>
          </cell>
        </row>
        <row r="142">
          <cell r="K142" t="str">
            <v>LAF5873</v>
          </cell>
          <cell r="L142" t="str">
            <v>HD</v>
          </cell>
          <cell r="N142" t="e">
            <v>#N/A</v>
          </cell>
          <cell r="O142" t="str">
            <v>Radial Seal Outer Air Filter</v>
          </cell>
        </row>
        <row r="143">
          <cell r="K143" t="str">
            <v>LAF2536</v>
          </cell>
          <cell r="L143" t="str">
            <v>HD</v>
          </cell>
          <cell r="N143" t="e">
            <v>#N/A</v>
          </cell>
          <cell r="O143" t="str">
            <v>Radial Seal Outer Air Filter</v>
          </cell>
        </row>
        <row r="144">
          <cell r="K144" t="str">
            <v>LFW2055</v>
          </cell>
          <cell r="L144" t="str">
            <v>HD</v>
          </cell>
          <cell r="N144" t="e">
            <v>#N/A</v>
          </cell>
          <cell r="O144" t="str">
            <v>Spin-on Coolant Filter</v>
          </cell>
        </row>
        <row r="145">
          <cell r="K145" t="str">
            <v>L4596F</v>
          </cell>
          <cell r="L145" t="str">
            <v>HD</v>
          </cell>
          <cell r="N145" t="e">
            <v>#N/A</v>
          </cell>
          <cell r="O145" t="str">
            <v>Cartridge Fuel Water Separator Filter</v>
          </cell>
        </row>
        <row r="146">
          <cell r="K146" t="str">
            <v>LFF8062</v>
          </cell>
          <cell r="L146" t="str">
            <v>HD</v>
          </cell>
          <cell r="N146" t="e">
            <v>#N/A</v>
          </cell>
          <cell r="O146" t="str">
            <v>Spin-on Fuel Water Separator Filter</v>
          </cell>
        </row>
        <row r="147">
          <cell r="K147" t="str">
            <v>FP588F</v>
          </cell>
          <cell r="L147" t="str">
            <v>HD</v>
          </cell>
          <cell r="N147" t="e">
            <v>#N/A</v>
          </cell>
          <cell r="O147" t="str">
            <v>Spin-on Fuel Filter</v>
          </cell>
        </row>
        <row r="148">
          <cell r="K148" t="str">
            <v>L1261F</v>
          </cell>
          <cell r="L148" t="str">
            <v>HD</v>
          </cell>
          <cell r="N148" t="e">
            <v>#N/A</v>
          </cell>
          <cell r="O148" t="str">
            <v>Cartridge Fuel Water Separator Coalescer filter</v>
          </cell>
        </row>
        <row r="149">
          <cell r="K149" t="str">
            <v>LFP5570</v>
          </cell>
          <cell r="L149" t="str">
            <v>HD</v>
          </cell>
          <cell r="N149" t="e">
            <v>#N/A</v>
          </cell>
          <cell r="O149" t="str">
            <v>Spin-on Oil Filter</v>
          </cell>
        </row>
        <row r="150">
          <cell r="K150" t="str">
            <v>LH4582G</v>
          </cell>
          <cell r="L150" t="str">
            <v>HD</v>
          </cell>
          <cell r="N150" t="e">
            <v>#N/A</v>
          </cell>
          <cell r="O150" t="str">
            <v>Cartridge Transmission (Hydraulic) Filter</v>
          </cell>
        </row>
        <row r="151">
          <cell r="K151" t="str">
            <v>CAF24015XL</v>
          </cell>
          <cell r="L151" t="str">
            <v>HD</v>
          </cell>
          <cell r="N151" t="e">
            <v>#N/A</v>
          </cell>
          <cell r="O151" t="str">
            <v>Cabin Air Filter (Carbon) Extreme Clean</v>
          </cell>
        </row>
        <row r="152">
          <cell r="K152" t="str">
            <v>LAF4498</v>
          </cell>
          <cell r="L152" t="str">
            <v>HD</v>
          </cell>
          <cell r="N152" t="e">
            <v>#N/A</v>
          </cell>
          <cell r="O152" t="str">
            <v>Radial Seal Outer Air Filter</v>
          </cell>
        </row>
        <row r="153">
          <cell r="K153" t="str">
            <v>FP941F</v>
          </cell>
          <cell r="L153" t="str">
            <v>HD</v>
          </cell>
          <cell r="N153" t="e">
            <v>#N/A</v>
          </cell>
          <cell r="O153" t="str">
            <v>Spin-on Fuel Water Separator Filter</v>
          </cell>
        </row>
        <row r="154">
          <cell r="K154" t="str">
            <v>LFF3476</v>
          </cell>
          <cell r="L154" t="str">
            <v>HD</v>
          </cell>
          <cell r="N154" t="e">
            <v>#N/A</v>
          </cell>
          <cell r="O154" t="str">
            <v>Spin-on Secondary Fuel Filter</v>
          </cell>
        </row>
        <row r="155">
          <cell r="K155">
            <v>2361</v>
          </cell>
          <cell r="L155" t="str">
            <v>HD</v>
          </cell>
          <cell r="M155" t="str">
            <v>x</v>
          </cell>
          <cell r="N155" t="e">
            <v>#N/A</v>
          </cell>
          <cell r="O155" t="str">
            <v>Vent Plug Washer/272-C, 363-C, 500-C, 750-C, CT, 2C, 3C</v>
          </cell>
        </row>
        <row r="156">
          <cell r="K156" t="str">
            <v>LFF8030</v>
          </cell>
          <cell r="L156" t="str">
            <v>HD</v>
          </cell>
          <cell r="N156" t="e">
            <v>#N/A</v>
          </cell>
          <cell r="O156" t="str">
            <v>Spin-on Fuel Water Separator Filter</v>
          </cell>
        </row>
        <row r="157">
          <cell r="K157" t="str">
            <v>LAF4348</v>
          </cell>
          <cell r="L157" t="str">
            <v>HD</v>
          </cell>
          <cell r="N157" t="e">
            <v>#N/A</v>
          </cell>
          <cell r="O157" t="str">
            <v>Special Configuration Air Filter</v>
          </cell>
        </row>
        <row r="158">
          <cell r="K158" t="str">
            <v>LFF8063</v>
          </cell>
          <cell r="L158" t="str">
            <v>HD</v>
          </cell>
          <cell r="N158" t="e">
            <v>#N/A</v>
          </cell>
          <cell r="O158" t="str">
            <v>Bowl Style Fuel Water Separator Filter</v>
          </cell>
        </row>
        <row r="159">
          <cell r="K159" t="str">
            <v>LAF5962</v>
          </cell>
          <cell r="L159" t="str">
            <v>HD</v>
          </cell>
          <cell r="N159" t="e">
            <v>#N/A</v>
          </cell>
          <cell r="O159" t="str">
            <v>Radial Seal Outer Air Filter</v>
          </cell>
        </row>
        <row r="160">
          <cell r="K160" t="str">
            <v>LFP2190</v>
          </cell>
          <cell r="L160" t="str">
            <v>HD</v>
          </cell>
          <cell r="N160" t="e">
            <v>#N/A</v>
          </cell>
          <cell r="O160" t="str">
            <v>Spin-on Oil Filter</v>
          </cell>
        </row>
        <row r="161">
          <cell r="K161" t="str">
            <v>LFW4744</v>
          </cell>
          <cell r="L161" t="str">
            <v>HD</v>
          </cell>
          <cell r="N161" t="e">
            <v>#N/A</v>
          </cell>
          <cell r="O161" t="str">
            <v>Spin-on Coolant Filter</v>
          </cell>
        </row>
        <row r="162">
          <cell r="K162" t="str">
            <v>LFF3417</v>
          </cell>
          <cell r="L162" t="str">
            <v>HD</v>
          </cell>
          <cell r="N162" t="e">
            <v>#N/A</v>
          </cell>
          <cell r="O162" t="str">
            <v>Spin-on Fuel Water Separator Filter</v>
          </cell>
        </row>
        <row r="163">
          <cell r="K163" t="str">
            <v>LFF5849</v>
          </cell>
          <cell r="L163" t="str">
            <v>HD</v>
          </cell>
          <cell r="N163" t="e">
            <v>#N/A</v>
          </cell>
          <cell r="O163" t="str">
            <v>Bowl Style Fuel Water Separator Filter</v>
          </cell>
        </row>
        <row r="164">
          <cell r="K164" t="str">
            <v>LAF9396</v>
          </cell>
          <cell r="L164" t="str">
            <v>HD</v>
          </cell>
          <cell r="N164" t="e">
            <v>#N/A</v>
          </cell>
          <cell r="O164" t="str">
            <v>Cone Shaped Conical Air Filter</v>
          </cell>
        </row>
        <row r="165">
          <cell r="K165" t="str">
            <v>LFW5141</v>
          </cell>
          <cell r="L165" t="str">
            <v>HD</v>
          </cell>
          <cell r="M165" t="str">
            <v>x</v>
          </cell>
          <cell r="N165" t="e">
            <v>#N/A</v>
          </cell>
          <cell r="O165" t="str">
            <v>Spin-on Coolant Filter</v>
          </cell>
        </row>
        <row r="166">
          <cell r="K166" t="str">
            <v>L8701F</v>
          </cell>
          <cell r="L166" t="str">
            <v>HD</v>
          </cell>
          <cell r="N166" t="e">
            <v>#N/A</v>
          </cell>
          <cell r="O166" t="str">
            <v>Cartridge Fuel Filter</v>
          </cell>
        </row>
        <row r="167">
          <cell r="K167" t="str">
            <v>LFF1225</v>
          </cell>
          <cell r="L167" t="str">
            <v>HD</v>
          </cell>
          <cell r="N167" t="e">
            <v>#N/A</v>
          </cell>
          <cell r="O167" t="str">
            <v>Spin-on Fuel Filter</v>
          </cell>
        </row>
        <row r="168">
          <cell r="K168" t="str">
            <v>LFF9732</v>
          </cell>
          <cell r="L168" t="str">
            <v>HD</v>
          </cell>
          <cell r="N168" t="e">
            <v>#N/A</v>
          </cell>
          <cell r="O168" t="str">
            <v>Fuel/Water Separator Spin-on Filter</v>
          </cell>
        </row>
        <row r="169">
          <cell r="K169" t="str">
            <v>LFF4783RD</v>
          </cell>
          <cell r="L169" t="str">
            <v>HD</v>
          </cell>
          <cell r="N169" t="e">
            <v>#N/A</v>
          </cell>
          <cell r="O169" t="str">
            <v>Spin-on Fuel Filter</v>
          </cell>
        </row>
        <row r="170">
          <cell r="K170" t="str">
            <v>LFP911</v>
          </cell>
          <cell r="L170" t="str">
            <v>HD</v>
          </cell>
          <cell r="N170" t="e">
            <v>#N/A</v>
          </cell>
          <cell r="O170" t="str">
            <v>Spin-on Oil Filter</v>
          </cell>
        </row>
        <row r="171">
          <cell r="K171" t="str">
            <v>LFP2292</v>
          </cell>
          <cell r="L171" t="str">
            <v>HD</v>
          </cell>
          <cell r="N171" t="e">
            <v>#N/A</v>
          </cell>
          <cell r="O171" t="str">
            <v>Spin-on Oil Filter</v>
          </cell>
        </row>
        <row r="172">
          <cell r="K172" t="str">
            <v>LP3985</v>
          </cell>
          <cell r="L172" t="str">
            <v>HD</v>
          </cell>
          <cell r="N172" t="e">
            <v>#N/A</v>
          </cell>
          <cell r="O172" t="str">
            <v>Centrifugal Cartridge Oil Filter</v>
          </cell>
        </row>
        <row r="173">
          <cell r="K173" t="str">
            <v>LFP431F</v>
          </cell>
          <cell r="L173" t="str">
            <v>HD</v>
          </cell>
          <cell r="N173" t="e">
            <v>#N/A</v>
          </cell>
          <cell r="O173" t="str">
            <v>Spin-on Fuel Filter</v>
          </cell>
        </row>
        <row r="174">
          <cell r="K174" t="str">
            <v>LFW4860</v>
          </cell>
          <cell r="L174" t="str">
            <v>HD</v>
          </cell>
          <cell r="N174" t="e">
            <v>#N/A</v>
          </cell>
          <cell r="O174" t="str">
            <v>Spin-on Coolant Filter</v>
          </cell>
        </row>
        <row r="175">
          <cell r="K175" t="str">
            <v>LFF3347</v>
          </cell>
          <cell r="L175" t="str">
            <v>HD</v>
          </cell>
          <cell r="N175" t="e">
            <v>#N/A</v>
          </cell>
          <cell r="O175" t="str">
            <v>Spin-on Fuel Filter</v>
          </cell>
        </row>
        <row r="176">
          <cell r="K176" t="str">
            <v>L4595F</v>
          </cell>
          <cell r="L176" t="str">
            <v>HD</v>
          </cell>
          <cell r="N176" t="e">
            <v>#N/A</v>
          </cell>
          <cell r="O176" t="str">
            <v>Cartridge Fuel Water Separator Filter</v>
          </cell>
        </row>
        <row r="177">
          <cell r="K177" t="str">
            <v>LFF1022</v>
          </cell>
          <cell r="L177" t="str">
            <v>HD</v>
          </cell>
          <cell r="N177" t="e">
            <v>#N/A</v>
          </cell>
          <cell r="O177" t="str">
            <v>Spin-on Fuel Filter</v>
          </cell>
        </row>
        <row r="178">
          <cell r="K178" t="str">
            <v>LFF8010</v>
          </cell>
          <cell r="L178" t="str">
            <v>HD</v>
          </cell>
          <cell r="N178" t="e">
            <v>#N/A</v>
          </cell>
          <cell r="O178" t="str">
            <v>Spin-on Fuel Water Separator Filter</v>
          </cell>
        </row>
        <row r="179">
          <cell r="K179" t="str">
            <v>FP953F</v>
          </cell>
          <cell r="L179" t="str">
            <v>HD</v>
          </cell>
          <cell r="M179" t="str">
            <v>x</v>
          </cell>
          <cell r="N179" t="e">
            <v>#N/A</v>
          </cell>
          <cell r="O179" t="str">
            <v>Diesel In-Line Fuel Filter</v>
          </cell>
        </row>
        <row r="180">
          <cell r="K180" t="str">
            <v>FP586F</v>
          </cell>
          <cell r="L180" t="str">
            <v>HD</v>
          </cell>
          <cell r="N180" t="e">
            <v>#N/A</v>
          </cell>
          <cell r="O180" t="str">
            <v>Spin-on Fuel Filter</v>
          </cell>
        </row>
        <row r="181">
          <cell r="K181" t="str">
            <v>LAF5722</v>
          </cell>
          <cell r="L181" t="str">
            <v>HD</v>
          </cell>
          <cell r="N181" t="e">
            <v>#N/A</v>
          </cell>
          <cell r="O181" t="str">
            <v>Radial Seal Outer Air Filter</v>
          </cell>
        </row>
        <row r="182">
          <cell r="K182" t="str">
            <v>LFW4686XL</v>
          </cell>
          <cell r="L182" t="str">
            <v>HD</v>
          </cell>
          <cell r="M182" t="str">
            <v>x</v>
          </cell>
          <cell r="N182" t="e">
            <v>#N/A</v>
          </cell>
          <cell r="O182" t="str">
            <v>Extended Life Spin-on Coolant Filter</v>
          </cell>
        </row>
        <row r="183">
          <cell r="K183" t="str">
            <v>LFF6289</v>
          </cell>
          <cell r="L183" t="str">
            <v>HD</v>
          </cell>
          <cell r="N183" t="e">
            <v>#N/A</v>
          </cell>
          <cell r="O183" t="str">
            <v>Spin-on Fuel Filter</v>
          </cell>
        </row>
        <row r="184">
          <cell r="K184" t="str">
            <v>LFF202</v>
          </cell>
          <cell r="L184" t="str">
            <v>HD</v>
          </cell>
          <cell r="N184" t="e">
            <v>#N/A</v>
          </cell>
          <cell r="O184" t="str">
            <v>Spin-on Fuel Filter</v>
          </cell>
        </row>
        <row r="185">
          <cell r="K185" t="str">
            <v>LFH4990</v>
          </cell>
          <cell r="L185" t="str">
            <v>HD</v>
          </cell>
          <cell r="M185" t="str">
            <v>x</v>
          </cell>
          <cell r="N185" t="str">
            <v>LFH4990</v>
          </cell>
          <cell r="O185" t="str">
            <v>Spin-on Hydraulic Filter</v>
          </cell>
        </row>
        <row r="186">
          <cell r="K186" t="str">
            <v>LFW4073</v>
          </cell>
          <cell r="L186" t="str">
            <v>HD</v>
          </cell>
          <cell r="M186" t="str">
            <v>x</v>
          </cell>
          <cell r="N186" t="e">
            <v>#N/A</v>
          </cell>
          <cell r="O186" t="str">
            <v>Spin-on Coolant Filter</v>
          </cell>
        </row>
        <row r="187">
          <cell r="K187" t="str">
            <v>LFF5850</v>
          </cell>
          <cell r="L187" t="str">
            <v>HD</v>
          </cell>
          <cell r="N187" t="e">
            <v>#N/A</v>
          </cell>
          <cell r="O187" t="str">
            <v>Bowl Style Fuel Water Separator Filter</v>
          </cell>
        </row>
        <row r="188">
          <cell r="K188" t="str">
            <v>CAF24004</v>
          </cell>
          <cell r="L188" t="str">
            <v>HD</v>
          </cell>
          <cell r="N188" t="e">
            <v>#N/A</v>
          </cell>
          <cell r="O188" t="str">
            <v>Cabin Air Filter</v>
          </cell>
        </row>
        <row r="189">
          <cell r="K189" t="str">
            <v>LFP6015</v>
          </cell>
          <cell r="L189" t="str">
            <v>HD</v>
          </cell>
          <cell r="N189" t="e">
            <v>#N/A</v>
          </cell>
          <cell r="O189" t="str">
            <v>Spin-on Oil Filter</v>
          </cell>
        </row>
        <row r="190">
          <cell r="K190" t="str">
            <v>LP2232</v>
          </cell>
          <cell r="L190" t="str">
            <v>HD</v>
          </cell>
          <cell r="N190" t="e">
            <v>#N/A</v>
          </cell>
          <cell r="O190" t="str">
            <v>Centrifugal Cartridge Oil Filter</v>
          </cell>
        </row>
        <row r="191">
          <cell r="K191" t="str">
            <v>LFF1007</v>
          </cell>
          <cell r="L191" t="str">
            <v>HD</v>
          </cell>
          <cell r="M191" t="str">
            <v>x</v>
          </cell>
          <cell r="N191" t="e">
            <v>#N/A</v>
          </cell>
          <cell r="O191" t="str">
            <v>Spin-on Fuel Filter</v>
          </cell>
        </row>
        <row r="192">
          <cell r="K192" t="str">
            <v>LFP5757</v>
          </cell>
          <cell r="L192" t="str">
            <v>HD</v>
          </cell>
          <cell r="N192" t="e">
            <v>#N/A</v>
          </cell>
          <cell r="O192" t="str">
            <v>Spin-on Oil Filter</v>
          </cell>
        </row>
        <row r="193">
          <cell r="K193" t="str">
            <v>LFP3900</v>
          </cell>
          <cell r="L193" t="str">
            <v>HD</v>
          </cell>
          <cell r="N193" t="e">
            <v>#N/A</v>
          </cell>
          <cell r="O193" t="str">
            <v>Spin-on Oil Filter</v>
          </cell>
        </row>
        <row r="194">
          <cell r="K194" t="str">
            <v>LAF2608</v>
          </cell>
          <cell r="L194" t="str">
            <v>HD</v>
          </cell>
          <cell r="M194" t="str">
            <v>x</v>
          </cell>
          <cell r="N194" t="e">
            <v>#N/A</v>
          </cell>
          <cell r="O194" t="str">
            <v>Metal-End Air Filter with Closed Top End Cap</v>
          </cell>
        </row>
        <row r="195">
          <cell r="K195" t="str">
            <v>LFH4955</v>
          </cell>
          <cell r="L195" t="str">
            <v>HD</v>
          </cell>
          <cell r="N195" t="str">
            <v>LFH4955</v>
          </cell>
          <cell r="O195" t="str">
            <v>Spin-on Hydraulic Filter</v>
          </cell>
        </row>
        <row r="196">
          <cell r="K196" t="str">
            <v>LAF1520</v>
          </cell>
          <cell r="L196" t="str">
            <v>HD</v>
          </cell>
          <cell r="M196" t="str">
            <v>x</v>
          </cell>
          <cell r="N196" t="e">
            <v>#N/A</v>
          </cell>
          <cell r="O196" t="str">
            <v>Flexible Panel Air Filter</v>
          </cell>
        </row>
        <row r="197">
          <cell r="K197" t="str">
            <v>FF2D</v>
          </cell>
          <cell r="L197" t="str">
            <v>HD</v>
          </cell>
          <cell r="N197" t="e">
            <v>#N/A</v>
          </cell>
          <cell r="O197" t="str">
            <v>Fuel Dispensing Filter</v>
          </cell>
        </row>
        <row r="198">
          <cell r="K198" t="str">
            <v>LAF695</v>
          </cell>
          <cell r="L198" t="str">
            <v>HD</v>
          </cell>
          <cell r="M198" t="str">
            <v>x</v>
          </cell>
          <cell r="N198" t="e">
            <v>#N/A</v>
          </cell>
          <cell r="O198" t="str">
            <v>HD Round Air Filter with Attached Lid</v>
          </cell>
        </row>
        <row r="199">
          <cell r="K199" t="str">
            <v>LAF1953</v>
          </cell>
          <cell r="L199" t="str">
            <v>HD</v>
          </cell>
          <cell r="N199" t="e">
            <v>#N/A</v>
          </cell>
          <cell r="O199" t="str">
            <v>Radial Seal Outer Air Filter</v>
          </cell>
        </row>
        <row r="200">
          <cell r="K200" t="str">
            <v>LAF3930</v>
          </cell>
          <cell r="L200" t="str">
            <v>HD</v>
          </cell>
          <cell r="N200" t="e">
            <v>#N/A</v>
          </cell>
          <cell r="O200" t="str">
            <v>Radial Seal Outer Air Filter</v>
          </cell>
        </row>
        <row r="201">
          <cell r="K201" t="str">
            <v>LH8504</v>
          </cell>
          <cell r="L201" t="str">
            <v>HD</v>
          </cell>
          <cell r="N201" t="e">
            <v>#N/A</v>
          </cell>
          <cell r="O201" t="str">
            <v>Cartridge Power Steering (Hydraulic) Filter</v>
          </cell>
        </row>
        <row r="202">
          <cell r="K202" t="str">
            <v>LAF1934</v>
          </cell>
          <cell r="L202" t="str">
            <v>HD</v>
          </cell>
          <cell r="M202" t="str">
            <v>x</v>
          </cell>
          <cell r="N202" t="e">
            <v>#N/A</v>
          </cell>
          <cell r="O202" t="str">
            <v>Disposible Housing Air Filter</v>
          </cell>
        </row>
        <row r="203">
          <cell r="K203" t="str">
            <v>FP587F</v>
          </cell>
          <cell r="L203" t="str">
            <v>HD</v>
          </cell>
          <cell r="M203" t="str">
            <v>x</v>
          </cell>
          <cell r="N203" t="e">
            <v>#N/A</v>
          </cell>
          <cell r="O203" t="str">
            <v>Spin-on Fuel Filter</v>
          </cell>
        </row>
        <row r="204">
          <cell r="K204" t="str">
            <v>CAF24014</v>
          </cell>
          <cell r="L204" t="str">
            <v>HD</v>
          </cell>
          <cell r="N204" t="e">
            <v>#N/A</v>
          </cell>
          <cell r="O204" t="str">
            <v>Cabin Air Filter</v>
          </cell>
        </row>
        <row r="205">
          <cell r="K205" t="str">
            <v>LAF3141</v>
          </cell>
          <cell r="L205" t="str">
            <v>HD</v>
          </cell>
          <cell r="M205" t="str">
            <v>x</v>
          </cell>
          <cell r="N205" t="e">
            <v>#N/A</v>
          </cell>
          <cell r="O205" t="str">
            <v>Flexible Panel Air Filter</v>
          </cell>
        </row>
        <row r="206">
          <cell r="K206" t="str">
            <v>L5094F</v>
          </cell>
          <cell r="L206" t="str">
            <v>HD</v>
          </cell>
          <cell r="N206" t="e">
            <v>#N/A</v>
          </cell>
          <cell r="O206" t="str">
            <v>Cartridge Fuel Water Separator Filter</v>
          </cell>
        </row>
        <row r="207">
          <cell r="K207" t="str">
            <v>LFP6027</v>
          </cell>
          <cell r="L207" t="str">
            <v>HD</v>
          </cell>
          <cell r="M207" t="str">
            <v>x</v>
          </cell>
          <cell r="N207" t="e">
            <v>#N/A</v>
          </cell>
          <cell r="O207" t="str">
            <v>Spin-on Oil Filter</v>
          </cell>
        </row>
        <row r="208">
          <cell r="K208" t="str">
            <v>LAF1899</v>
          </cell>
          <cell r="L208" t="str">
            <v>HD</v>
          </cell>
          <cell r="N208" t="e">
            <v>#N/A</v>
          </cell>
          <cell r="O208" t="str">
            <v>Cone Shaped Conical Air Filter</v>
          </cell>
        </row>
        <row r="209">
          <cell r="K209" t="str">
            <v>LFP6007</v>
          </cell>
          <cell r="L209" t="str">
            <v>HD</v>
          </cell>
          <cell r="M209" t="str">
            <v>x</v>
          </cell>
          <cell r="N209" t="e">
            <v>#N/A</v>
          </cell>
          <cell r="O209" t="str">
            <v>Spin-on Oil Filter</v>
          </cell>
        </row>
        <row r="210">
          <cell r="K210" t="str">
            <v>LFW5142XL</v>
          </cell>
          <cell r="L210" t="str">
            <v>HD</v>
          </cell>
          <cell r="M210" t="str">
            <v>x</v>
          </cell>
          <cell r="N210" t="e">
            <v>#N/A</v>
          </cell>
          <cell r="O210" t="str">
            <v>Extended Life Spin-on Coolant Filter</v>
          </cell>
        </row>
        <row r="211">
          <cell r="K211" t="str">
            <v>LAF8669</v>
          </cell>
          <cell r="L211" t="str">
            <v>HD</v>
          </cell>
          <cell r="M211" t="str">
            <v>x</v>
          </cell>
          <cell r="N211" t="e">
            <v>#N/A</v>
          </cell>
          <cell r="O211" t="str">
            <v>Radial Seal Outer Air Filter</v>
          </cell>
        </row>
        <row r="212">
          <cell r="K212" t="str">
            <v>LAF8494</v>
          </cell>
          <cell r="L212" t="str">
            <v>HD</v>
          </cell>
          <cell r="M212" t="str">
            <v>x</v>
          </cell>
          <cell r="N212" t="e">
            <v>#N/A</v>
          </cell>
          <cell r="O212" t="str">
            <v>Metal-End Air Filter with Closed Top End Cap</v>
          </cell>
        </row>
        <row r="213">
          <cell r="K213" t="str">
            <v>LFW5141XL</v>
          </cell>
          <cell r="L213" t="str">
            <v>HD</v>
          </cell>
          <cell r="M213" t="str">
            <v>x</v>
          </cell>
          <cell r="N213" t="e">
            <v>#N/A</v>
          </cell>
          <cell r="O213" t="str">
            <v>Extended Life Spin-on Coolant Filter</v>
          </cell>
        </row>
        <row r="214">
          <cell r="K214" t="str">
            <v>LAF1544</v>
          </cell>
          <cell r="L214" t="str">
            <v>HD</v>
          </cell>
          <cell r="M214" t="str">
            <v>x</v>
          </cell>
          <cell r="N214" t="e">
            <v>#N/A</v>
          </cell>
          <cell r="O214" t="str">
            <v>Finned Vane Air Filter</v>
          </cell>
        </row>
        <row r="215">
          <cell r="K215" t="str">
            <v>LFF5849U</v>
          </cell>
          <cell r="L215" t="str">
            <v>HD</v>
          </cell>
          <cell r="N215" t="e">
            <v>#N/A</v>
          </cell>
          <cell r="O215" t="str">
            <v>Bowless Style Fuel Water Separator Filter</v>
          </cell>
        </row>
        <row r="216">
          <cell r="K216" t="str">
            <v>LK364M</v>
          </cell>
          <cell r="L216" t="str">
            <v>HD</v>
          </cell>
          <cell r="M216" t="str">
            <v>x</v>
          </cell>
          <cell r="N216" t="e">
            <v>#N/A</v>
          </cell>
          <cell r="O216" t="str">
            <v>Mack Engine Maintenance Kit</v>
          </cell>
        </row>
        <row r="217">
          <cell r="K217" t="str">
            <v>LAF8148</v>
          </cell>
          <cell r="L217" t="str">
            <v>HD</v>
          </cell>
          <cell r="M217" t="str">
            <v>x</v>
          </cell>
          <cell r="N217" t="e">
            <v>#N/A</v>
          </cell>
          <cell r="O217" t="str">
            <v>Radial Seal Outer Air Filter</v>
          </cell>
        </row>
        <row r="218">
          <cell r="K218" t="str">
            <v>FP20</v>
          </cell>
          <cell r="L218" t="str">
            <v>HD</v>
          </cell>
          <cell r="M218" t="str">
            <v>x</v>
          </cell>
          <cell r="N218" t="e">
            <v>#N/A</v>
          </cell>
          <cell r="O218" t="str">
            <v>Spin-on Oil Filter</v>
          </cell>
        </row>
        <row r="219">
          <cell r="K219" t="str">
            <v>LAF7797</v>
          </cell>
          <cell r="L219" t="str">
            <v>HD</v>
          </cell>
          <cell r="M219" t="str">
            <v>x</v>
          </cell>
          <cell r="N219" t="e">
            <v>#N/A</v>
          </cell>
          <cell r="O219" t="str">
            <v>Metal-End Air Filter with Closed Top End Cap</v>
          </cell>
        </row>
        <row r="220">
          <cell r="K220" t="str">
            <v>FP570F</v>
          </cell>
          <cell r="L220" t="str">
            <v>HD</v>
          </cell>
          <cell r="M220" t="str">
            <v>x</v>
          </cell>
          <cell r="N220" t="e">
            <v>#N/A</v>
          </cell>
          <cell r="O220" t="str">
            <v>Spin-on Fuel Filter</v>
          </cell>
        </row>
        <row r="221">
          <cell r="K221" t="str">
            <v>LFP784</v>
          </cell>
          <cell r="L221" t="str">
            <v>HD</v>
          </cell>
          <cell r="N221" t="e">
            <v>#N/A</v>
          </cell>
          <cell r="O221" t="str">
            <v>Spin-on Oil Filter</v>
          </cell>
        </row>
        <row r="222">
          <cell r="K222" t="str">
            <v>FP591F</v>
          </cell>
          <cell r="L222" t="str">
            <v>HD</v>
          </cell>
          <cell r="N222" t="e">
            <v>#N/A</v>
          </cell>
          <cell r="O222" t="str">
            <v>Spin-on Fuel Filter</v>
          </cell>
        </row>
        <row r="223">
          <cell r="K223" t="str">
            <v>LFF8215</v>
          </cell>
          <cell r="L223" t="str">
            <v>HD</v>
          </cell>
          <cell r="M223" t="str">
            <v>x</v>
          </cell>
          <cell r="N223" t="e">
            <v>#N/A</v>
          </cell>
          <cell r="O223" t="str">
            <v>Snap-lock Fuel/Water Separator Filter</v>
          </cell>
        </row>
        <row r="224">
          <cell r="K224" t="str">
            <v>LFP2050</v>
          </cell>
          <cell r="L224" t="str">
            <v>HD</v>
          </cell>
          <cell r="M224" t="str">
            <v>x</v>
          </cell>
          <cell r="N224" t="e">
            <v>#N/A</v>
          </cell>
          <cell r="O224" t="str">
            <v>Spin-on Oil Filter</v>
          </cell>
        </row>
        <row r="225">
          <cell r="K225" t="str">
            <v>L4604F</v>
          </cell>
          <cell r="L225" t="str">
            <v>HD</v>
          </cell>
          <cell r="N225" t="e">
            <v>#N/A</v>
          </cell>
          <cell r="O225" t="str">
            <v>Fuel Filter Kit Primary/Secondary</v>
          </cell>
        </row>
        <row r="226">
          <cell r="K226" t="str">
            <v>LFP6241</v>
          </cell>
          <cell r="L226" t="str">
            <v>HD</v>
          </cell>
          <cell r="N226" t="e">
            <v>#N/A</v>
          </cell>
          <cell r="O226" t="str">
            <v>Spin-on Oil Filter</v>
          </cell>
        </row>
        <row r="227">
          <cell r="K227" t="str">
            <v>LFP2268</v>
          </cell>
          <cell r="L227" t="str">
            <v>HD</v>
          </cell>
          <cell r="N227" t="e">
            <v>#N/A</v>
          </cell>
          <cell r="O227" t="str">
            <v>Spin-on Oil Filter</v>
          </cell>
        </row>
        <row r="228">
          <cell r="K228" t="str">
            <v>LP5005</v>
          </cell>
          <cell r="L228" t="str">
            <v>HD</v>
          </cell>
          <cell r="N228" t="e">
            <v>#N/A</v>
          </cell>
          <cell r="O228" t="str">
            <v>Cartridge Power Steering (Hydraulic) Filter</v>
          </cell>
        </row>
        <row r="229">
          <cell r="K229" t="str">
            <v>LFF8000</v>
          </cell>
          <cell r="L229" t="str">
            <v>HD</v>
          </cell>
          <cell r="N229" t="e">
            <v>#N/A</v>
          </cell>
          <cell r="O229" t="str">
            <v>Spin-on Fuel Water Separator Filter</v>
          </cell>
        </row>
        <row r="230">
          <cell r="K230" t="str">
            <v>LAF8751</v>
          </cell>
          <cell r="L230" t="str">
            <v>HD</v>
          </cell>
          <cell r="M230" t="str">
            <v>x</v>
          </cell>
          <cell r="N230" t="e">
            <v>#N/A</v>
          </cell>
          <cell r="O230" t="str">
            <v>Disposible Housing Air Filter</v>
          </cell>
        </row>
        <row r="231">
          <cell r="K231" t="str">
            <v>LAF8388</v>
          </cell>
          <cell r="L231" t="str">
            <v>HD</v>
          </cell>
          <cell r="N231" t="e">
            <v>#N/A</v>
          </cell>
          <cell r="O231" t="str">
            <v>Radial Seal Outer Air Filter</v>
          </cell>
        </row>
        <row r="232">
          <cell r="K232" t="str">
            <v>LFF3415</v>
          </cell>
          <cell r="L232" t="str">
            <v>HD</v>
          </cell>
          <cell r="M232" t="str">
            <v>x</v>
          </cell>
          <cell r="N232" t="e">
            <v>#N/A</v>
          </cell>
          <cell r="O232" t="str">
            <v>Spin-on Fuel Filter</v>
          </cell>
        </row>
        <row r="233">
          <cell r="K233" t="str">
            <v>LFF7660</v>
          </cell>
          <cell r="L233" t="str">
            <v>HD</v>
          </cell>
          <cell r="M233" t="str">
            <v>x</v>
          </cell>
          <cell r="N233" t="e">
            <v>#N/A</v>
          </cell>
          <cell r="O233" t="str">
            <v>Spin-on Fuel Water Separator Filter</v>
          </cell>
        </row>
        <row r="234">
          <cell r="K234" t="str">
            <v>LFF3808</v>
          </cell>
          <cell r="L234" t="str">
            <v>HD</v>
          </cell>
          <cell r="M234" t="str">
            <v>x</v>
          </cell>
          <cell r="N234" t="e">
            <v>#N/A</v>
          </cell>
          <cell r="O234" t="str">
            <v>Spin-on Fuel Filter</v>
          </cell>
        </row>
        <row r="235">
          <cell r="K235" t="str">
            <v>CAF24012</v>
          </cell>
          <cell r="L235" t="str">
            <v>HD</v>
          </cell>
          <cell r="M235" t="str">
            <v>x</v>
          </cell>
          <cell r="N235" t="e">
            <v>#N/A</v>
          </cell>
          <cell r="O235" t="str">
            <v>Cabin Air Filter</v>
          </cell>
        </row>
        <row r="236">
          <cell r="K236" t="str">
            <v>PH4403</v>
          </cell>
          <cell r="L236" t="str">
            <v>HD</v>
          </cell>
          <cell r="N236" t="e">
            <v>#N/A</v>
          </cell>
          <cell r="O236" t="str">
            <v>Spin-on Oil Filter</v>
          </cell>
        </row>
        <row r="237">
          <cell r="K237" t="str">
            <v>LFW6500</v>
          </cell>
          <cell r="L237" t="str">
            <v>HD</v>
          </cell>
          <cell r="N237" t="e">
            <v>#N/A</v>
          </cell>
          <cell r="O237" t="str">
            <v>Controll Release Spin-on Coolant Filter</v>
          </cell>
        </row>
        <row r="238">
          <cell r="K238" t="str">
            <v>LP2247</v>
          </cell>
          <cell r="L238" t="str">
            <v>HD</v>
          </cell>
          <cell r="M238" t="str">
            <v>x</v>
          </cell>
          <cell r="N238" t="e">
            <v>#N/A</v>
          </cell>
          <cell r="O238" t="str">
            <v>Cartridge Oil Filter</v>
          </cell>
        </row>
        <row r="239">
          <cell r="K239" t="str">
            <v>LFF2</v>
          </cell>
          <cell r="L239" t="str">
            <v>HD</v>
          </cell>
          <cell r="M239" t="str">
            <v>x</v>
          </cell>
          <cell r="N239" t="e">
            <v>#N/A</v>
          </cell>
          <cell r="O239" t="str">
            <v>Fuel Dispensing Filter</v>
          </cell>
        </row>
        <row r="240">
          <cell r="K240" t="str">
            <v>LFF3292</v>
          </cell>
          <cell r="L240" t="str">
            <v>HD</v>
          </cell>
          <cell r="M240" t="str">
            <v>x</v>
          </cell>
          <cell r="N240" t="str">
            <v>LFF3292</v>
          </cell>
          <cell r="O240" t="str">
            <v>Spin-on Fuel Water Separator Filter</v>
          </cell>
        </row>
        <row r="241">
          <cell r="K241" t="str">
            <v>LAF6880</v>
          </cell>
          <cell r="L241" t="str">
            <v>HD</v>
          </cell>
          <cell r="M241" t="str">
            <v>x</v>
          </cell>
          <cell r="N241" t="e">
            <v>#N/A</v>
          </cell>
          <cell r="O241" t="str">
            <v>Metal-End Air Filter with Closed Top End Cap</v>
          </cell>
        </row>
        <row r="242">
          <cell r="K242" t="str">
            <v>LAF9472</v>
          </cell>
          <cell r="L242" t="str">
            <v>HD</v>
          </cell>
          <cell r="N242" t="e">
            <v>#N/A</v>
          </cell>
          <cell r="O242" t="str">
            <v>Cone Shaped Conical Air Filter</v>
          </cell>
        </row>
        <row r="243">
          <cell r="K243" t="str">
            <v>LAF1770</v>
          </cell>
          <cell r="L243" t="str">
            <v>HD</v>
          </cell>
          <cell r="M243" t="str">
            <v>x</v>
          </cell>
          <cell r="N243" t="e">
            <v>#N/A</v>
          </cell>
          <cell r="O243" t="str">
            <v>Cone Shaped Conical Air Filter</v>
          </cell>
        </row>
        <row r="244">
          <cell r="K244" t="str">
            <v>500</v>
          </cell>
          <cell r="L244" t="str">
            <v>HD</v>
          </cell>
          <cell r="M244" t="str">
            <v>x</v>
          </cell>
          <cell r="N244" t="e">
            <v>#N/A</v>
          </cell>
          <cell r="O244" t="str">
            <v>500 FLEETPAK</v>
          </cell>
        </row>
        <row r="245">
          <cell r="K245" t="str">
            <v>LFH4915</v>
          </cell>
          <cell r="L245" t="str">
            <v>HD</v>
          </cell>
          <cell r="M245" t="str">
            <v>x</v>
          </cell>
          <cell r="N245" t="str">
            <v>LFH4915</v>
          </cell>
          <cell r="O245" t="str">
            <v>Spin-on Hydraulic Filter</v>
          </cell>
        </row>
        <row r="246">
          <cell r="K246" t="str">
            <v>LFF5874</v>
          </cell>
          <cell r="L246" t="str">
            <v>HD</v>
          </cell>
          <cell r="M246" t="str">
            <v>x</v>
          </cell>
          <cell r="N246" t="e">
            <v>#N/A</v>
          </cell>
          <cell r="O246" t="str">
            <v>Spin-on Fuel Filter</v>
          </cell>
        </row>
        <row r="247">
          <cell r="K247" t="str">
            <v>LK288V</v>
          </cell>
          <cell r="L247" t="str">
            <v>HD</v>
          </cell>
          <cell r="M247" t="str">
            <v>x</v>
          </cell>
          <cell r="N247" t="e">
            <v>#N/A</v>
          </cell>
          <cell r="O247" t="str">
            <v>Volvo Engine Maintenance Kit</v>
          </cell>
        </row>
        <row r="248">
          <cell r="K248" t="str">
            <v>LAF4556</v>
          </cell>
          <cell r="L248" t="str">
            <v>HD</v>
          </cell>
          <cell r="M248" t="str">
            <v>x</v>
          </cell>
          <cell r="N248" t="e">
            <v>#N/A</v>
          </cell>
          <cell r="O248" t="str">
            <v>Primary Radial Seal Air Filter</v>
          </cell>
        </row>
        <row r="249">
          <cell r="K249" t="str">
            <v>LFP2300</v>
          </cell>
          <cell r="L249" t="str">
            <v>HD</v>
          </cell>
          <cell r="M249" t="str">
            <v>x</v>
          </cell>
          <cell r="N249" t="str">
            <v>LFP2300</v>
          </cell>
          <cell r="O249" t="str">
            <v>Spin-on Oil Filter</v>
          </cell>
        </row>
        <row r="250">
          <cell r="K250" t="str">
            <v>LFP4005G</v>
          </cell>
          <cell r="L250" t="str">
            <v>HD</v>
          </cell>
          <cell r="M250" t="str">
            <v>x</v>
          </cell>
          <cell r="N250" t="e">
            <v>#N/A</v>
          </cell>
          <cell r="O250" t="str">
            <v>Extended Life Spin-on Oil Filter</v>
          </cell>
        </row>
        <row r="251">
          <cell r="K251" t="str">
            <v>LFF3579</v>
          </cell>
          <cell r="L251" t="str">
            <v>HD</v>
          </cell>
          <cell r="N251" t="e">
            <v>#N/A</v>
          </cell>
          <cell r="O251" t="str">
            <v>Bowl Style Fuel Water Separator Filter</v>
          </cell>
        </row>
        <row r="252">
          <cell r="K252" t="str">
            <v>LH4101</v>
          </cell>
          <cell r="L252" t="str">
            <v>HD</v>
          </cell>
          <cell r="M252" t="str">
            <v>x</v>
          </cell>
          <cell r="N252" t="str">
            <v>LH4101</v>
          </cell>
          <cell r="O252" t="str">
            <v>Cartridge Power Steering Filter</v>
          </cell>
        </row>
        <row r="253">
          <cell r="K253" t="str">
            <v>LFF5002</v>
          </cell>
          <cell r="L253" t="str">
            <v>HD</v>
          </cell>
          <cell r="M253" t="str">
            <v>x</v>
          </cell>
          <cell r="N253" t="e">
            <v>#N/A</v>
          </cell>
          <cell r="O253" t="str">
            <v>Spin-on Fuel Filter</v>
          </cell>
        </row>
        <row r="254">
          <cell r="K254" t="str">
            <v>LFF8060</v>
          </cell>
          <cell r="L254" t="str">
            <v>HD</v>
          </cell>
          <cell r="M254" t="str">
            <v>x</v>
          </cell>
          <cell r="N254" t="e">
            <v>#N/A</v>
          </cell>
          <cell r="O254" t="str">
            <v>Spin-on Fuel Water Separator Filter</v>
          </cell>
        </row>
        <row r="255">
          <cell r="K255" t="str">
            <v>LFP2160XL</v>
          </cell>
          <cell r="L255" t="str">
            <v>HD</v>
          </cell>
          <cell r="M255" t="str">
            <v>x</v>
          </cell>
          <cell r="N255" t="e">
            <v>#N/A</v>
          </cell>
          <cell r="O255" t="str">
            <v>Extended Life Spin-on Oil Filter</v>
          </cell>
        </row>
        <row r="256">
          <cell r="K256" t="str">
            <v>LAF222</v>
          </cell>
          <cell r="L256" t="str">
            <v>HD</v>
          </cell>
          <cell r="M256" t="str">
            <v>x</v>
          </cell>
          <cell r="N256" t="e">
            <v>#N/A</v>
          </cell>
          <cell r="O256" t="str">
            <v>Finned Vane Air Filter</v>
          </cell>
        </row>
        <row r="257">
          <cell r="K257" t="str">
            <v>LFP8590</v>
          </cell>
          <cell r="L257" t="str">
            <v>HD</v>
          </cell>
          <cell r="M257" t="str">
            <v>x</v>
          </cell>
          <cell r="N257" t="e">
            <v>#N/A</v>
          </cell>
          <cell r="O257" t="str">
            <v>Spin-on Oil Filter</v>
          </cell>
        </row>
        <row r="258">
          <cell r="K258" t="str">
            <v>LFP2294</v>
          </cell>
          <cell r="L258" t="str">
            <v>HD</v>
          </cell>
          <cell r="M258" t="str">
            <v>x</v>
          </cell>
          <cell r="N258" t="e">
            <v>#N/A</v>
          </cell>
          <cell r="O258" t="str">
            <v>Spin-on Oil Filter</v>
          </cell>
        </row>
        <row r="259">
          <cell r="K259" t="str">
            <v>LP487</v>
          </cell>
          <cell r="L259" t="str">
            <v>HD</v>
          </cell>
          <cell r="M259" t="str">
            <v>x</v>
          </cell>
          <cell r="N259" t="e">
            <v>#N/A</v>
          </cell>
          <cell r="O259" t="str">
            <v>Power Steering Cartridge Filter</v>
          </cell>
        </row>
        <row r="260">
          <cell r="K260" t="str">
            <v>LFF3553</v>
          </cell>
          <cell r="L260" t="str">
            <v>HD</v>
          </cell>
          <cell r="M260" t="str">
            <v>x</v>
          </cell>
          <cell r="N260" t="e">
            <v>#N/A</v>
          </cell>
          <cell r="O260" t="str">
            <v>Spin-on Fuel Filter</v>
          </cell>
        </row>
        <row r="261">
          <cell r="K261" t="str">
            <v>LK161D</v>
          </cell>
          <cell r="L261" t="str">
            <v>HD</v>
          </cell>
          <cell r="M261" t="str">
            <v>x</v>
          </cell>
          <cell r="N261" t="e">
            <v>#N/A</v>
          </cell>
          <cell r="O261" t="str">
            <v>Detroit Diesel Engine Maintenance Kit</v>
          </cell>
        </row>
        <row r="262">
          <cell r="K262" t="str">
            <v>LFH4223</v>
          </cell>
          <cell r="L262" t="str">
            <v>HD</v>
          </cell>
          <cell r="M262" t="str">
            <v>x</v>
          </cell>
          <cell r="N262" t="e">
            <v>#N/A</v>
          </cell>
          <cell r="O262" t="str">
            <v>Spin-on Hydraulic Filter</v>
          </cell>
        </row>
        <row r="263">
          <cell r="K263">
            <v>920064</v>
          </cell>
          <cell r="L263" t="str">
            <v>HD</v>
          </cell>
          <cell r="M263" t="str">
            <v>x</v>
          </cell>
          <cell r="N263" t="e">
            <v>#N/A</v>
          </cell>
          <cell r="O263" t="str">
            <v>LUBERCOOL</v>
          </cell>
        </row>
        <row r="264">
          <cell r="K264" t="str">
            <v>LFF5804</v>
          </cell>
          <cell r="L264" t="str">
            <v>HD</v>
          </cell>
          <cell r="M264" t="str">
            <v>x</v>
          </cell>
          <cell r="N264" t="str">
            <v>LFF5804</v>
          </cell>
          <cell r="O264" t="str">
            <v>Spin-on Fuel Filter</v>
          </cell>
        </row>
        <row r="265">
          <cell r="K265" t="str">
            <v>FP603</v>
          </cell>
          <cell r="L265" t="str">
            <v>HD</v>
          </cell>
          <cell r="M265" t="str">
            <v>x</v>
          </cell>
          <cell r="N265" t="e">
            <v>#N/A</v>
          </cell>
          <cell r="O265" t="str">
            <v>Spin-on Fuel Filter</v>
          </cell>
        </row>
        <row r="266">
          <cell r="K266" t="str">
            <v>LAF6918</v>
          </cell>
          <cell r="L266" t="str">
            <v>HD</v>
          </cell>
          <cell r="M266" t="str">
            <v>x</v>
          </cell>
          <cell r="N266" t="e">
            <v>#N/A</v>
          </cell>
          <cell r="O266" t="str">
            <v>Metal-End Air Filter with Closed Top End Cap</v>
          </cell>
        </row>
        <row r="267">
          <cell r="K267" t="str">
            <v>LCTK12</v>
          </cell>
          <cell r="L267" t="str">
            <v>HD</v>
          </cell>
          <cell r="M267" t="str">
            <v>x</v>
          </cell>
          <cell r="N267" t="e">
            <v>#N/A</v>
          </cell>
          <cell r="O267" t="str">
            <v>Coolant Analysis Test Kit</v>
          </cell>
        </row>
        <row r="268">
          <cell r="K268" t="str">
            <v>LFF5080</v>
          </cell>
          <cell r="L268" t="str">
            <v>HD</v>
          </cell>
          <cell r="M268" t="str">
            <v>x</v>
          </cell>
          <cell r="N268" t="e">
            <v>#N/A</v>
          </cell>
          <cell r="O268" t="str">
            <v>Spin-on Fuel Filter</v>
          </cell>
        </row>
        <row r="269">
          <cell r="K269" t="str">
            <v>LAF6889</v>
          </cell>
          <cell r="L269" t="str">
            <v>HD</v>
          </cell>
          <cell r="M269" t="str">
            <v>x</v>
          </cell>
          <cell r="N269" t="e">
            <v>#N/A</v>
          </cell>
          <cell r="O269" t="str">
            <v>Corrugated Media Air Filter</v>
          </cell>
        </row>
        <row r="270">
          <cell r="K270" t="str">
            <v>LFP8340</v>
          </cell>
          <cell r="L270" t="str">
            <v>HD</v>
          </cell>
          <cell r="M270" t="str">
            <v>x</v>
          </cell>
          <cell r="N270" t="e">
            <v>#N/A</v>
          </cell>
          <cell r="O270" t="str">
            <v>Spin-on Oil Filter</v>
          </cell>
        </row>
        <row r="271">
          <cell r="K271" t="str">
            <v>L9800F</v>
          </cell>
          <cell r="L271" t="str">
            <v>HD</v>
          </cell>
          <cell r="M271" t="str">
            <v>x</v>
          </cell>
          <cell r="N271" t="e">
            <v>#N/A</v>
          </cell>
          <cell r="O271" t="str">
            <v>Cartridge Fuel Water Separator Coalescer filter</v>
          </cell>
        </row>
        <row r="272">
          <cell r="K272" t="str">
            <v>LAF8047</v>
          </cell>
          <cell r="L272" t="str">
            <v>HD</v>
          </cell>
          <cell r="N272" t="e">
            <v>#N/A</v>
          </cell>
          <cell r="O272" t="str">
            <v>HD Metal-End Air Filter with Attached Lid</v>
          </cell>
        </row>
        <row r="273">
          <cell r="K273" t="str">
            <v>LAF9102</v>
          </cell>
          <cell r="L273" t="str">
            <v>HD</v>
          </cell>
          <cell r="M273" t="str">
            <v>x</v>
          </cell>
          <cell r="N273" t="e">
            <v>#N/A</v>
          </cell>
          <cell r="O273" t="str">
            <v>Radial Seal Inner Air Filter</v>
          </cell>
        </row>
        <row r="274">
          <cell r="K274" t="str">
            <v>LFP2440</v>
          </cell>
          <cell r="L274" t="str">
            <v>HD</v>
          </cell>
          <cell r="M274" t="str">
            <v>x</v>
          </cell>
          <cell r="N274" t="str">
            <v>LFP2440</v>
          </cell>
          <cell r="O274" t="str">
            <v>Spin-on Oil Filter</v>
          </cell>
        </row>
        <row r="275">
          <cell r="K275" t="str">
            <v>LFP2222</v>
          </cell>
          <cell r="L275" t="str">
            <v>HD</v>
          </cell>
          <cell r="M275" t="str">
            <v>x</v>
          </cell>
          <cell r="N275" t="e">
            <v>#N/A</v>
          </cell>
          <cell r="O275" t="str">
            <v>Spin-on Oil Filter</v>
          </cell>
        </row>
        <row r="276">
          <cell r="K276" t="str">
            <v>LFF3806</v>
          </cell>
          <cell r="L276" t="str">
            <v>HD</v>
          </cell>
          <cell r="M276" t="str">
            <v>x</v>
          </cell>
          <cell r="N276" t="e">
            <v>#N/A</v>
          </cell>
          <cell r="O276" t="str">
            <v>Spin-on Fuel Filter</v>
          </cell>
        </row>
        <row r="277">
          <cell r="K277" t="str">
            <v>LAF6986</v>
          </cell>
          <cell r="L277" t="str">
            <v>HD</v>
          </cell>
          <cell r="M277" t="str">
            <v>x</v>
          </cell>
          <cell r="N277" t="e">
            <v>#N/A</v>
          </cell>
          <cell r="O277" t="str">
            <v>Radial Seal Air Filter, Primary</v>
          </cell>
        </row>
        <row r="278">
          <cell r="K278" t="str">
            <v>LFF9982</v>
          </cell>
          <cell r="L278" t="str">
            <v>HD</v>
          </cell>
          <cell r="M278" t="str">
            <v>x</v>
          </cell>
          <cell r="N278" t="e">
            <v>#N/A</v>
          </cell>
          <cell r="O278" t="str">
            <v>Spin-on Fuel Filter</v>
          </cell>
        </row>
        <row r="279">
          <cell r="K279" t="str">
            <v>LFF8012</v>
          </cell>
          <cell r="L279" t="str">
            <v>HD</v>
          </cell>
          <cell r="M279" t="str">
            <v>x</v>
          </cell>
          <cell r="N279" t="e">
            <v>#N/A</v>
          </cell>
          <cell r="O279" t="str">
            <v>Spin-on Fuel Filter</v>
          </cell>
        </row>
        <row r="280">
          <cell r="K280" t="str">
            <v>LP2273</v>
          </cell>
          <cell r="L280" t="str">
            <v>HD</v>
          </cell>
          <cell r="M280" t="str">
            <v>x</v>
          </cell>
          <cell r="N280" t="e">
            <v>#N/A</v>
          </cell>
          <cell r="O280" t="str">
            <v>Centrifugal Cartridge Oil Filter</v>
          </cell>
        </row>
        <row r="281">
          <cell r="K281" t="str">
            <v>LFF5D</v>
          </cell>
          <cell r="L281" t="str">
            <v>HD</v>
          </cell>
          <cell r="N281" t="e">
            <v>#N/A</v>
          </cell>
          <cell r="O281" t="str">
            <v>HD Fuel Spin-on Filter</v>
          </cell>
        </row>
        <row r="282">
          <cell r="K282" t="str">
            <v>LFF6771</v>
          </cell>
          <cell r="L282" t="str">
            <v>HD</v>
          </cell>
          <cell r="M282" t="str">
            <v>x</v>
          </cell>
          <cell r="N282" t="str">
            <v>LFF6771</v>
          </cell>
          <cell r="O282" t="str">
            <v>Spin-on Fuel Water Separator Filter</v>
          </cell>
        </row>
        <row r="283">
          <cell r="K283" t="str">
            <v>LFF8707</v>
          </cell>
          <cell r="L283" t="str">
            <v>HD</v>
          </cell>
          <cell r="M283" t="str">
            <v>x</v>
          </cell>
          <cell r="N283" t="e">
            <v>#N/A</v>
          </cell>
          <cell r="O283" t="str">
            <v>Bowl Style Fuel Water Separator Filter</v>
          </cell>
        </row>
        <row r="284">
          <cell r="K284" t="str">
            <v>LK124S</v>
          </cell>
          <cell r="L284" t="str">
            <v>HD</v>
          </cell>
          <cell r="M284" t="str">
            <v>x</v>
          </cell>
          <cell r="N284" t="e">
            <v>#N/A</v>
          </cell>
          <cell r="O284" t="str">
            <v>Spinner II Maintenance Kit</v>
          </cell>
        </row>
        <row r="285">
          <cell r="K285" t="str">
            <v>LAF8150</v>
          </cell>
          <cell r="L285" t="str">
            <v>HD</v>
          </cell>
          <cell r="M285" t="str">
            <v>x</v>
          </cell>
          <cell r="N285" t="e">
            <v>#N/A</v>
          </cell>
          <cell r="O285" t="str">
            <v>Radial Seal Outer Air Filter</v>
          </cell>
        </row>
        <row r="286">
          <cell r="K286" t="str">
            <v>LAF9540</v>
          </cell>
          <cell r="L286" t="str">
            <v>HD</v>
          </cell>
          <cell r="M286" t="str">
            <v>x</v>
          </cell>
          <cell r="N286" t="e">
            <v>#N/A</v>
          </cell>
          <cell r="O286" t="str">
            <v>Radial Seal Outer Air Filter</v>
          </cell>
        </row>
        <row r="287">
          <cell r="K287" t="str">
            <v>LAF1275</v>
          </cell>
          <cell r="L287" t="str">
            <v>HD</v>
          </cell>
          <cell r="M287" t="str">
            <v>x</v>
          </cell>
          <cell r="N287" t="e">
            <v>#N/A</v>
          </cell>
          <cell r="O287" t="str">
            <v>Finned Vane Air Filter</v>
          </cell>
        </row>
        <row r="288">
          <cell r="K288" t="str">
            <v>LFP2000C</v>
          </cell>
          <cell r="L288" t="str">
            <v>HD</v>
          </cell>
          <cell r="M288" t="str">
            <v>x</v>
          </cell>
          <cell r="N288" t="e">
            <v>#N/A</v>
          </cell>
          <cell r="O288" t="str">
            <v>Spin-on Fuel Water Separator Coalescer Filter</v>
          </cell>
        </row>
        <row r="289">
          <cell r="K289" t="str">
            <v>FP251F</v>
          </cell>
          <cell r="L289" t="str">
            <v>HD</v>
          </cell>
          <cell r="M289" t="str">
            <v>x</v>
          </cell>
          <cell r="N289" t="e">
            <v>#N/A</v>
          </cell>
          <cell r="O289" t="str">
            <v>Spin-on Fuel Filter</v>
          </cell>
        </row>
        <row r="290">
          <cell r="K290" t="str">
            <v>LAF5325</v>
          </cell>
          <cell r="L290" t="str">
            <v>HD</v>
          </cell>
          <cell r="M290" t="str">
            <v>x</v>
          </cell>
          <cell r="N290" t="e">
            <v>#N/A</v>
          </cell>
          <cell r="O290" t="str">
            <v>Radial Seal Outer Air Filter</v>
          </cell>
        </row>
        <row r="291">
          <cell r="K291" t="str">
            <v>LFW4075</v>
          </cell>
          <cell r="L291" t="str">
            <v>HD</v>
          </cell>
          <cell r="M291" t="str">
            <v>x</v>
          </cell>
          <cell r="N291" t="e">
            <v>#N/A</v>
          </cell>
          <cell r="O291" t="str">
            <v>Spin-on Coolant Filter</v>
          </cell>
        </row>
        <row r="292">
          <cell r="K292" t="str">
            <v>LAF1246</v>
          </cell>
          <cell r="L292" t="str">
            <v>HD</v>
          </cell>
          <cell r="M292" t="str">
            <v>x</v>
          </cell>
          <cell r="N292" t="e">
            <v>#N/A</v>
          </cell>
          <cell r="O292" t="str">
            <v>Finned Vane Air Filter</v>
          </cell>
        </row>
        <row r="293">
          <cell r="K293" t="str">
            <v>LFW4072</v>
          </cell>
          <cell r="L293" t="str">
            <v>HD</v>
          </cell>
          <cell r="M293" t="str">
            <v>x</v>
          </cell>
          <cell r="N293" t="e">
            <v>#N/A</v>
          </cell>
          <cell r="O293" t="str">
            <v>Spin-on Coolant Filter</v>
          </cell>
        </row>
        <row r="294">
          <cell r="K294" t="str">
            <v>LFF8762</v>
          </cell>
          <cell r="L294" t="str">
            <v>HD</v>
          </cell>
          <cell r="M294" t="str">
            <v>x</v>
          </cell>
          <cell r="N294" t="e">
            <v>#N/A</v>
          </cell>
          <cell r="O294" t="str">
            <v>Spin-on Fuel Filter</v>
          </cell>
        </row>
        <row r="295">
          <cell r="K295" t="str">
            <v>LAF6265</v>
          </cell>
          <cell r="L295" t="str">
            <v>HD</v>
          </cell>
          <cell r="M295" t="str">
            <v>x</v>
          </cell>
          <cell r="N295" t="e">
            <v>#N/A</v>
          </cell>
          <cell r="O295" t="str">
            <v>Corrugated Media Air Filter</v>
          </cell>
        </row>
        <row r="296">
          <cell r="K296" t="str">
            <v>L7662FK</v>
          </cell>
          <cell r="L296" t="str">
            <v>HD</v>
          </cell>
          <cell r="M296" t="str">
            <v>x</v>
          </cell>
          <cell r="N296" t="e">
            <v>#N/A</v>
          </cell>
          <cell r="O296" t="str">
            <v>Fuel filter kit</v>
          </cell>
        </row>
        <row r="297">
          <cell r="K297" t="str">
            <v>CAF24002</v>
          </cell>
          <cell r="L297" t="str">
            <v>HD</v>
          </cell>
          <cell r="M297" t="str">
            <v>x</v>
          </cell>
          <cell r="N297" t="e">
            <v>#N/A</v>
          </cell>
          <cell r="O297" t="str">
            <v>Cabin Air Filter</v>
          </cell>
        </row>
        <row r="298">
          <cell r="K298" t="str">
            <v>LFF3806/4806</v>
          </cell>
          <cell r="L298" t="str">
            <v>HD</v>
          </cell>
          <cell r="M298" t="str">
            <v>x</v>
          </cell>
          <cell r="N298" t="e">
            <v>#N/A</v>
          </cell>
          <cell r="O298" t="str">
            <v>Spin-on Fuel Filter</v>
          </cell>
        </row>
        <row r="299">
          <cell r="K299" t="str">
            <v>LFH5659</v>
          </cell>
          <cell r="L299" t="str">
            <v>HD</v>
          </cell>
          <cell r="M299" t="str">
            <v>x</v>
          </cell>
          <cell r="N299" t="e">
            <v>#N/A</v>
          </cell>
          <cell r="O299" t="str">
            <v>Spin-on Hydraulic Filter</v>
          </cell>
        </row>
        <row r="300">
          <cell r="K300" t="str">
            <v>L3102F</v>
          </cell>
          <cell r="L300" t="str">
            <v>HD</v>
          </cell>
          <cell r="M300" t="str">
            <v>x</v>
          </cell>
          <cell r="N300" t="e">
            <v>#N/A</v>
          </cell>
          <cell r="O300" t="str">
            <v>Snap-lock Fuel/Water Separator Filter</v>
          </cell>
        </row>
        <row r="301">
          <cell r="K301" t="str">
            <v>LAF1839</v>
          </cell>
          <cell r="L301" t="str">
            <v>HD</v>
          </cell>
          <cell r="M301" t="str">
            <v>x</v>
          </cell>
          <cell r="N301" t="e">
            <v>#N/A</v>
          </cell>
          <cell r="O301" t="str">
            <v>HD Round Air Filter with Attached Boot</v>
          </cell>
        </row>
        <row r="302">
          <cell r="K302" t="str">
            <v>LFF1001</v>
          </cell>
          <cell r="L302" t="str">
            <v>HD</v>
          </cell>
          <cell r="M302" t="str">
            <v>x</v>
          </cell>
          <cell r="N302" t="e">
            <v>#N/A</v>
          </cell>
          <cell r="O302" t="str">
            <v>Spin-on Fuel Filter</v>
          </cell>
        </row>
        <row r="303">
          <cell r="K303" t="str">
            <v>LAF5633</v>
          </cell>
          <cell r="L303" t="str">
            <v>HD</v>
          </cell>
          <cell r="M303" t="str">
            <v>x</v>
          </cell>
          <cell r="N303" t="e">
            <v>#N/A</v>
          </cell>
          <cell r="O303" t="str">
            <v>Radial Seal Outer Air Filter</v>
          </cell>
        </row>
        <row r="304">
          <cell r="K304" t="str">
            <v>L4609F</v>
          </cell>
          <cell r="L304" t="str">
            <v>HD</v>
          </cell>
          <cell r="M304" t="str">
            <v>x</v>
          </cell>
          <cell r="N304" t="e">
            <v>#N/A</v>
          </cell>
          <cell r="O304" t="str">
            <v>Fuel Filter Kit Primary/Secondary</v>
          </cell>
        </row>
        <row r="305">
          <cell r="K305" t="str">
            <v>LAF4503</v>
          </cell>
          <cell r="L305" t="str">
            <v>HD</v>
          </cell>
          <cell r="M305" t="str">
            <v>x</v>
          </cell>
          <cell r="N305" t="e">
            <v>#N/A</v>
          </cell>
          <cell r="O305" t="str">
            <v>Radial Seal Outer Air Filter</v>
          </cell>
        </row>
        <row r="306">
          <cell r="K306" t="str">
            <v>LFF6816XL</v>
          </cell>
          <cell r="L306" t="str">
            <v>HD</v>
          </cell>
          <cell r="M306" t="str">
            <v>x</v>
          </cell>
          <cell r="N306" t="e">
            <v>#N/A</v>
          </cell>
          <cell r="O306" t="str">
            <v>Spin-on Fuel Filter</v>
          </cell>
        </row>
        <row r="307">
          <cell r="K307" t="str">
            <v>LFP734</v>
          </cell>
          <cell r="L307" t="str">
            <v>HD</v>
          </cell>
          <cell r="M307" t="str">
            <v>x</v>
          </cell>
          <cell r="N307" t="e">
            <v>#N/A</v>
          </cell>
          <cell r="O307" t="str">
            <v>Spin-on Oil Filter</v>
          </cell>
        </row>
        <row r="308">
          <cell r="K308" t="str">
            <v>LAF9104</v>
          </cell>
          <cell r="L308" t="str">
            <v>HD</v>
          </cell>
          <cell r="M308" t="str">
            <v>x</v>
          </cell>
          <cell r="N308" t="e">
            <v>#N/A</v>
          </cell>
          <cell r="O308" t="str">
            <v>Corrugated Media Air Filter</v>
          </cell>
        </row>
        <row r="309">
          <cell r="K309" t="str">
            <v>LAF9547</v>
          </cell>
          <cell r="L309" t="str">
            <v>HD</v>
          </cell>
          <cell r="M309" t="str">
            <v>x</v>
          </cell>
          <cell r="N309" t="e">
            <v>#N/A</v>
          </cell>
          <cell r="O309" t="str">
            <v>Radial Seal Outer Air Filter</v>
          </cell>
        </row>
        <row r="310">
          <cell r="K310" t="str">
            <v>L3523F</v>
          </cell>
          <cell r="L310" t="str">
            <v>HD</v>
          </cell>
          <cell r="N310" t="e">
            <v>#N/A</v>
          </cell>
          <cell r="O310" t="str">
            <v>Cartridge Fuel Filter</v>
          </cell>
        </row>
        <row r="311">
          <cell r="K311" t="str">
            <v>LFF1201</v>
          </cell>
          <cell r="L311" t="str">
            <v>HD</v>
          </cell>
          <cell r="M311" t="str">
            <v>x</v>
          </cell>
          <cell r="N311" t="e">
            <v>#N/A</v>
          </cell>
          <cell r="O311" t="str">
            <v>Spin-on Fuel Filter</v>
          </cell>
        </row>
        <row r="312">
          <cell r="K312" t="str">
            <v>LFH5876</v>
          </cell>
          <cell r="L312" t="str">
            <v>HD</v>
          </cell>
          <cell r="M312" t="str">
            <v>x</v>
          </cell>
          <cell r="N312" t="e">
            <v>#N/A</v>
          </cell>
          <cell r="O312" t="str">
            <v>Spin-on Hydraulic Filter</v>
          </cell>
        </row>
        <row r="313">
          <cell r="K313" t="str">
            <v>LFP3693F</v>
          </cell>
          <cell r="L313" t="str">
            <v>HD</v>
          </cell>
          <cell r="M313" t="str">
            <v>x</v>
          </cell>
          <cell r="N313" t="e">
            <v>#N/A</v>
          </cell>
          <cell r="O313" t="str">
            <v>Spin-on Fuel Filter</v>
          </cell>
        </row>
        <row r="314">
          <cell r="K314" t="str">
            <v>L8868F</v>
          </cell>
          <cell r="L314" t="str">
            <v>HD</v>
          </cell>
          <cell r="M314" t="str">
            <v>x</v>
          </cell>
          <cell r="N314" t="e">
            <v>#N/A</v>
          </cell>
          <cell r="O314" t="str">
            <v>Snap-Lock Fuel Filter</v>
          </cell>
        </row>
        <row r="315">
          <cell r="K315" t="str">
            <v>LFP4005SC</v>
          </cell>
          <cell r="L315" t="str">
            <v>HD</v>
          </cell>
          <cell r="M315" t="str">
            <v>x</v>
          </cell>
          <cell r="N315" t="e">
            <v>#N/A</v>
          </cell>
          <cell r="O315" t="str">
            <v>Spin-on Oil Filter</v>
          </cell>
        </row>
        <row r="316">
          <cell r="K316" t="str">
            <v>LFF2040N</v>
          </cell>
          <cell r="L316" t="str">
            <v>HD</v>
          </cell>
          <cell r="M316" t="str">
            <v>x</v>
          </cell>
          <cell r="N316" t="e">
            <v>#N/A</v>
          </cell>
          <cell r="O316" t="str">
            <v>Cartridge Fuel Filter</v>
          </cell>
        </row>
        <row r="317">
          <cell r="K317" t="str">
            <v>LAF7472</v>
          </cell>
          <cell r="L317" t="str">
            <v>HD</v>
          </cell>
          <cell r="M317" t="str">
            <v>x</v>
          </cell>
          <cell r="N317" t="e">
            <v>#N/A</v>
          </cell>
          <cell r="O317" t="str">
            <v>Cone Shaped Conical Air Filter</v>
          </cell>
        </row>
        <row r="318">
          <cell r="K318" t="str">
            <v>LFF902</v>
          </cell>
          <cell r="L318" t="str">
            <v>HD</v>
          </cell>
          <cell r="M318" t="str">
            <v>x</v>
          </cell>
          <cell r="N318" t="e">
            <v>#N/A</v>
          </cell>
          <cell r="O318" t="str">
            <v>Bowl Style Fuel Water Separator Filter</v>
          </cell>
        </row>
        <row r="319">
          <cell r="K319" t="str">
            <v>LFP2275</v>
          </cell>
          <cell r="L319" t="str">
            <v>HD</v>
          </cell>
          <cell r="M319" t="str">
            <v>x</v>
          </cell>
          <cell r="N319" t="e">
            <v>#N/A</v>
          </cell>
          <cell r="O319" t="str">
            <v>Spin-on Oil Filter</v>
          </cell>
        </row>
        <row r="320">
          <cell r="K320" t="str">
            <v>L3887F</v>
          </cell>
          <cell r="L320" t="str">
            <v>HD</v>
          </cell>
          <cell r="M320" t="str">
            <v>x</v>
          </cell>
          <cell r="N320" t="e">
            <v>#N/A</v>
          </cell>
          <cell r="O320" t="str">
            <v>Snap-Lock Fuel Filter</v>
          </cell>
        </row>
        <row r="321">
          <cell r="K321" t="str">
            <v>LFP5748</v>
          </cell>
          <cell r="L321" t="str">
            <v>HD</v>
          </cell>
          <cell r="M321" t="str">
            <v>x</v>
          </cell>
          <cell r="N321" t="e">
            <v>#N/A</v>
          </cell>
          <cell r="O321" t="str">
            <v>Spin-on Oil Filter</v>
          </cell>
        </row>
        <row r="322">
          <cell r="K322" t="str">
            <v>LAF8430</v>
          </cell>
          <cell r="L322" t="str">
            <v>HD</v>
          </cell>
          <cell r="M322" t="str">
            <v>x</v>
          </cell>
          <cell r="N322" t="e">
            <v>#N/A</v>
          </cell>
          <cell r="O322" t="str">
            <v>Radial Seal Outer Air Filter</v>
          </cell>
        </row>
        <row r="323">
          <cell r="K323" t="str">
            <v>OUTLET</v>
          </cell>
          <cell r="L323" t="str">
            <v>HD</v>
          </cell>
          <cell r="M323" t="str">
            <v>x</v>
          </cell>
          <cell r="N323" t="e">
            <v>#N/A</v>
          </cell>
          <cell r="O323" t="str">
            <v>Outlet Check Valve Assembly/500B, C, 750-C, CT</v>
          </cell>
        </row>
        <row r="324">
          <cell r="K324" t="str">
            <v>LFH4959</v>
          </cell>
          <cell r="L324" t="str">
            <v>HD</v>
          </cell>
          <cell r="M324" t="str">
            <v>x</v>
          </cell>
          <cell r="N324" t="str">
            <v>LFH4959</v>
          </cell>
          <cell r="O324" t="str">
            <v>Spin-on Hydraulic Filter</v>
          </cell>
        </row>
        <row r="325">
          <cell r="K325" t="str">
            <v>L9730F</v>
          </cell>
          <cell r="L325" t="str">
            <v>HD</v>
          </cell>
          <cell r="M325" t="str">
            <v>x</v>
          </cell>
          <cell r="N325" t="e">
            <v>#N/A</v>
          </cell>
          <cell r="O325" t="str">
            <v>Cartridge Fuel Water Separator Filter</v>
          </cell>
        </row>
        <row r="326">
          <cell r="K326" t="str">
            <v>LAF237</v>
          </cell>
          <cell r="L326" t="str">
            <v>HD</v>
          </cell>
          <cell r="M326" t="str">
            <v>x</v>
          </cell>
          <cell r="N326" t="e">
            <v>#N/A</v>
          </cell>
          <cell r="O326" t="str">
            <v>Finned Vane Air Filter</v>
          </cell>
        </row>
        <row r="327">
          <cell r="K327" t="str">
            <v>L7663F</v>
          </cell>
          <cell r="O327" t="str">
            <v>Cartridge Fuel Filter</v>
          </cell>
        </row>
        <row r="328">
          <cell r="K328" t="str">
            <v>LOSK-1</v>
          </cell>
          <cell r="L328" t="str">
            <v>HD</v>
          </cell>
          <cell r="M328" t="str">
            <v>x</v>
          </cell>
          <cell r="N328" t="e">
            <v>#N/A</v>
          </cell>
          <cell r="O328" t="str">
            <v>Oil Analysis Test Kit</v>
          </cell>
        </row>
        <row r="329">
          <cell r="K329" t="str">
            <v>LAF1829</v>
          </cell>
          <cell r="L329" t="str">
            <v>HD</v>
          </cell>
          <cell r="M329" t="str">
            <v>x</v>
          </cell>
          <cell r="N329" t="str">
            <v>LAF1829</v>
          </cell>
          <cell r="O329" t="str">
            <v>Disposible Housing Air Filter</v>
          </cell>
        </row>
        <row r="330">
          <cell r="K330" t="str">
            <v>LAF8691</v>
          </cell>
          <cell r="L330" t="str">
            <v>HD</v>
          </cell>
          <cell r="M330" t="str">
            <v>x</v>
          </cell>
          <cell r="N330" t="e">
            <v>#N/A</v>
          </cell>
          <cell r="O330" t="str">
            <v>Radial Seal Outer Air Filter</v>
          </cell>
        </row>
        <row r="331">
          <cell r="K331" t="str">
            <v>LAF6923</v>
          </cell>
          <cell r="L331" t="str">
            <v>HD</v>
          </cell>
          <cell r="M331" t="str">
            <v>x</v>
          </cell>
          <cell r="N331" t="e">
            <v>#N/A</v>
          </cell>
          <cell r="O331" t="str">
            <v>Radial Seal Inner Air Filter</v>
          </cell>
        </row>
        <row r="332">
          <cell r="K332" t="str">
            <v>LAF1787</v>
          </cell>
          <cell r="L332" t="str">
            <v>HD</v>
          </cell>
          <cell r="M332" t="str">
            <v>x</v>
          </cell>
          <cell r="N332" t="e">
            <v>#N/A</v>
          </cell>
          <cell r="O332" t="str">
            <v>HD Metal-End Air Filter</v>
          </cell>
        </row>
        <row r="333">
          <cell r="K333" t="str">
            <v>LAF8765</v>
          </cell>
          <cell r="L333" t="str">
            <v>HD</v>
          </cell>
          <cell r="M333" t="str">
            <v>x</v>
          </cell>
          <cell r="N333" t="e">
            <v>#N/A</v>
          </cell>
          <cell r="O333" t="str">
            <v>Radial Seal Outer Air Filter</v>
          </cell>
        </row>
        <row r="334">
          <cell r="K334" t="str">
            <v>LFP3729</v>
          </cell>
          <cell r="L334" t="str">
            <v>HD</v>
          </cell>
          <cell r="M334" t="str">
            <v>x</v>
          </cell>
          <cell r="N334" t="e">
            <v>#N/A</v>
          </cell>
          <cell r="O334" t="str">
            <v>Spin-on Oil Filter</v>
          </cell>
        </row>
        <row r="335">
          <cell r="K335" t="str">
            <v>LFH4910</v>
          </cell>
          <cell r="L335" t="str">
            <v>HD</v>
          </cell>
          <cell r="M335" t="str">
            <v>x</v>
          </cell>
          <cell r="N335" t="str">
            <v>LFH4910</v>
          </cell>
          <cell r="O335" t="str">
            <v>Spin-on Hydraulic Filter</v>
          </cell>
        </row>
        <row r="336">
          <cell r="K336" t="str">
            <v>LAF3407</v>
          </cell>
          <cell r="L336" t="str">
            <v>HD</v>
          </cell>
          <cell r="M336" t="str">
            <v>x</v>
          </cell>
          <cell r="N336" t="e">
            <v>#N/A</v>
          </cell>
          <cell r="O336" t="str">
            <v>Panel Air Filter Metal Framed</v>
          </cell>
        </row>
        <row r="337">
          <cell r="K337" t="str">
            <v>750</v>
          </cell>
          <cell r="L337" t="str">
            <v>HD</v>
          </cell>
          <cell r="M337" t="str">
            <v>x</v>
          </cell>
          <cell r="N337" t="e">
            <v>#N/A</v>
          </cell>
          <cell r="O337" t="str">
            <v>Refining Oil Filter Element used in Luberfiner 750 Units</v>
          </cell>
        </row>
        <row r="338">
          <cell r="K338" t="str">
            <v>LAF8149</v>
          </cell>
          <cell r="L338" t="str">
            <v>HD</v>
          </cell>
          <cell r="M338" t="str">
            <v>x</v>
          </cell>
          <cell r="N338" t="e">
            <v>#N/A</v>
          </cell>
          <cell r="O338" t="str">
            <v>Radial Seal Outer Air Filter</v>
          </cell>
        </row>
        <row r="339">
          <cell r="K339" t="str">
            <v>LFP7217</v>
          </cell>
          <cell r="L339" t="str">
            <v>HD</v>
          </cell>
          <cell r="M339" t="str">
            <v>x</v>
          </cell>
          <cell r="N339" t="e">
            <v>#N/A</v>
          </cell>
          <cell r="O339" t="str">
            <v>Spin-on Oil Filter</v>
          </cell>
        </row>
        <row r="340">
          <cell r="K340" t="str">
            <v>L6161F</v>
          </cell>
          <cell r="L340" t="str">
            <v>HD</v>
          </cell>
          <cell r="M340" t="str">
            <v>x</v>
          </cell>
          <cell r="N340" t="e">
            <v>#N/A</v>
          </cell>
          <cell r="O340" t="str">
            <v>Cartridge Fuel Filter</v>
          </cell>
        </row>
        <row r="341">
          <cell r="K341" t="str">
            <v>LAF292</v>
          </cell>
          <cell r="L341" t="str">
            <v>HD</v>
          </cell>
          <cell r="M341" t="str">
            <v>x</v>
          </cell>
          <cell r="N341" t="e">
            <v>#N/A</v>
          </cell>
          <cell r="O341" t="str">
            <v>Round Plastisol Air Filter</v>
          </cell>
        </row>
        <row r="342">
          <cell r="K342" t="str">
            <v>LFF6770</v>
          </cell>
          <cell r="L342" t="str">
            <v>HD</v>
          </cell>
          <cell r="M342" t="str">
            <v>x</v>
          </cell>
          <cell r="N342" t="str">
            <v>LFF6770</v>
          </cell>
          <cell r="O342" t="str">
            <v>Spin-on Fuel Water Separator Filter</v>
          </cell>
        </row>
        <row r="343">
          <cell r="K343" t="str">
            <v>LAF7413</v>
          </cell>
          <cell r="L343" t="str">
            <v>HD</v>
          </cell>
          <cell r="M343" t="str">
            <v>x</v>
          </cell>
          <cell r="N343" t="e">
            <v>#N/A</v>
          </cell>
          <cell r="O343" t="str">
            <v>HD Metal-End Air Filter</v>
          </cell>
        </row>
        <row r="344">
          <cell r="K344" t="str">
            <v>L2021F</v>
          </cell>
          <cell r="L344" t="str">
            <v>HD</v>
          </cell>
          <cell r="M344" t="str">
            <v>x</v>
          </cell>
          <cell r="N344" t="e">
            <v>#N/A</v>
          </cell>
          <cell r="O344" t="str">
            <v>Cartridge Fuel Water Separator Filter</v>
          </cell>
        </row>
        <row r="345">
          <cell r="K345" t="str">
            <v>LP2017</v>
          </cell>
          <cell r="L345" t="str">
            <v>HD</v>
          </cell>
          <cell r="M345" t="str">
            <v>x</v>
          </cell>
          <cell r="N345" t="e">
            <v>#N/A</v>
          </cell>
          <cell r="O345" t="str">
            <v>Oil filter and Cap for Ford Super Duty Diesel trucks</v>
          </cell>
        </row>
        <row r="346">
          <cell r="K346" t="str">
            <v>LAF4505</v>
          </cell>
          <cell r="L346" t="str">
            <v>HD</v>
          </cell>
          <cell r="M346" t="str">
            <v>x</v>
          </cell>
          <cell r="N346" t="e">
            <v>#N/A</v>
          </cell>
          <cell r="O346" t="str">
            <v>Radial Seal Outer Air Filter</v>
          </cell>
        </row>
        <row r="347">
          <cell r="K347" t="str">
            <v>LAF9500</v>
          </cell>
          <cell r="L347" t="str">
            <v>HD</v>
          </cell>
          <cell r="M347" t="str">
            <v>x</v>
          </cell>
          <cell r="N347" t="e">
            <v>#N/A</v>
          </cell>
          <cell r="O347" t="str">
            <v>Radial Seal Outer Air Filter</v>
          </cell>
        </row>
        <row r="348">
          <cell r="K348" t="str">
            <v>LAF8693</v>
          </cell>
          <cell r="L348" t="str">
            <v>HD</v>
          </cell>
          <cell r="M348" t="str">
            <v>x</v>
          </cell>
          <cell r="N348" t="e">
            <v>#N/A</v>
          </cell>
          <cell r="O348" t="str">
            <v>Radial Seal Inner Air Filter</v>
          </cell>
        </row>
        <row r="349">
          <cell r="K349" t="str">
            <v>LH5747</v>
          </cell>
          <cell r="L349" t="str">
            <v>HD</v>
          </cell>
          <cell r="M349" t="str">
            <v>x</v>
          </cell>
          <cell r="N349" t="e">
            <v>#N/A</v>
          </cell>
          <cell r="O349" t="str">
            <v>Cartridge Hydraulic Filter</v>
          </cell>
        </row>
        <row r="350">
          <cell r="K350" t="str">
            <v>LAF6922</v>
          </cell>
          <cell r="L350" t="str">
            <v>HD</v>
          </cell>
          <cell r="M350" t="str">
            <v>x</v>
          </cell>
          <cell r="N350" t="e">
            <v>#N/A</v>
          </cell>
          <cell r="O350" t="str">
            <v>Radial Seal Outer Air Filter</v>
          </cell>
        </row>
        <row r="351">
          <cell r="K351" t="str">
            <v>LFP928F</v>
          </cell>
          <cell r="L351" t="str">
            <v>HD</v>
          </cell>
          <cell r="M351" t="str">
            <v>x</v>
          </cell>
          <cell r="N351" t="e">
            <v>#N/A</v>
          </cell>
          <cell r="O351" t="str">
            <v>Spin-on Fuel Filter</v>
          </cell>
        </row>
        <row r="352">
          <cell r="K352" t="str">
            <v>LAF6664</v>
          </cell>
          <cell r="L352" t="str">
            <v>HD</v>
          </cell>
          <cell r="M352" t="str">
            <v>x</v>
          </cell>
          <cell r="N352" t="e">
            <v>#N/A</v>
          </cell>
          <cell r="O352" t="str">
            <v>Radial Seal Inner Air Filter</v>
          </cell>
        </row>
        <row r="353">
          <cell r="K353" t="str">
            <v>L1011F</v>
          </cell>
          <cell r="L353" t="str">
            <v>HD</v>
          </cell>
          <cell r="M353" t="str">
            <v>x</v>
          </cell>
          <cell r="N353" t="e">
            <v>#N/A</v>
          </cell>
          <cell r="O353" t="str">
            <v>Cartridge Fuel Filter</v>
          </cell>
        </row>
        <row r="354">
          <cell r="K354" t="str">
            <v>LFW5875</v>
          </cell>
          <cell r="L354" t="str">
            <v>HD</v>
          </cell>
          <cell r="M354" t="str">
            <v>x</v>
          </cell>
          <cell r="N354" t="e">
            <v>#N/A</v>
          </cell>
          <cell r="O354" t="str">
            <v>Spin-on Coolant Filter</v>
          </cell>
        </row>
        <row r="355">
          <cell r="K355" t="str">
            <v>LFW4686</v>
          </cell>
          <cell r="L355" t="str">
            <v>HD</v>
          </cell>
          <cell r="M355" t="str">
            <v>x</v>
          </cell>
          <cell r="N355" t="e">
            <v>#N/A</v>
          </cell>
          <cell r="O355" t="str">
            <v>Spin-on Coolant Filter</v>
          </cell>
        </row>
        <row r="356">
          <cell r="K356" t="str">
            <v>LFF3579U</v>
          </cell>
          <cell r="L356" t="str">
            <v>HD</v>
          </cell>
          <cell r="M356" t="str">
            <v>x</v>
          </cell>
          <cell r="N356" t="e">
            <v>#N/A</v>
          </cell>
          <cell r="O356" t="str">
            <v>Bowless Fuel Water Separator Filter</v>
          </cell>
        </row>
        <row r="357">
          <cell r="K357" t="str">
            <v>LFP3404A</v>
          </cell>
          <cell r="L357" t="str">
            <v>HD</v>
          </cell>
          <cell r="M357" t="str">
            <v>x</v>
          </cell>
          <cell r="N357" t="e">
            <v>#N/A</v>
          </cell>
          <cell r="O357" t="str">
            <v>Spin-on Oil Filter</v>
          </cell>
        </row>
        <row r="358">
          <cell r="K358" t="str">
            <v>LAF2947</v>
          </cell>
          <cell r="L358" t="str">
            <v>HD</v>
          </cell>
          <cell r="M358" t="str">
            <v>x</v>
          </cell>
          <cell r="N358" t="e">
            <v>#N/A</v>
          </cell>
          <cell r="O358" t="str">
            <v>Corrugated Media Air Filter</v>
          </cell>
        </row>
        <row r="359">
          <cell r="K359" t="str">
            <v>LAF6127</v>
          </cell>
          <cell r="L359" t="str">
            <v>HD</v>
          </cell>
          <cell r="M359" t="str">
            <v>x</v>
          </cell>
          <cell r="N359" t="e">
            <v>#N/A</v>
          </cell>
          <cell r="O359" t="str">
            <v>HD Round Air Filter with Attached Boot</v>
          </cell>
        </row>
        <row r="360">
          <cell r="K360" t="str">
            <v>L8872F</v>
          </cell>
          <cell r="L360" t="str">
            <v>HD</v>
          </cell>
          <cell r="M360" t="str">
            <v>x</v>
          </cell>
          <cell r="N360" t="e">
            <v>#N/A</v>
          </cell>
          <cell r="O360" t="str">
            <v>Snap-Lock Fuel Filter</v>
          </cell>
        </row>
        <row r="361">
          <cell r="K361" t="str">
            <v>PH832</v>
          </cell>
          <cell r="L361" t="str">
            <v>HD</v>
          </cell>
          <cell r="N361" t="e">
            <v>#N/A</v>
          </cell>
          <cell r="O361" t="str">
            <v>Spin-on Oil Filter</v>
          </cell>
        </row>
        <row r="362">
          <cell r="K362" t="str">
            <v>LAF9538</v>
          </cell>
          <cell r="L362" t="str">
            <v>HD</v>
          </cell>
          <cell r="M362" t="str">
            <v>x</v>
          </cell>
          <cell r="N362" t="e">
            <v>#N/A</v>
          </cell>
          <cell r="O362" t="str">
            <v>Finned Vane Air Filter</v>
          </cell>
        </row>
        <row r="363">
          <cell r="K363" t="str">
            <v>LAF1646</v>
          </cell>
          <cell r="L363" t="str">
            <v>HD</v>
          </cell>
          <cell r="M363" t="str">
            <v>x</v>
          </cell>
          <cell r="N363" t="e">
            <v>#N/A</v>
          </cell>
          <cell r="O363" t="str">
            <v>Corrugated Media Air Filter</v>
          </cell>
        </row>
        <row r="364">
          <cell r="K364">
            <v>1586</v>
          </cell>
          <cell r="L364" t="str">
            <v>HD</v>
          </cell>
          <cell r="M364" t="str">
            <v>x</v>
          </cell>
          <cell r="N364" t="e">
            <v>#N/A</v>
          </cell>
          <cell r="O364" t="str">
            <v>Seal Washer, Aluminum/500-B, C, 750-B, C, F-120, F-155</v>
          </cell>
        </row>
        <row r="365">
          <cell r="K365" t="str">
            <v>LFP6023</v>
          </cell>
          <cell r="L365" t="str">
            <v>HD</v>
          </cell>
          <cell r="M365" t="str">
            <v>x</v>
          </cell>
          <cell r="N365" t="str">
            <v>LFP6023</v>
          </cell>
          <cell r="O365" t="str">
            <v>Spin-on Oil Filter</v>
          </cell>
        </row>
        <row r="366">
          <cell r="K366" t="str">
            <v>LP2243</v>
          </cell>
          <cell r="L366" t="str">
            <v>HD</v>
          </cell>
          <cell r="M366" t="str">
            <v>x</v>
          </cell>
          <cell r="N366" t="e">
            <v>#N/A</v>
          </cell>
          <cell r="O366" t="str">
            <v>Cartridge Oil Filter</v>
          </cell>
        </row>
        <row r="367">
          <cell r="K367">
            <v>2788</v>
          </cell>
          <cell r="L367" t="str">
            <v>HD</v>
          </cell>
          <cell r="M367" t="str">
            <v>x</v>
          </cell>
          <cell r="N367" t="e">
            <v>#N/A</v>
          </cell>
          <cell r="O367" t="str">
            <v>Cover Gasket, Buna-N/500-C, 750-3C, 970-C</v>
          </cell>
        </row>
        <row r="368">
          <cell r="K368" t="str">
            <v>LP5979</v>
          </cell>
          <cell r="L368" t="str">
            <v>HD</v>
          </cell>
          <cell r="M368" t="str">
            <v>x</v>
          </cell>
          <cell r="N368" t="e">
            <v>#N/A</v>
          </cell>
          <cell r="O368" t="str">
            <v>Cartridge Oil Filter</v>
          </cell>
        </row>
        <row r="369">
          <cell r="K369" t="str">
            <v>LFH4204</v>
          </cell>
          <cell r="L369" t="str">
            <v>HD</v>
          </cell>
          <cell r="M369" t="str">
            <v>x</v>
          </cell>
          <cell r="N369" t="str">
            <v>LFH4204</v>
          </cell>
          <cell r="O369" t="str">
            <v>Spin-on Hydraulic Filter</v>
          </cell>
        </row>
        <row r="370">
          <cell r="K370" t="str">
            <v>LFF1129</v>
          </cell>
          <cell r="L370" t="str">
            <v>HD</v>
          </cell>
          <cell r="M370" t="str">
            <v>x</v>
          </cell>
          <cell r="N370" t="str">
            <v>LFF1129</v>
          </cell>
          <cell r="O370" t="str">
            <v>Spin-on Fuel Filter</v>
          </cell>
        </row>
        <row r="371">
          <cell r="K371" t="str">
            <v>LFF4295</v>
          </cell>
          <cell r="L371" t="str">
            <v>HD</v>
          </cell>
          <cell r="N371" t="e">
            <v>#N/A</v>
          </cell>
          <cell r="O371" t="str">
            <v>Spin-on Fuel Filter</v>
          </cell>
        </row>
        <row r="372">
          <cell r="K372" t="str">
            <v>LAF6725</v>
          </cell>
          <cell r="L372" t="str">
            <v>HD</v>
          </cell>
          <cell r="M372" t="str">
            <v>x</v>
          </cell>
          <cell r="N372" t="e">
            <v>#N/A</v>
          </cell>
          <cell r="O372" t="str">
            <v>Corrugated Media Air Filter</v>
          </cell>
        </row>
        <row r="373">
          <cell r="K373" t="str">
            <v>LP5090A</v>
          </cell>
          <cell r="L373" t="str">
            <v>HD</v>
          </cell>
          <cell r="O373" t="str">
            <v>Cartridge Oil Filter</v>
          </cell>
        </row>
        <row r="374">
          <cell r="K374" t="str">
            <v>LFF5510</v>
          </cell>
          <cell r="L374" t="str">
            <v>HD</v>
          </cell>
          <cell r="M374" t="str">
            <v>x</v>
          </cell>
          <cell r="N374" t="e">
            <v>#N/A</v>
          </cell>
          <cell r="O374" t="str">
            <v>Fuel Dispensing Filter</v>
          </cell>
        </row>
        <row r="375">
          <cell r="K375" t="str">
            <v>LFF15</v>
          </cell>
          <cell r="L375" t="str">
            <v>HD</v>
          </cell>
          <cell r="M375" t="str">
            <v>x</v>
          </cell>
          <cell r="N375" t="e">
            <v>#N/A</v>
          </cell>
          <cell r="O375" t="str">
            <v>Fuel Dispensing Filter</v>
          </cell>
        </row>
        <row r="376">
          <cell r="K376" t="str">
            <v>LAF5980</v>
          </cell>
          <cell r="L376" t="str">
            <v>HD</v>
          </cell>
          <cell r="M376" t="str">
            <v>x</v>
          </cell>
          <cell r="N376" t="e">
            <v>#N/A</v>
          </cell>
          <cell r="O376" t="str">
            <v>Flexible Panel Air Filter</v>
          </cell>
        </row>
        <row r="377">
          <cell r="K377" t="str">
            <v>L6285F</v>
          </cell>
          <cell r="L377" t="str">
            <v>HD</v>
          </cell>
          <cell r="M377" t="str">
            <v>x</v>
          </cell>
          <cell r="N377" t="e">
            <v>#N/A</v>
          </cell>
          <cell r="O377" t="str">
            <v>Box Type Fuel Filter</v>
          </cell>
        </row>
        <row r="378">
          <cell r="K378" t="str">
            <v>CAF24013</v>
          </cell>
          <cell r="L378" t="str">
            <v>HD</v>
          </cell>
          <cell r="M378" t="str">
            <v>x</v>
          </cell>
          <cell r="N378" t="e">
            <v>#N/A</v>
          </cell>
          <cell r="O378" t="str">
            <v>Cabin Air Filter</v>
          </cell>
        </row>
        <row r="379">
          <cell r="K379" t="str">
            <v>LAF2886</v>
          </cell>
          <cell r="L379" t="str">
            <v>HD</v>
          </cell>
          <cell r="M379" t="str">
            <v>x</v>
          </cell>
          <cell r="N379" t="e">
            <v>#N/A</v>
          </cell>
          <cell r="O379" t="str">
            <v>Corrugated Media Air Filter</v>
          </cell>
        </row>
        <row r="380">
          <cell r="K380" t="str">
            <v>CAF24024</v>
          </cell>
          <cell r="L380" t="str">
            <v>HD</v>
          </cell>
          <cell r="M380" t="str">
            <v>x</v>
          </cell>
          <cell r="N380" t="e">
            <v>#N/A</v>
          </cell>
          <cell r="O380" t="str">
            <v>Cabin Air Filter</v>
          </cell>
        </row>
        <row r="381">
          <cell r="K381" t="str">
            <v>LFP1101F</v>
          </cell>
          <cell r="L381" t="str">
            <v>HD</v>
          </cell>
          <cell r="M381" t="str">
            <v>x</v>
          </cell>
          <cell r="N381" t="e">
            <v>#N/A</v>
          </cell>
          <cell r="O381" t="str">
            <v>Spin-on Fuel Filter</v>
          </cell>
        </row>
        <row r="382">
          <cell r="K382" t="str">
            <v>LFF3294</v>
          </cell>
          <cell r="L382" t="str">
            <v>HD</v>
          </cell>
          <cell r="M382" t="str">
            <v>x</v>
          </cell>
          <cell r="N382" t="e">
            <v>#N/A</v>
          </cell>
          <cell r="O382" t="str">
            <v>Spin-on Fuel Filter</v>
          </cell>
        </row>
        <row r="383">
          <cell r="K383" t="str">
            <v>LAF9501</v>
          </cell>
          <cell r="L383" t="str">
            <v>HD</v>
          </cell>
          <cell r="M383" t="str">
            <v>x</v>
          </cell>
          <cell r="N383" t="e">
            <v>#N/A</v>
          </cell>
          <cell r="O383" t="str">
            <v>HD Metal-End Air Filter</v>
          </cell>
        </row>
        <row r="384">
          <cell r="K384" t="str">
            <v>LAF1947</v>
          </cell>
          <cell r="L384" t="str">
            <v>HD</v>
          </cell>
          <cell r="M384" t="str">
            <v>x</v>
          </cell>
          <cell r="N384" t="e">
            <v>#N/A</v>
          </cell>
          <cell r="O384" t="str">
            <v>HD Metal-End Air Filter with Attached Lid</v>
          </cell>
        </row>
        <row r="385">
          <cell r="K385" t="str">
            <v>L8683F</v>
          </cell>
          <cell r="L385" t="str">
            <v>HD</v>
          </cell>
          <cell r="M385" t="str">
            <v>x</v>
          </cell>
          <cell r="N385" t="e">
            <v>#N/A</v>
          </cell>
          <cell r="O385" t="str">
            <v>Snap-Lock Fuel Filter</v>
          </cell>
        </row>
        <row r="386">
          <cell r="K386" t="str">
            <v>LFF4296</v>
          </cell>
          <cell r="L386" t="str">
            <v>HD</v>
          </cell>
          <cell r="M386" t="str">
            <v>x</v>
          </cell>
          <cell r="N386" t="e">
            <v>#N/A</v>
          </cell>
          <cell r="O386" t="str">
            <v>Spin-on Fuel Filter</v>
          </cell>
        </row>
        <row r="387">
          <cell r="K387" t="str">
            <v>LP560</v>
          </cell>
          <cell r="L387" t="str">
            <v>HD</v>
          </cell>
          <cell r="M387" t="str">
            <v>x</v>
          </cell>
          <cell r="N387" t="e">
            <v>#N/A</v>
          </cell>
          <cell r="O387" t="str">
            <v>Cartridge Oil Filter</v>
          </cell>
        </row>
        <row r="388">
          <cell r="K388" t="str">
            <v>LFF871</v>
          </cell>
          <cell r="L388" t="str">
            <v>HD</v>
          </cell>
          <cell r="M388" t="str">
            <v>x</v>
          </cell>
          <cell r="N388" t="e">
            <v>#N/A</v>
          </cell>
          <cell r="O388" t="str">
            <v>Cartridge Fuel Filter</v>
          </cell>
        </row>
        <row r="389">
          <cell r="K389" t="str">
            <v>LFF8307</v>
          </cell>
          <cell r="L389" t="str">
            <v>HD</v>
          </cell>
          <cell r="M389" t="str">
            <v>x</v>
          </cell>
          <cell r="N389" t="str">
            <v>LFF8307</v>
          </cell>
          <cell r="O389" t="str">
            <v>Spin-on Fuel Filter</v>
          </cell>
        </row>
        <row r="390">
          <cell r="K390" t="str">
            <v>L8569F</v>
          </cell>
          <cell r="L390" t="str">
            <v>HD</v>
          </cell>
          <cell r="M390" t="str">
            <v>x</v>
          </cell>
          <cell r="N390" t="e">
            <v>#N/A</v>
          </cell>
          <cell r="O390" t="str">
            <v>Snap-Lock Fuel Filter</v>
          </cell>
        </row>
        <row r="391">
          <cell r="K391" t="str">
            <v>LFP2265</v>
          </cell>
          <cell r="L391" t="str">
            <v>HD</v>
          </cell>
          <cell r="M391" t="str">
            <v>x</v>
          </cell>
          <cell r="N391" t="e">
            <v>#N/A</v>
          </cell>
          <cell r="O391" t="str">
            <v>Spin-on Oil Filter</v>
          </cell>
        </row>
        <row r="392">
          <cell r="K392" t="str">
            <v>LK341M</v>
          </cell>
          <cell r="L392" t="str">
            <v>HD</v>
          </cell>
          <cell r="M392" t="str">
            <v>x</v>
          </cell>
          <cell r="N392" t="e">
            <v>#N/A</v>
          </cell>
          <cell r="O392" t="str">
            <v>Mack Engine Maintenance Kit</v>
          </cell>
        </row>
        <row r="393">
          <cell r="K393" t="str">
            <v>LFF1282</v>
          </cell>
          <cell r="L393" t="str">
            <v>HD</v>
          </cell>
          <cell r="M393" t="str">
            <v>x</v>
          </cell>
          <cell r="N393" t="e">
            <v>#N/A</v>
          </cell>
          <cell r="O393" t="str">
            <v>Spin-on Fuel Water Separator Filter</v>
          </cell>
        </row>
        <row r="394">
          <cell r="K394" t="str">
            <v>LH5961</v>
          </cell>
          <cell r="L394" t="str">
            <v>HD</v>
          </cell>
          <cell r="M394" t="str">
            <v>x</v>
          </cell>
          <cell r="N394" t="e">
            <v>#N/A</v>
          </cell>
          <cell r="O394" t="str">
            <v>Cartridge Power Steering (Hydraulic) Filter</v>
          </cell>
        </row>
        <row r="395">
          <cell r="K395">
            <v>750</v>
          </cell>
          <cell r="L395" t="str">
            <v>HD</v>
          </cell>
          <cell r="N395" t="e">
            <v>#N/A</v>
          </cell>
          <cell r="O395" t="str">
            <v xml:space="preserve">Luber-finer 750 diesel filter pak, Imperial II (single element) detergent type lube oil. (4 pack case) </v>
          </cell>
        </row>
        <row r="396">
          <cell r="K396" t="str">
            <v>L7264F</v>
          </cell>
          <cell r="L396" t="str">
            <v>HD</v>
          </cell>
          <cell r="M396" t="str">
            <v>x</v>
          </cell>
          <cell r="N396" t="e">
            <v>#N/A</v>
          </cell>
          <cell r="O396" t="str">
            <v>Box Type Fuel Filter</v>
          </cell>
        </row>
        <row r="397">
          <cell r="K397" t="str">
            <v>LFF8678</v>
          </cell>
          <cell r="L397" t="str">
            <v>HD</v>
          </cell>
          <cell r="M397" t="str">
            <v>x</v>
          </cell>
          <cell r="N397" t="e">
            <v>#N/A</v>
          </cell>
          <cell r="O397" t="str">
            <v>Spin-on Fuel Filter</v>
          </cell>
        </row>
        <row r="398">
          <cell r="K398" t="str">
            <v>LFP3828</v>
          </cell>
          <cell r="L398" t="str">
            <v>HD</v>
          </cell>
          <cell r="M398" t="str">
            <v>x</v>
          </cell>
          <cell r="N398" t="e">
            <v>#N/A</v>
          </cell>
          <cell r="O398" t="str">
            <v>Spin-on Oil Filter</v>
          </cell>
        </row>
        <row r="399">
          <cell r="K399" t="str">
            <v>LFH4909</v>
          </cell>
          <cell r="L399" t="str">
            <v>HD</v>
          </cell>
          <cell r="M399" t="str">
            <v>x</v>
          </cell>
          <cell r="N399" t="str">
            <v>LFH4909</v>
          </cell>
          <cell r="O399" t="str">
            <v>Breather Filter</v>
          </cell>
        </row>
        <row r="400">
          <cell r="K400" t="str">
            <v>CAF24011</v>
          </cell>
          <cell r="L400" t="str">
            <v>HD</v>
          </cell>
          <cell r="M400" t="str">
            <v>x</v>
          </cell>
          <cell r="N400" t="e">
            <v>#N/A</v>
          </cell>
          <cell r="O400" t="str">
            <v>Cabin Air Filter</v>
          </cell>
        </row>
        <row r="401">
          <cell r="K401" t="str">
            <v>LFP3191G</v>
          </cell>
          <cell r="L401" t="str">
            <v>HD</v>
          </cell>
          <cell r="M401" t="str">
            <v>x</v>
          </cell>
          <cell r="N401" t="e">
            <v>#N/A</v>
          </cell>
          <cell r="O401" t="str">
            <v>Extended Life Spin-on Oil Filter</v>
          </cell>
        </row>
        <row r="402">
          <cell r="K402" t="str">
            <v>LK367C</v>
          </cell>
          <cell r="L402" t="str">
            <v>HD</v>
          </cell>
          <cell r="M402" t="str">
            <v>x</v>
          </cell>
          <cell r="N402" t="e">
            <v>#N/A</v>
          </cell>
          <cell r="O402" t="str">
            <v>Cummins Maintenance Kit</v>
          </cell>
        </row>
        <row r="403">
          <cell r="K403" t="str">
            <v>L8557F</v>
          </cell>
          <cell r="L403" t="str">
            <v>HD</v>
          </cell>
          <cell r="M403" t="str">
            <v>x</v>
          </cell>
          <cell r="N403" t="e">
            <v>#N/A</v>
          </cell>
          <cell r="O403" t="str">
            <v>Snap-Lock Fuel Filter</v>
          </cell>
        </row>
        <row r="404">
          <cell r="K404" t="str">
            <v>LAF8172</v>
          </cell>
          <cell r="L404" t="str">
            <v>HD</v>
          </cell>
          <cell r="M404" t="str">
            <v>x</v>
          </cell>
          <cell r="N404" t="e">
            <v>#N/A</v>
          </cell>
          <cell r="O404" t="str">
            <v>Radial Seal Air Filter (Primary)</v>
          </cell>
        </row>
        <row r="405">
          <cell r="K405" t="str">
            <v>L549F</v>
          </cell>
          <cell r="L405" t="str">
            <v>HD</v>
          </cell>
          <cell r="M405" t="str">
            <v>x</v>
          </cell>
          <cell r="N405" t="e">
            <v>#N/A</v>
          </cell>
          <cell r="O405" t="str">
            <v>Cartridge Fuel Filter</v>
          </cell>
        </row>
        <row r="406">
          <cell r="K406" t="str">
            <v>LFP781</v>
          </cell>
          <cell r="L406" t="str">
            <v>HD</v>
          </cell>
          <cell r="M406" t="str">
            <v>x</v>
          </cell>
          <cell r="N406" t="e">
            <v>#N/A</v>
          </cell>
          <cell r="O406" t="str">
            <v>Spin-on Oil Filter</v>
          </cell>
        </row>
        <row r="407">
          <cell r="K407" t="str">
            <v>LAF6684</v>
          </cell>
          <cell r="L407" t="str">
            <v>HD</v>
          </cell>
          <cell r="M407" t="str">
            <v>x</v>
          </cell>
          <cell r="N407" t="e">
            <v>#N/A</v>
          </cell>
          <cell r="O407" t="str">
            <v>Cone-Shaped, Conical Air Filter</v>
          </cell>
        </row>
        <row r="408">
          <cell r="K408" t="str">
            <v>LAF2745A</v>
          </cell>
          <cell r="L408" t="str">
            <v>HD</v>
          </cell>
          <cell r="M408" t="str">
            <v>x</v>
          </cell>
          <cell r="N408" t="e">
            <v>#N/A</v>
          </cell>
          <cell r="O408" t="str">
            <v>Finned Vane Air Filter</v>
          </cell>
        </row>
        <row r="409">
          <cell r="K409" t="str">
            <v>LFF8011</v>
          </cell>
          <cell r="L409" t="str">
            <v>HD</v>
          </cell>
          <cell r="M409" t="str">
            <v>x</v>
          </cell>
          <cell r="N409" t="e">
            <v>#N/A</v>
          </cell>
          <cell r="O409" t="str">
            <v>Spin-on Fuel Water Separator Filter</v>
          </cell>
        </row>
        <row r="410">
          <cell r="K410" t="str">
            <v>18868</v>
          </cell>
          <cell r="L410" t="str">
            <v>HD</v>
          </cell>
          <cell r="M410" t="str">
            <v>x</v>
          </cell>
          <cell r="N410" t="e">
            <v>#N/A</v>
          </cell>
          <cell r="O410" t="str">
            <v>Inlet Check-Valve Assembly Complete (Std.#8 Orifice)/500-C, CT, 750-C, CT</v>
          </cell>
        </row>
        <row r="411">
          <cell r="K411" t="str">
            <v>CAF24007</v>
          </cell>
          <cell r="L411" t="str">
            <v>HD</v>
          </cell>
          <cell r="M411" t="str">
            <v>x</v>
          </cell>
          <cell r="N411" t="e">
            <v>#N/A</v>
          </cell>
          <cell r="O411" t="str">
            <v>Cabin Air Filter</v>
          </cell>
        </row>
        <row r="412">
          <cell r="K412">
            <v>750</v>
          </cell>
          <cell r="L412" t="str">
            <v>HD</v>
          </cell>
          <cell r="M412" t="str">
            <v>x</v>
          </cell>
          <cell r="N412" t="e">
            <v>#N/A</v>
          </cell>
          <cell r="O412" t="str">
            <v>Refining Pak Filter, LF750-C used on straight mineral oil, hydraulic fluids, fuel oils, etc.</v>
          </cell>
        </row>
        <row r="413">
          <cell r="K413" t="str">
            <v>PH2875</v>
          </cell>
          <cell r="L413" t="str">
            <v>HD</v>
          </cell>
          <cell r="N413" t="e">
            <v>#N/A</v>
          </cell>
          <cell r="O413" t="str">
            <v>Spin-on Oil Filter</v>
          </cell>
        </row>
        <row r="414">
          <cell r="K414" t="str">
            <v>RG4082</v>
          </cell>
          <cell r="L414" t="str">
            <v>HD</v>
          </cell>
          <cell r="M414" t="str">
            <v>x</v>
          </cell>
          <cell r="N414" t="e">
            <v>#N/A</v>
          </cell>
          <cell r="O414" t="str">
            <v>Air Restriction Guage</v>
          </cell>
        </row>
        <row r="415">
          <cell r="K415" t="str">
            <v>LAF5871</v>
          </cell>
          <cell r="L415" t="str">
            <v>HD</v>
          </cell>
          <cell r="M415" t="str">
            <v>x</v>
          </cell>
          <cell r="N415" t="e">
            <v>#N/A</v>
          </cell>
          <cell r="O415" t="str">
            <v>Radial Seal Outer Air Filter</v>
          </cell>
        </row>
        <row r="416">
          <cell r="K416" t="str">
            <v>L4103F</v>
          </cell>
          <cell r="L416" t="str">
            <v>HD</v>
          </cell>
          <cell r="M416" t="str">
            <v>x</v>
          </cell>
          <cell r="N416" t="e">
            <v>#N/A</v>
          </cell>
          <cell r="O416" t="str">
            <v>Cartridge Fuel Filter</v>
          </cell>
        </row>
        <row r="417">
          <cell r="K417" t="str">
            <v>LAF9498</v>
          </cell>
          <cell r="L417" t="str">
            <v>HD</v>
          </cell>
          <cell r="M417" t="str">
            <v>x</v>
          </cell>
          <cell r="N417" t="e">
            <v>#N/A</v>
          </cell>
          <cell r="O417" t="str">
            <v>Corrugated Media Air Filter</v>
          </cell>
        </row>
        <row r="418">
          <cell r="K418" t="str">
            <v>LFH4922</v>
          </cell>
          <cell r="L418" t="str">
            <v>HD</v>
          </cell>
          <cell r="M418" t="str">
            <v>x</v>
          </cell>
          <cell r="N418" t="e">
            <v>#N/A</v>
          </cell>
          <cell r="O418" t="str">
            <v>Spin-on Hydraulic Filter</v>
          </cell>
        </row>
        <row r="419">
          <cell r="K419" t="str">
            <v>LAF4501</v>
          </cell>
          <cell r="L419" t="str">
            <v>HD</v>
          </cell>
          <cell r="M419" t="str">
            <v>x</v>
          </cell>
          <cell r="N419" t="e">
            <v>#N/A</v>
          </cell>
          <cell r="O419" t="str">
            <v>Radial Seal Outer Air Filter</v>
          </cell>
        </row>
        <row r="420">
          <cell r="K420" t="str">
            <v>LAF4509</v>
          </cell>
          <cell r="L420" t="str">
            <v>HD</v>
          </cell>
          <cell r="M420" t="str">
            <v>x</v>
          </cell>
          <cell r="N420" t="e">
            <v>#N/A</v>
          </cell>
          <cell r="O420" t="str">
            <v>Radial Seal Outer Air Filter</v>
          </cell>
        </row>
        <row r="421">
          <cell r="K421" t="str">
            <v>LAF6124</v>
          </cell>
          <cell r="L421" t="str">
            <v>HD</v>
          </cell>
          <cell r="M421" t="str">
            <v>x</v>
          </cell>
          <cell r="N421" t="e">
            <v>#N/A</v>
          </cell>
          <cell r="O421" t="str">
            <v>Radial Seal Outer Air Filter</v>
          </cell>
        </row>
        <row r="422">
          <cell r="K422" t="str">
            <v>L9729FXL</v>
          </cell>
          <cell r="L422" t="str">
            <v>HD</v>
          </cell>
          <cell r="M422" t="str">
            <v>x</v>
          </cell>
          <cell r="N422" t="e">
            <v>#N/A</v>
          </cell>
          <cell r="O422" t="str">
            <v>Extended Life Cartridge Fuel Water Separator Filter</v>
          </cell>
        </row>
        <row r="423">
          <cell r="K423" t="str">
            <v>LFH5011-10</v>
          </cell>
          <cell r="L423" t="str">
            <v>HD</v>
          </cell>
          <cell r="M423" t="str">
            <v>x</v>
          </cell>
          <cell r="N423" t="e">
            <v>#N/A</v>
          </cell>
          <cell r="O423" t="str">
            <v>Spin-on Hydraulic Filter</v>
          </cell>
        </row>
        <row r="424">
          <cell r="K424" t="str">
            <v>CAF7702</v>
          </cell>
          <cell r="L424" t="str">
            <v>HD</v>
          </cell>
          <cell r="M424" t="str">
            <v>x</v>
          </cell>
          <cell r="N424" t="e">
            <v>#N/A</v>
          </cell>
          <cell r="O424" t="str">
            <v>Cabin Air Filter (Carbon)</v>
          </cell>
        </row>
        <row r="425">
          <cell r="K425" t="str">
            <v>LP132</v>
          </cell>
          <cell r="L425" t="str">
            <v>HD</v>
          </cell>
          <cell r="M425" t="str">
            <v>x</v>
          </cell>
          <cell r="N425" t="e">
            <v>#N/A</v>
          </cell>
          <cell r="O425" t="str">
            <v>Cartridge Oil Filter</v>
          </cell>
        </row>
        <row r="426">
          <cell r="K426" t="str">
            <v>LFH8740G</v>
          </cell>
          <cell r="L426" t="str">
            <v>HD</v>
          </cell>
          <cell r="M426" t="str">
            <v>x</v>
          </cell>
          <cell r="N426" t="e">
            <v>#N/A</v>
          </cell>
          <cell r="O426" t="str">
            <v>Spin-on Hydraulic Filter</v>
          </cell>
        </row>
        <row r="427">
          <cell r="K427" t="str">
            <v>LFF9608</v>
          </cell>
          <cell r="L427" t="str">
            <v>HD</v>
          </cell>
          <cell r="M427" t="str">
            <v>x</v>
          </cell>
          <cell r="N427" t="e">
            <v>#N/A</v>
          </cell>
          <cell r="O427" t="str">
            <v>Spin-on Fuel Filter</v>
          </cell>
        </row>
        <row r="428">
          <cell r="K428" t="str">
            <v>LAF1956</v>
          </cell>
          <cell r="L428" t="str">
            <v>HD</v>
          </cell>
          <cell r="M428" t="str">
            <v>x</v>
          </cell>
          <cell r="N428" t="e">
            <v>#N/A</v>
          </cell>
          <cell r="O428" t="str">
            <v>Radial Seal Inner Air Filter</v>
          </cell>
        </row>
        <row r="429">
          <cell r="K429" t="str">
            <v>LFF8350</v>
          </cell>
          <cell r="L429" t="str">
            <v>HD</v>
          </cell>
          <cell r="M429" t="str">
            <v>x</v>
          </cell>
          <cell r="N429" t="e">
            <v>#N/A</v>
          </cell>
          <cell r="O429" t="str">
            <v>Spin-on Fuel Filter</v>
          </cell>
        </row>
        <row r="430">
          <cell r="K430" t="str">
            <v>LFP218F</v>
          </cell>
          <cell r="L430" t="str">
            <v>HD</v>
          </cell>
          <cell r="M430" t="str">
            <v>x</v>
          </cell>
          <cell r="N430" t="e">
            <v>#N/A</v>
          </cell>
          <cell r="O430" t="str">
            <v>Spin-on Fuel Filter</v>
          </cell>
        </row>
        <row r="431">
          <cell r="K431" t="str">
            <v>LP44</v>
          </cell>
          <cell r="L431" t="str">
            <v>HD</v>
          </cell>
          <cell r="M431" t="str">
            <v>x</v>
          </cell>
          <cell r="N431" t="e">
            <v>#N/A</v>
          </cell>
          <cell r="O431" t="str">
            <v>Cartridge Oil Filter</v>
          </cell>
        </row>
        <row r="432">
          <cell r="K432" t="str">
            <v>LAF5023</v>
          </cell>
          <cell r="L432" t="str">
            <v>HD</v>
          </cell>
          <cell r="M432" t="str">
            <v>x</v>
          </cell>
          <cell r="N432" t="e">
            <v>#N/A</v>
          </cell>
          <cell r="O432" t="str">
            <v>Oval Air Filter</v>
          </cell>
        </row>
        <row r="433">
          <cell r="K433" t="str">
            <v>LFW4685XL</v>
          </cell>
          <cell r="L433" t="str">
            <v>HD</v>
          </cell>
          <cell r="M433" t="str">
            <v>x</v>
          </cell>
          <cell r="N433" t="e">
            <v>#N/A</v>
          </cell>
          <cell r="O433" t="str">
            <v>Extended Life Spin-on Coolant Filter</v>
          </cell>
        </row>
        <row r="434">
          <cell r="K434" t="str">
            <v>LFH5013</v>
          </cell>
          <cell r="L434" t="str">
            <v>HD</v>
          </cell>
          <cell r="M434" t="str">
            <v>x</v>
          </cell>
          <cell r="N434" t="str">
            <v>LFH5013</v>
          </cell>
          <cell r="O434" t="str">
            <v>Spin-on Hydraulic Filter</v>
          </cell>
        </row>
        <row r="435">
          <cell r="K435" t="str">
            <v>L7693F</v>
          </cell>
          <cell r="L435" t="str">
            <v>HD</v>
          </cell>
          <cell r="M435" t="str">
            <v>x</v>
          </cell>
          <cell r="N435" t="e">
            <v>#N/A</v>
          </cell>
          <cell r="O435" t="str">
            <v>Cartridge Fuel Filter</v>
          </cell>
        </row>
        <row r="436">
          <cell r="K436" t="str">
            <v>L5092F</v>
          </cell>
          <cell r="L436" t="str">
            <v>HD</v>
          </cell>
          <cell r="M436" t="str">
            <v>x</v>
          </cell>
          <cell r="N436" t="e">
            <v>#N/A</v>
          </cell>
          <cell r="O436" t="str">
            <v>Cartridge Fuel Water Separator Filter</v>
          </cell>
        </row>
        <row r="437">
          <cell r="K437" t="str">
            <v>L3101F</v>
          </cell>
          <cell r="L437" t="str">
            <v>HD</v>
          </cell>
          <cell r="M437" t="str">
            <v>x</v>
          </cell>
          <cell r="N437" t="e">
            <v>#N/A</v>
          </cell>
          <cell r="O437" t="str">
            <v>Snap-lock Fuel/Water Separator Filter</v>
          </cell>
        </row>
        <row r="438">
          <cell r="K438" t="str">
            <v>LAF8730</v>
          </cell>
          <cell r="L438" t="str">
            <v>HD</v>
          </cell>
          <cell r="M438" t="str">
            <v>x</v>
          </cell>
          <cell r="N438" t="e">
            <v>#N/A</v>
          </cell>
          <cell r="O438" t="str">
            <v>Radial Seal Outer Air Filter</v>
          </cell>
        </row>
        <row r="439">
          <cell r="K439" t="str">
            <v>LAF9001</v>
          </cell>
          <cell r="L439" t="str">
            <v>HD</v>
          </cell>
          <cell r="M439" t="str">
            <v>x</v>
          </cell>
          <cell r="N439" t="e">
            <v>#N/A</v>
          </cell>
          <cell r="O439" t="str">
            <v>Finned Vane Air Filter</v>
          </cell>
        </row>
        <row r="440">
          <cell r="K440" t="str">
            <v>LFP947</v>
          </cell>
          <cell r="L440" t="str">
            <v>HD</v>
          </cell>
          <cell r="M440" t="str">
            <v>x</v>
          </cell>
          <cell r="N440" t="e">
            <v>#N/A</v>
          </cell>
          <cell r="O440" t="str">
            <v>Spin-on Oil Filter</v>
          </cell>
        </row>
        <row r="441">
          <cell r="K441" t="str">
            <v>WHG481FK</v>
          </cell>
          <cell r="L441" t="str">
            <v>HD</v>
          </cell>
          <cell r="M441" t="str">
            <v>x</v>
          </cell>
          <cell r="N441" t="e">
            <v>#N/A</v>
          </cell>
          <cell r="O441" t="str">
            <v>Fuel Filter Adaptor and filter</v>
          </cell>
        </row>
        <row r="442">
          <cell r="K442" t="str">
            <v>LFP2244</v>
          </cell>
          <cell r="L442" t="str">
            <v>HD</v>
          </cell>
          <cell r="M442" t="str">
            <v>x</v>
          </cell>
          <cell r="N442" t="e">
            <v>#N/A</v>
          </cell>
          <cell r="O442" t="str">
            <v>Spin-on Oil Filter</v>
          </cell>
        </row>
        <row r="443">
          <cell r="K443" t="str">
            <v>LCTS11</v>
          </cell>
          <cell r="L443" t="str">
            <v>HD</v>
          </cell>
          <cell r="M443" t="str">
            <v>x</v>
          </cell>
          <cell r="N443" t="e">
            <v>#N/A</v>
          </cell>
          <cell r="O443" t="str">
            <v>Coolant Analysis Test Kit</v>
          </cell>
        </row>
        <row r="444">
          <cell r="K444" t="str">
            <v>L550F</v>
          </cell>
          <cell r="L444" t="str">
            <v>HD</v>
          </cell>
          <cell r="M444" t="str">
            <v>x</v>
          </cell>
          <cell r="N444" t="e">
            <v>#N/A</v>
          </cell>
          <cell r="O444" t="str">
            <v>Cartridge Fuel Filter</v>
          </cell>
        </row>
        <row r="445">
          <cell r="K445" t="str">
            <v>LAF2533</v>
          </cell>
          <cell r="L445" t="str">
            <v>HD</v>
          </cell>
          <cell r="M445" t="str">
            <v>x</v>
          </cell>
          <cell r="N445" t="e">
            <v>#N/A</v>
          </cell>
          <cell r="O445" t="str">
            <v>Disposible Housing Air Filter</v>
          </cell>
        </row>
        <row r="446">
          <cell r="K446" t="str">
            <v>LFF3807</v>
          </cell>
          <cell r="L446" t="str">
            <v>HD</v>
          </cell>
          <cell r="M446" t="str">
            <v>x</v>
          </cell>
          <cell r="N446" t="e">
            <v>#N/A</v>
          </cell>
          <cell r="O446" t="str">
            <v>Spin-on Fuel Filter</v>
          </cell>
        </row>
        <row r="447">
          <cell r="K447" t="str">
            <v>L8874FK</v>
          </cell>
          <cell r="L447" t="str">
            <v>HD</v>
          </cell>
          <cell r="M447" t="str">
            <v>x</v>
          </cell>
          <cell r="N447" t="e">
            <v>#N/A</v>
          </cell>
          <cell r="O447" t="str">
            <v>Fuel Filter Kit Primary/Secondary</v>
          </cell>
        </row>
        <row r="448">
          <cell r="K448" t="str">
            <v>LFF9013</v>
          </cell>
          <cell r="L448" t="str">
            <v>HD</v>
          </cell>
          <cell r="M448" t="str">
            <v>x</v>
          </cell>
          <cell r="N448" t="e">
            <v>#N/A</v>
          </cell>
          <cell r="O448" t="str">
            <v>Bowl Style Fuel Water Separator Filter</v>
          </cell>
        </row>
        <row r="449">
          <cell r="K449" t="str">
            <v>L8681F</v>
          </cell>
          <cell r="L449" t="str">
            <v>HD</v>
          </cell>
          <cell r="M449" t="str">
            <v>x</v>
          </cell>
          <cell r="N449" t="str">
            <v>L8681F</v>
          </cell>
          <cell r="O449" t="str">
            <v>Snap-Lock Fuel Filter</v>
          </cell>
        </row>
        <row r="450">
          <cell r="K450" t="str">
            <v>LAF3714</v>
          </cell>
          <cell r="L450" t="str">
            <v>HD</v>
          </cell>
          <cell r="M450" t="str">
            <v>x</v>
          </cell>
          <cell r="N450" t="e">
            <v>#N/A</v>
          </cell>
          <cell r="O450" t="str">
            <v>HD Metal-End Air Filter</v>
          </cell>
        </row>
        <row r="451">
          <cell r="K451" t="str">
            <v>LP161</v>
          </cell>
          <cell r="L451" t="str">
            <v>HD</v>
          </cell>
          <cell r="M451" t="str">
            <v>x</v>
          </cell>
          <cell r="N451" t="e">
            <v>#N/A</v>
          </cell>
          <cell r="O451" t="str">
            <v>Cartridge Oil Filter</v>
          </cell>
        </row>
        <row r="452">
          <cell r="K452" t="str">
            <v>LAF190</v>
          </cell>
          <cell r="L452" t="str">
            <v>HD</v>
          </cell>
          <cell r="M452" t="str">
            <v>x</v>
          </cell>
          <cell r="N452" t="e">
            <v>#N/A</v>
          </cell>
          <cell r="O452" t="str">
            <v>Round Plastisol Air Filter</v>
          </cell>
        </row>
        <row r="453">
          <cell r="K453" t="str">
            <v>L5788F</v>
          </cell>
          <cell r="L453" t="str">
            <v>HD</v>
          </cell>
          <cell r="M453" t="str">
            <v>x</v>
          </cell>
          <cell r="N453" t="e">
            <v>#N/A</v>
          </cell>
          <cell r="O453" t="str">
            <v>Cartridge Fuel Filter</v>
          </cell>
        </row>
        <row r="454">
          <cell r="K454" t="str">
            <v>PH8862</v>
          </cell>
          <cell r="L454" t="str">
            <v>HD</v>
          </cell>
          <cell r="N454" t="e">
            <v>#N/A</v>
          </cell>
          <cell r="O454" t="str">
            <v>Spin-on Oil Filter</v>
          </cell>
        </row>
        <row r="455">
          <cell r="K455" t="str">
            <v>LAF8727</v>
          </cell>
          <cell r="L455" t="str">
            <v>HD</v>
          </cell>
          <cell r="M455" t="str">
            <v>x</v>
          </cell>
          <cell r="N455" t="e">
            <v>#N/A</v>
          </cell>
          <cell r="O455" t="str">
            <v>HD Metal-End Air Filter</v>
          </cell>
        </row>
        <row r="456">
          <cell r="K456" t="str">
            <v>L3531F</v>
          </cell>
          <cell r="L456" t="str">
            <v>HD</v>
          </cell>
          <cell r="M456" t="str">
            <v>x</v>
          </cell>
          <cell r="N456" t="e">
            <v>#N/A</v>
          </cell>
          <cell r="O456" t="str">
            <v>Cartridge Fuel Filter</v>
          </cell>
        </row>
        <row r="457">
          <cell r="K457" t="str">
            <v>ZINC</v>
          </cell>
          <cell r="L457" t="str">
            <v>HD</v>
          </cell>
          <cell r="M457" t="str">
            <v>x</v>
          </cell>
          <cell r="N457" t="e">
            <v>#N/A</v>
          </cell>
          <cell r="O457" t="str">
            <v>Vent Plug/272-C, 363-C, 500-C, 750-C, 3C, 2C</v>
          </cell>
        </row>
        <row r="458">
          <cell r="K458" t="str">
            <v>L9559F</v>
          </cell>
          <cell r="L458" t="str">
            <v>HD</v>
          </cell>
          <cell r="M458" t="str">
            <v>x</v>
          </cell>
          <cell r="N458" t="e">
            <v>#N/A</v>
          </cell>
          <cell r="O458" t="str">
            <v>Cartridge Fuel Filter</v>
          </cell>
        </row>
        <row r="459">
          <cell r="K459" t="str">
            <v>LFH4268</v>
          </cell>
          <cell r="L459" t="str">
            <v>HD</v>
          </cell>
          <cell r="M459" t="str">
            <v>x</v>
          </cell>
          <cell r="N459" t="str">
            <v>LFH4268</v>
          </cell>
          <cell r="O459" t="str">
            <v>Spin-on Hydraulic Filter</v>
          </cell>
        </row>
        <row r="460">
          <cell r="K460" t="str">
            <v>LAF5980FP</v>
          </cell>
          <cell r="L460" t="str">
            <v>HD</v>
          </cell>
          <cell r="M460" t="str">
            <v>x</v>
          </cell>
          <cell r="N460" t="e">
            <v>#N/A</v>
          </cell>
          <cell r="O460" t="str">
            <v>Flexible Panel Air Filter with Attached Foam Pad</v>
          </cell>
        </row>
        <row r="461">
          <cell r="K461" t="str">
            <v>LAF1810</v>
          </cell>
          <cell r="L461" t="str">
            <v>HD</v>
          </cell>
          <cell r="M461" t="str">
            <v>x</v>
          </cell>
          <cell r="N461" t="e">
            <v>#N/A</v>
          </cell>
          <cell r="O461" t="str">
            <v>HD Round Air Filter with Attached Boot</v>
          </cell>
        </row>
        <row r="462">
          <cell r="K462" t="str">
            <v>LFP9035</v>
          </cell>
          <cell r="L462" t="str">
            <v>HD</v>
          </cell>
          <cell r="M462" t="str">
            <v>x</v>
          </cell>
          <cell r="N462" t="str">
            <v>LFP9035</v>
          </cell>
          <cell r="O462" t="str">
            <v>Spin-on Oil Filter</v>
          </cell>
        </row>
        <row r="463">
          <cell r="K463" t="str">
            <v>L3258F</v>
          </cell>
          <cell r="L463" t="str">
            <v>HD</v>
          </cell>
          <cell r="M463" t="str">
            <v>x</v>
          </cell>
          <cell r="N463" t="e">
            <v>#N/A</v>
          </cell>
          <cell r="O463" t="str">
            <v>Cartridge Fuel Filter</v>
          </cell>
        </row>
        <row r="464">
          <cell r="K464" t="str">
            <v>PH4408</v>
          </cell>
          <cell r="L464" t="str">
            <v>HD</v>
          </cell>
          <cell r="N464" t="e">
            <v>#N/A</v>
          </cell>
          <cell r="O464" t="str">
            <v>Spin-on Oil Filter</v>
          </cell>
        </row>
        <row r="465">
          <cell r="K465" t="str">
            <v>LAF4510</v>
          </cell>
          <cell r="L465" t="str">
            <v>HD</v>
          </cell>
          <cell r="M465" t="str">
            <v>x</v>
          </cell>
          <cell r="N465" t="e">
            <v>#N/A</v>
          </cell>
          <cell r="O465" t="str">
            <v>Radial Seal Inner Air Filter</v>
          </cell>
        </row>
        <row r="466">
          <cell r="K466" t="str">
            <v>LFH5011-03</v>
          </cell>
          <cell r="L466" t="str">
            <v>HD</v>
          </cell>
          <cell r="M466" t="str">
            <v>x</v>
          </cell>
          <cell r="N466" t="e">
            <v>#N/A</v>
          </cell>
          <cell r="O466" t="str">
            <v>Spin-on Hydraulic Filter</v>
          </cell>
        </row>
        <row r="467">
          <cell r="K467" t="str">
            <v>LFH4987</v>
          </cell>
          <cell r="L467" t="str">
            <v>HD</v>
          </cell>
          <cell r="M467" t="str">
            <v>x</v>
          </cell>
          <cell r="N467" t="e">
            <v>#N/A</v>
          </cell>
          <cell r="O467" t="str">
            <v>Spin-on Hydraulic Filter</v>
          </cell>
        </row>
        <row r="468">
          <cell r="K468" t="str">
            <v>LAF1745</v>
          </cell>
          <cell r="L468" t="str">
            <v>HD</v>
          </cell>
          <cell r="M468" t="str">
            <v>x</v>
          </cell>
          <cell r="N468" t="e">
            <v>#N/A</v>
          </cell>
          <cell r="O468" t="str">
            <v>Cone Shaped Conical Air Filter</v>
          </cell>
        </row>
        <row r="469">
          <cell r="K469" t="str">
            <v>LAF2031</v>
          </cell>
          <cell r="L469" t="str">
            <v>HD</v>
          </cell>
          <cell r="M469" t="str">
            <v>x</v>
          </cell>
          <cell r="N469" t="e">
            <v>#N/A</v>
          </cell>
          <cell r="O469" t="str">
            <v>Radial Seal Outer Air Filter</v>
          </cell>
        </row>
        <row r="470">
          <cell r="K470" t="str">
            <v>LAF4545</v>
          </cell>
          <cell r="L470" t="str">
            <v>HD</v>
          </cell>
          <cell r="N470" t="e">
            <v>#N/A</v>
          </cell>
          <cell r="O470" t="str">
            <v>Radial Seal Inner Air Filter</v>
          </cell>
        </row>
        <row r="471">
          <cell r="K471" t="str">
            <v>LFH4988</v>
          </cell>
          <cell r="L471" t="str">
            <v>HD</v>
          </cell>
          <cell r="M471" t="str">
            <v>x</v>
          </cell>
          <cell r="N471" t="e">
            <v>#N/A</v>
          </cell>
          <cell r="O471" t="str">
            <v>Spin-on Hydraulic Filter</v>
          </cell>
        </row>
        <row r="472">
          <cell r="K472" t="str">
            <v>LAF6453</v>
          </cell>
          <cell r="L472" t="str">
            <v>HD</v>
          </cell>
          <cell r="M472" t="str">
            <v>x</v>
          </cell>
          <cell r="N472" t="e">
            <v>#N/A</v>
          </cell>
          <cell r="O472" t="str">
            <v>HD Round Air Filter with Attached Boot</v>
          </cell>
        </row>
        <row r="473">
          <cell r="K473" t="str">
            <v>LFF6816</v>
          </cell>
          <cell r="L473" t="str">
            <v>HD</v>
          </cell>
          <cell r="M473" t="str">
            <v>x</v>
          </cell>
          <cell r="N473" t="e">
            <v>#N/A</v>
          </cell>
          <cell r="O473" t="str">
            <v>Spin-on Fuel Filter</v>
          </cell>
        </row>
        <row r="474">
          <cell r="K474" t="str">
            <v>LFF9594</v>
          </cell>
          <cell r="L474" t="str">
            <v>HD</v>
          </cell>
          <cell r="M474" t="str">
            <v>x</v>
          </cell>
          <cell r="N474" t="e">
            <v>#N/A</v>
          </cell>
          <cell r="O474" t="str">
            <v>Spin-on Fuel Filter</v>
          </cell>
        </row>
        <row r="475">
          <cell r="K475" t="str">
            <v>LFF1021</v>
          </cell>
          <cell r="L475" t="str">
            <v>HD</v>
          </cell>
          <cell r="M475" t="str">
            <v>x</v>
          </cell>
          <cell r="N475" t="e">
            <v>#N/A</v>
          </cell>
          <cell r="O475" t="str">
            <v>Spin-on Fuel Filter</v>
          </cell>
        </row>
        <row r="476">
          <cell r="K476" t="str">
            <v>LAF1751</v>
          </cell>
          <cell r="L476" t="str">
            <v>HD</v>
          </cell>
          <cell r="M476" t="str">
            <v>x</v>
          </cell>
          <cell r="N476" t="e">
            <v>#N/A</v>
          </cell>
          <cell r="O476" t="str">
            <v>Disposible Housing Air Filter</v>
          </cell>
        </row>
        <row r="477">
          <cell r="K477" t="str">
            <v>LFH5068-10</v>
          </cell>
          <cell r="L477" t="str">
            <v>HD</v>
          </cell>
          <cell r="M477" t="str">
            <v>x</v>
          </cell>
          <cell r="N477" t="e">
            <v>#N/A</v>
          </cell>
          <cell r="O477" t="str">
            <v>Spin-on Hydraulic Filter</v>
          </cell>
        </row>
        <row r="478">
          <cell r="K478" t="str">
            <v>LFF9616</v>
          </cell>
          <cell r="L478" t="str">
            <v>HD</v>
          </cell>
          <cell r="M478" t="str">
            <v>x</v>
          </cell>
          <cell r="N478" t="e">
            <v>#N/A</v>
          </cell>
          <cell r="O478" t="str">
            <v>Spin-on Fuel Water Separator Filter</v>
          </cell>
        </row>
        <row r="479">
          <cell r="K479" t="str">
            <v>LAF2079</v>
          </cell>
          <cell r="L479" t="str">
            <v>HD</v>
          </cell>
          <cell r="M479" t="str">
            <v>x</v>
          </cell>
          <cell r="N479" t="e">
            <v>#N/A</v>
          </cell>
          <cell r="O479" t="str">
            <v>HD Metal-End Air Filter with Attached Lid</v>
          </cell>
        </row>
        <row r="480">
          <cell r="K480" t="str">
            <v>LAF3350</v>
          </cell>
          <cell r="L480" t="str">
            <v>HD</v>
          </cell>
          <cell r="M480" t="str">
            <v>x</v>
          </cell>
          <cell r="N480" t="e">
            <v>#N/A</v>
          </cell>
          <cell r="O480" t="str">
            <v>Round Air Filter</v>
          </cell>
        </row>
        <row r="481">
          <cell r="K481" t="str">
            <v>LAF4365</v>
          </cell>
          <cell r="L481" t="str">
            <v>HD</v>
          </cell>
          <cell r="M481" t="str">
            <v>x</v>
          </cell>
          <cell r="N481" t="e">
            <v>#N/A</v>
          </cell>
          <cell r="O481" t="str">
            <v>HD Metal-End Air Filter</v>
          </cell>
        </row>
        <row r="482">
          <cell r="K482" t="str">
            <v>LFP8845</v>
          </cell>
          <cell r="L482" t="str">
            <v>HD</v>
          </cell>
          <cell r="M482" t="str">
            <v>x</v>
          </cell>
          <cell r="N482" t="e">
            <v>#N/A</v>
          </cell>
          <cell r="O482" t="str">
            <v>Brake Dryer Water Coalescer Filter (Other)</v>
          </cell>
        </row>
        <row r="483">
          <cell r="K483" t="str">
            <v>LAF6300</v>
          </cell>
          <cell r="L483" t="str">
            <v>HD</v>
          </cell>
          <cell r="M483" t="str">
            <v>x</v>
          </cell>
          <cell r="N483" t="e">
            <v>#N/A</v>
          </cell>
          <cell r="O483" t="str">
            <v>Metal-End Air Filter with Closed Top End Cap</v>
          </cell>
        </row>
        <row r="484">
          <cell r="K484" t="str">
            <v>LP2029</v>
          </cell>
          <cell r="L484" t="str">
            <v>HD</v>
          </cell>
          <cell r="M484" t="str">
            <v>x</v>
          </cell>
          <cell r="N484" t="e">
            <v>#N/A</v>
          </cell>
          <cell r="O484" t="str">
            <v>Cartridge Oil Filter</v>
          </cell>
        </row>
        <row r="485">
          <cell r="K485" t="str">
            <v>LAF1793</v>
          </cell>
          <cell r="L485" t="str">
            <v>HD</v>
          </cell>
          <cell r="M485" t="str">
            <v>x</v>
          </cell>
          <cell r="N485" t="e">
            <v>#N/A</v>
          </cell>
          <cell r="O485" t="str">
            <v>HD Metal-End Air Filter-Inner</v>
          </cell>
        </row>
        <row r="486">
          <cell r="K486" t="str">
            <v>LAF7640</v>
          </cell>
          <cell r="L486" t="str">
            <v>HD</v>
          </cell>
          <cell r="M486" t="str">
            <v>x</v>
          </cell>
          <cell r="N486" t="e">
            <v>#N/A</v>
          </cell>
          <cell r="O486" t="str">
            <v>HD Metal-End Inner Air Filter</v>
          </cell>
        </row>
        <row r="487">
          <cell r="K487" t="str">
            <v>LP3964</v>
          </cell>
          <cell r="L487" t="str">
            <v>HD</v>
          </cell>
          <cell r="M487" t="str">
            <v>x</v>
          </cell>
          <cell r="N487" t="e">
            <v>#N/A</v>
          </cell>
          <cell r="O487" t="str">
            <v>Cartridge Oil Filter</v>
          </cell>
        </row>
        <row r="488">
          <cell r="K488" t="str">
            <v>PH3942</v>
          </cell>
          <cell r="L488" t="str">
            <v>HD</v>
          </cell>
          <cell r="N488" t="e">
            <v>#N/A</v>
          </cell>
          <cell r="O488" t="str">
            <v>Spin-on Oil Filter</v>
          </cell>
        </row>
        <row r="489">
          <cell r="K489" t="str">
            <v>LAF1918</v>
          </cell>
          <cell r="L489" t="str">
            <v>HD</v>
          </cell>
          <cell r="M489" t="str">
            <v>x</v>
          </cell>
          <cell r="N489" t="e">
            <v>#N/A</v>
          </cell>
          <cell r="O489" t="str">
            <v>Round Air Filter</v>
          </cell>
        </row>
        <row r="490">
          <cell r="K490" t="str">
            <v>L6806F</v>
          </cell>
          <cell r="L490" t="str">
            <v>HD</v>
          </cell>
          <cell r="N490" t="e">
            <v>#N/A</v>
          </cell>
          <cell r="O490" t="str">
            <v>Cartridge Fuel Filter</v>
          </cell>
        </row>
        <row r="491">
          <cell r="K491" t="str">
            <v>L4597F</v>
          </cell>
          <cell r="L491" t="str">
            <v>HD</v>
          </cell>
          <cell r="M491" t="str">
            <v>x</v>
          </cell>
          <cell r="N491" t="e">
            <v>#N/A</v>
          </cell>
          <cell r="O491" t="str">
            <v>Cartridge Fuel Water Separator Filter</v>
          </cell>
        </row>
        <row r="492">
          <cell r="K492" t="str">
            <v>LAF1782</v>
          </cell>
          <cell r="L492" t="str">
            <v>HD</v>
          </cell>
          <cell r="M492" t="str">
            <v>x</v>
          </cell>
          <cell r="N492" t="e">
            <v>#N/A</v>
          </cell>
          <cell r="O492" t="str">
            <v>Round Air Filter</v>
          </cell>
        </row>
        <row r="493">
          <cell r="K493" t="str">
            <v>LFF8472</v>
          </cell>
          <cell r="L493" t="str">
            <v>HD</v>
          </cell>
          <cell r="M493" t="str">
            <v>x</v>
          </cell>
          <cell r="N493" t="e">
            <v>#N/A</v>
          </cell>
          <cell r="O493" t="str">
            <v>Fuel/Water Separator Spin-on Filter</v>
          </cell>
        </row>
        <row r="494">
          <cell r="K494" t="str">
            <v>LFF8038</v>
          </cell>
          <cell r="L494" t="str">
            <v>HD</v>
          </cell>
          <cell r="M494" t="str">
            <v>x</v>
          </cell>
          <cell r="N494" t="e">
            <v>#N/A</v>
          </cell>
          <cell r="O494" t="str">
            <v>Spin-on Fuel Water Separator Filter</v>
          </cell>
        </row>
        <row r="495">
          <cell r="K495" t="str">
            <v>LFF6929</v>
          </cell>
          <cell r="L495" t="str">
            <v>HD</v>
          </cell>
          <cell r="M495" t="str">
            <v>x</v>
          </cell>
          <cell r="N495" t="str">
            <v>LFF6929</v>
          </cell>
          <cell r="O495" t="str">
            <v>Spin-on Fuel Filter</v>
          </cell>
        </row>
        <row r="496">
          <cell r="K496" t="str">
            <v>LFP8469</v>
          </cell>
          <cell r="L496" t="str">
            <v>HD</v>
          </cell>
          <cell r="M496" t="str">
            <v>x</v>
          </cell>
          <cell r="N496" t="e">
            <v>#N/A</v>
          </cell>
          <cell r="O496" t="str">
            <v>Spin-on Oil Filter</v>
          </cell>
        </row>
        <row r="497">
          <cell r="K497" t="str">
            <v>LAF1769</v>
          </cell>
          <cell r="L497" t="str">
            <v>HD</v>
          </cell>
          <cell r="M497" t="str">
            <v>x</v>
          </cell>
          <cell r="N497" t="e">
            <v>#N/A</v>
          </cell>
          <cell r="O497" t="str">
            <v>Cone Shaped Conical Air Filter</v>
          </cell>
        </row>
        <row r="498">
          <cell r="K498" t="str">
            <v>LFF5851U</v>
          </cell>
          <cell r="L498" t="str">
            <v>HD</v>
          </cell>
          <cell r="M498" t="str">
            <v>x</v>
          </cell>
          <cell r="N498" t="e">
            <v>#N/A</v>
          </cell>
          <cell r="O498" t="str">
            <v>Bowless Fuel Water Separator Filter</v>
          </cell>
        </row>
        <row r="499">
          <cell r="K499" t="str">
            <v>LAF6102</v>
          </cell>
          <cell r="L499" t="str">
            <v>HD</v>
          </cell>
          <cell r="M499" t="str">
            <v>x</v>
          </cell>
          <cell r="N499" t="e">
            <v>#N/A</v>
          </cell>
          <cell r="O499" t="str">
            <v>Flexible Panel Air Filter</v>
          </cell>
        </row>
        <row r="500">
          <cell r="K500" t="str">
            <v>LFF3518</v>
          </cell>
          <cell r="L500" t="str">
            <v>HD</v>
          </cell>
          <cell r="M500" t="str">
            <v>x</v>
          </cell>
          <cell r="N500" t="str">
            <v>LFF3518</v>
          </cell>
          <cell r="O500" t="str">
            <v>Spin-on Fuel Filter</v>
          </cell>
        </row>
        <row r="501">
          <cell r="K501" t="str">
            <v>LAF8996</v>
          </cell>
          <cell r="L501" t="str">
            <v>HD</v>
          </cell>
          <cell r="M501" t="str">
            <v>x</v>
          </cell>
          <cell r="N501" t="e">
            <v>#N/A</v>
          </cell>
          <cell r="O501" t="str">
            <v>Flexible Panel Air Filter</v>
          </cell>
        </row>
        <row r="502">
          <cell r="K502" t="str">
            <v>LAF3234</v>
          </cell>
          <cell r="L502" t="str">
            <v>HD</v>
          </cell>
          <cell r="M502" t="str">
            <v>x</v>
          </cell>
          <cell r="N502" t="e">
            <v>#N/A</v>
          </cell>
          <cell r="O502" t="str">
            <v>Special Configuration Air Filter</v>
          </cell>
        </row>
        <row r="503">
          <cell r="K503" t="str">
            <v>LFF5088</v>
          </cell>
          <cell r="L503" t="str">
            <v>HD</v>
          </cell>
          <cell r="M503" t="str">
            <v>x</v>
          </cell>
          <cell r="N503" t="str">
            <v>LFF5088</v>
          </cell>
          <cell r="O503" t="str">
            <v>Spin-on Fuel Filter</v>
          </cell>
        </row>
        <row r="504">
          <cell r="K504" t="str">
            <v>LAF4512</v>
          </cell>
          <cell r="L504" t="str">
            <v>HD</v>
          </cell>
          <cell r="M504" t="str">
            <v>x</v>
          </cell>
          <cell r="N504" t="e">
            <v>#N/A</v>
          </cell>
          <cell r="O504" t="str">
            <v>Flexible Panel Air Filter</v>
          </cell>
        </row>
        <row r="505">
          <cell r="K505" t="str">
            <v>LFP54</v>
          </cell>
          <cell r="L505" t="str">
            <v>HD</v>
          </cell>
          <cell r="M505" t="str">
            <v>x</v>
          </cell>
          <cell r="N505" t="e">
            <v>#N/A</v>
          </cell>
          <cell r="O505" t="str">
            <v>Spin-on Oil Filter</v>
          </cell>
        </row>
        <row r="506">
          <cell r="K506" t="str">
            <v>LAF6769</v>
          </cell>
          <cell r="L506" t="str">
            <v>HD</v>
          </cell>
          <cell r="M506" t="str">
            <v>x</v>
          </cell>
          <cell r="N506" t="e">
            <v>#N/A</v>
          </cell>
          <cell r="O506" t="str">
            <v>HD Metal-End Air Filter</v>
          </cell>
        </row>
        <row r="507">
          <cell r="K507" t="str">
            <v>LFF3534</v>
          </cell>
          <cell r="L507" t="str">
            <v>HD</v>
          </cell>
          <cell r="M507" t="str">
            <v>x</v>
          </cell>
          <cell r="N507" t="e">
            <v>#N/A</v>
          </cell>
          <cell r="O507" t="str">
            <v>Spin-on Fuel Filter</v>
          </cell>
        </row>
        <row r="508">
          <cell r="K508" t="str">
            <v>LFP6228</v>
          </cell>
          <cell r="L508" t="str">
            <v>HD</v>
          </cell>
          <cell r="M508" t="str">
            <v>x</v>
          </cell>
          <cell r="N508" t="str">
            <v>LFP6228</v>
          </cell>
          <cell r="O508" t="str">
            <v>Spin-on Oil Filter</v>
          </cell>
        </row>
        <row r="509">
          <cell r="K509" t="str">
            <v>LFF5824U</v>
          </cell>
          <cell r="L509" t="str">
            <v>HD</v>
          </cell>
          <cell r="M509" t="str">
            <v>x</v>
          </cell>
          <cell r="N509" t="e">
            <v>#N/A</v>
          </cell>
          <cell r="O509" t="str">
            <v>Bowless Fuel Water Separator Filter</v>
          </cell>
        </row>
        <row r="510">
          <cell r="K510" t="str">
            <v>LH9394</v>
          </cell>
          <cell r="L510" t="str">
            <v>HD</v>
          </cell>
          <cell r="M510" t="str">
            <v>x</v>
          </cell>
          <cell r="N510" t="e">
            <v>#N/A</v>
          </cell>
          <cell r="O510" t="str">
            <v>Cartridge Power Steering (Hydraulic) Filter</v>
          </cell>
        </row>
        <row r="511">
          <cell r="K511" t="str">
            <v>LFF5778</v>
          </cell>
          <cell r="L511" t="str">
            <v>HD</v>
          </cell>
          <cell r="M511" t="str">
            <v>x</v>
          </cell>
          <cell r="N511" t="e">
            <v>#N/A</v>
          </cell>
          <cell r="O511" t="str">
            <v>Spin-on Fuel Water Separator Filter</v>
          </cell>
        </row>
        <row r="512">
          <cell r="K512" t="str">
            <v>LAF1891</v>
          </cell>
          <cell r="L512" t="str">
            <v>HD</v>
          </cell>
          <cell r="M512" t="str">
            <v>x</v>
          </cell>
          <cell r="N512" t="e">
            <v>#N/A</v>
          </cell>
          <cell r="O512" t="str">
            <v>HD Metal-End Air Filter</v>
          </cell>
        </row>
        <row r="513">
          <cell r="K513" t="str">
            <v>LAF9410</v>
          </cell>
          <cell r="L513" t="str">
            <v>HD</v>
          </cell>
          <cell r="M513" t="str">
            <v>x</v>
          </cell>
          <cell r="N513" t="e">
            <v>#N/A</v>
          </cell>
          <cell r="O513" t="str">
            <v>HD Metal-End Air Filter-Inner</v>
          </cell>
        </row>
        <row r="514">
          <cell r="K514" t="str">
            <v>LAF334</v>
          </cell>
          <cell r="L514" t="str">
            <v>HD</v>
          </cell>
          <cell r="M514" t="str">
            <v>x</v>
          </cell>
          <cell r="N514" t="e">
            <v>#N/A</v>
          </cell>
          <cell r="O514" t="str">
            <v>HD Metal-End Air Filter</v>
          </cell>
        </row>
        <row r="515">
          <cell r="K515" t="str">
            <v>4069B</v>
          </cell>
          <cell r="L515" t="str">
            <v>HD</v>
          </cell>
          <cell r="M515" t="str">
            <v>x</v>
          </cell>
          <cell r="N515" t="e">
            <v>#N/A</v>
          </cell>
          <cell r="O515" t="str">
            <v>Gasket Used on Fleetguard By-Pass oil canisters</v>
          </cell>
        </row>
        <row r="516">
          <cell r="K516" t="str">
            <v>LAF1765</v>
          </cell>
          <cell r="L516" t="str">
            <v>HD</v>
          </cell>
          <cell r="M516" t="str">
            <v>x</v>
          </cell>
          <cell r="N516" t="e">
            <v>#N/A</v>
          </cell>
          <cell r="O516" t="str">
            <v>HD Metal-End Inner Air Filter</v>
          </cell>
        </row>
        <row r="517">
          <cell r="K517" t="str">
            <v>LAF9085</v>
          </cell>
          <cell r="L517" t="str">
            <v>HD</v>
          </cell>
          <cell r="M517" t="str">
            <v>x</v>
          </cell>
          <cell r="N517" t="e">
            <v>#N/A</v>
          </cell>
          <cell r="O517" t="str">
            <v>HD Metal-End Inner Air Filter</v>
          </cell>
        </row>
        <row r="518">
          <cell r="K518" t="str">
            <v>CAF24021</v>
          </cell>
          <cell r="L518" t="str">
            <v>HD</v>
          </cell>
          <cell r="M518" t="str">
            <v>x</v>
          </cell>
          <cell r="N518" t="e">
            <v>#N/A</v>
          </cell>
          <cell r="O518" t="str">
            <v>Cabin Air Filter</v>
          </cell>
        </row>
        <row r="519">
          <cell r="K519" t="str">
            <v>LFF8707U</v>
          </cell>
          <cell r="L519" t="str">
            <v>HD</v>
          </cell>
          <cell r="M519" t="str">
            <v>x</v>
          </cell>
          <cell r="N519" t="e">
            <v>#N/A</v>
          </cell>
          <cell r="O519" t="str">
            <v>Bowless Fuel Water Separator Filter</v>
          </cell>
        </row>
        <row r="520">
          <cell r="K520" t="str">
            <v>LFH4972</v>
          </cell>
          <cell r="L520" t="str">
            <v>HD</v>
          </cell>
          <cell r="M520" t="str">
            <v>x</v>
          </cell>
          <cell r="N520" t="e">
            <v>#N/A</v>
          </cell>
          <cell r="O520" t="str">
            <v>Spin-on Hydraulic Filter</v>
          </cell>
        </row>
        <row r="521">
          <cell r="K521" t="str">
            <v>LP163</v>
          </cell>
          <cell r="L521" t="str">
            <v>HD</v>
          </cell>
          <cell r="M521" t="str">
            <v>x</v>
          </cell>
          <cell r="N521" t="e">
            <v>#N/A</v>
          </cell>
          <cell r="O521" t="str">
            <v>Cartridge Oil Filter</v>
          </cell>
        </row>
        <row r="522">
          <cell r="K522">
            <v>2831</v>
          </cell>
          <cell r="L522" t="str">
            <v>HD</v>
          </cell>
          <cell r="M522" t="str">
            <v>x</v>
          </cell>
          <cell r="N522" t="e">
            <v>#N/A</v>
          </cell>
          <cell r="O522" t="str">
            <v>Cover Gasket, Buna-N/272-C, 363-C</v>
          </cell>
        </row>
        <row r="523">
          <cell r="K523" t="str">
            <v>LK363T</v>
          </cell>
          <cell r="L523" t="str">
            <v>HD</v>
          </cell>
          <cell r="M523" t="str">
            <v>x</v>
          </cell>
          <cell r="N523" t="e">
            <v>#N/A</v>
          </cell>
          <cell r="O523" t="str">
            <v>Thermo King Engine Maintenance Kit</v>
          </cell>
        </row>
        <row r="524">
          <cell r="K524" t="str">
            <v>LAF1821</v>
          </cell>
          <cell r="L524" t="str">
            <v>HD</v>
          </cell>
          <cell r="M524" t="str">
            <v>x</v>
          </cell>
          <cell r="N524" t="e">
            <v>#N/A</v>
          </cell>
          <cell r="O524" t="str">
            <v>Disposible Housing Air Filter</v>
          </cell>
        </row>
        <row r="525">
          <cell r="K525" t="str">
            <v>L8682F</v>
          </cell>
          <cell r="L525" t="str">
            <v>HD</v>
          </cell>
          <cell r="M525" t="str">
            <v>x</v>
          </cell>
          <cell r="N525" t="str">
            <v>L8682F</v>
          </cell>
          <cell r="O525" t="str">
            <v>Snap-Lock Fuel Filter</v>
          </cell>
        </row>
        <row r="526">
          <cell r="K526" t="str">
            <v>LFF3886</v>
          </cell>
          <cell r="L526" t="str">
            <v>HD</v>
          </cell>
          <cell r="M526" t="str">
            <v>x</v>
          </cell>
          <cell r="N526" t="str">
            <v>LFF3886</v>
          </cell>
          <cell r="O526" t="str">
            <v>Spin-on Fuel Filter</v>
          </cell>
        </row>
        <row r="527">
          <cell r="K527" t="str">
            <v>L5098F</v>
          </cell>
          <cell r="L527" t="str">
            <v>HD</v>
          </cell>
          <cell r="M527" t="str">
            <v>x</v>
          </cell>
          <cell r="N527" t="e">
            <v>#N/A</v>
          </cell>
          <cell r="O527" t="str">
            <v>Cartridge Fuel Filter</v>
          </cell>
        </row>
        <row r="528">
          <cell r="K528" t="str">
            <v>LAF2032</v>
          </cell>
          <cell r="L528" t="str">
            <v>HD</v>
          </cell>
          <cell r="M528" t="str">
            <v>x</v>
          </cell>
          <cell r="N528" t="e">
            <v>#N/A</v>
          </cell>
          <cell r="O528" t="str">
            <v>Radial Seal Outer Air Filter</v>
          </cell>
        </row>
        <row r="529">
          <cell r="K529" t="str">
            <v>LFP2698</v>
          </cell>
          <cell r="L529" t="str">
            <v>HD</v>
          </cell>
          <cell r="M529" t="str">
            <v>x</v>
          </cell>
          <cell r="N529" t="e">
            <v>#N/A</v>
          </cell>
          <cell r="O529" t="str">
            <v>Spin-on Oil Filter</v>
          </cell>
        </row>
        <row r="530">
          <cell r="K530" t="str">
            <v>LAF3781</v>
          </cell>
          <cell r="L530" t="str">
            <v>HD</v>
          </cell>
          <cell r="M530" t="str">
            <v>x</v>
          </cell>
          <cell r="N530" t="e">
            <v>#N/A</v>
          </cell>
          <cell r="O530" t="str">
            <v>Radial Seal Inner Air Filter</v>
          </cell>
        </row>
        <row r="531">
          <cell r="K531" t="str">
            <v>LFP2200C</v>
          </cell>
          <cell r="L531" t="str">
            <v>HD</v>
          </cell>
          <cell r="M531" t="str">
            <v>x</v>
          </cell>
          <cell r="N531" t="e">
            <v>#N/A</v>
          </cell>
          <cell r="O531" t="str">
            <v>Spin-on Fuel Water Separator Coalescer Filter</v>
          </cell>
        </row>
        <row r="532">
          <cell r="K532" t="str">
            <v>LAF1826</v>
          </cell>
          <cell r="L532" t="str">
            <v>HD</v>
          </cell>
          <cell r="M532" t="str">
            <v>x</v>
          </cell>
          <cell r="N532" t="e">
            <v>#N/A</v>
          </cell>
          <cell r="O532" t="str">
            <v>HD Metal-End Air Filter</v>
          </cell>
        </row>
        <row r="533">
          <cell r="K533" t="str">
            <v>LAF73</v>
          </cell>
          <cell r="L533" t="str">
            <v>HD</v>
          </cell>
          <cell r="M533" t="str">
            <v>x</v>
          </cell>
          <cell r="N533" t="e">
            <v>#N/A</v>
          </cell>
          <cell r="O533" t="str">
            <v>Round Air Filter</v>
          </cell>
        </row>
        <row r="534">
          <cell r="K534" t="str">
            <v>LAF8694</v>
          </cell>
          <cell r="L534" t="str">
            <v>HD</v>
          </cell>
          <cell r="M534" t="str">
            <v>x</v>
          </cell>
          <cell r="N534" t="e">
            <v>#N/A</v>
          </cell>
          <cell r="O534" t="str">
            <v>Radial Seal Outer Air Filter</v>
          </cell>
        </row>
        <row r="535">
          <cell r="K535" t="str">
            <v>FP888</v>
          </cell>
          <cell r="L535" t="str">
            <v>HD</v>
          </cell>
          <cell r="M535" t="str">
            <v>x</v>
          </cell>
          <cell r="N535" t="str">
            <v>FP888</v>
          </cell>
          <cell r="O535" t="str">
            <v>Box Type Fuel Filter</v>
          </cell>
        </row>
        <row r="536">
          <cell r="K536" t="str">
            <v>364F</v>
          </cell>
          <cell r="L536" t="str">
            <v>HD</v>
          </cell>
          <cell r="M536" t="str">
            <v>x</v>
          </cell>
          <cell r="N536" t="e">
            <v>#N/A</v>
          </cell>
          <cell r="O536" t="str">
            <v>Cartridge Fuel Filter</v>
          </cell>
        </row>
        <row r="537">
          <cell r="K537" t="str">
            <v>LP6005</v>
          </cell>
          <cell r="L537" t="str">
            <v>HD</v>
          </cell>
          <cell r="M537" t="str">
            <v>x</v>
          </cell>
          <cell r="N537" t="e">
            <v>#N/A</v>
          </cell>
          <cell r="O537" t="str">
            <v>Spin-on Hydraulic Filter</v>
          </cell>
        </row>
        <row r="538">
          <cell r="K538" t="str">
            <v>LAF4506</v>
          </cell>
          <cell r="L538" t="str">
            <v>HD</v>
          </cell>
          <cell r="M538" t="str">
            <v>x</v>
          </cell>
          <cell r="N538" t="e">
            <v>#N/A</v>
          </cell>
          <cell r="O538" t="str">
            <v>Radial Seal Inner Air Filter</v>
          </cell>
        </row>
        <row r="539">
          <cell r="K539" t="str">
            <v>LK366C</v>
          </cell>
          <cell r="L539" t="str">
            <v>HD</v>
          </cell>
          <cell r="M539" t="str">
            <v>x</v>
          </cell>
          <cell r="N539" t="e">
            <v>#N/A</v>
          </cell>
          <cell r="O539" t="str">
            <v>Cummins Maintenance Kit</v>
          </cell>
        </row>
        <row r="540">
          <cell r="K540" t="str">
            <v>LFP959F</v>
          </cell>
          <cell r="L540" t="str">
            <v>HD</v>
          </cell>
          <cell r="M540" t="str">
            <v>x</v>
          </cell>
          <cell r="N540" t="e">
            <v>#N/A</v>
          </cell>
          <cell r="O540" t="str">
            <v>Spin-on Fuel Filter</v>
          </cell>
        </row>
        <row r="541">
          <cell r="K541" t="str">
            <v>LAF1988</v>
          </cell>
          <cell r="L541" t="str">
            <v>HD</v>
          </cell>
          <cell r="M541" t="str">
            <v>x</v>
          </cell>
          <cell r="N541" t="str">
            <v>LAF1988</v>
          </cell>
          <cell r="O541" t="str">
            <v>Spin-on Air Filter</v>
          </cell>
        </row>
        <row r="542">
          <cell r="K542" t="str">
            <v>LFF4511-30</v>
          </cell>
          <cell r="L542" t="str">
            <v>HD</v>
          </cell>
          <cell r="M542" t="str">
            <v>x</v>
          </cell>
          <cell r="N542" t="e">
            <v>#N/A</v>
          </cell>
          <cell r="O542" t="str">
            <v>Fuel Dispensing Filter</v>
          </cell>
        </row>
        <row r="543">
          <cell r="K543" t="str">
            <v>LAF4191</v>
          </cell>
          <cell r="L543" t="str">
            <v>HD</v>
          </cell>
          <cell r="M543" t="str">
            <v>x</v>
          </cell>
          <cell r="N543" t="e">
            <v>#N/A</v>
          </cell>
          <cell r="O543" t="str">
            <v>Rigid Panel Air Filter</v>
          </cell>
        </row>
        <row r="544">
          <cell r="K544" t="str">
            <v>LAF6243</v>
          </cell>
          <cell r="L544" t="str">
            <v>HD</v>
          </cell>
          <cell r="M544" t="str">
            <v>x</v>
          </cell>
          <cell r="N544" t="e">
            <v>#N/A</v>
          </cell>
          <cell r="O544" t="str">
            <v>Radial Seal Air Filter (Primary)</v>
          </cell>
        </row>
        <row r="545">
          <cell r="K545" t="str">
            <v>LAF2551</v>
          </cell>
          <cell r="L545" t="str">
            <v>HD</v>
          </cell>
          <cell r="M545" t="str">
            <v>x</v>
          </cell>
          <cell r="N545" t="e">
            <v>#N/A</v>
          </cell>
          <cell r="O545" t="str">
            <v>Disposible Housing Air Filter</v>
          </cell>
        </row>
        <row r="546">
          <cell r="K546" t="str">
            <v>FP585F</v>
          </cell>
          <cell r="L546" t="str">
            <v>HD</v>
          </cell>
          <cell r="M546" t="str">
            <v>x</v>
          </cell>
          <cell r="N546" t="e">
            <v>#N/A</v>
          </cell>
          <cell r="O546" t="str">
            <v>Spin-on Fuel Filter</v>
          </cell>
        </row>
        <row r="547">
          <cell r="K547" t="str">
            <v>LFP5084</v>
          </cell>
          <cell r="L547" t="str">
            <v>HD</v>
          </cell>
          <cell r="M547" t="str">
            <v>x</v>
          </cell>
          <cell r="N547" t="e">
            <v>#N/A</v>
          </cell>
          <cell r="O547" t="str">
            <v>Spin-on Oil Filter</v>
          </cell>
        </row>
        <row r="548">
          <cell r="K548" t="str">
            <v>LFF9954</v>
          </cell>
          <cell r="L548" t="str">
            <v>HD</v>
          </cell>
          <cell r="M548" t="str">
            <v>x</v>
          </cell>
          <cell r="N548" t="e">
            <v>#N/A</v>
          </cell>
          <cell r="O548" t="str">
            <v>Spin-on Fuel Filter</v>
          </cell>
        </row>
        <row r="549">
          <cell r="K549" t="str">
            <v>LAF1849MXM</v>
          </cell>
          <cell r="L549" t="str">
            <v>HD</v>
          </cell>
          <cell r="M549" t="str">
            <v>x</v>
          </cell>
          <cell r="N549" t="e">
            <v>#N/A</v>
          </cell>
          <cell r="O549" t="str">
            <v>Nano Tech HD Metal-End Air Filter Outer</v>
          </cell>
        </row>
        <row r="550">
          <cell r="K550" t="str">
            <v>LAF4714</v>
          </cell>
          <cell r="L550" t="str">
            <v>HD</v>
          </cell>
          <cell r="M550" t="str">
            <v>x</v>
          </cell>
          <cell r="N550" t="e">
            <v>#N/A</v>
          </cell>
          <cell r="O550" t="str">
            <v>Rigid Panel Air Filter</v>
          </cell>
        </row>
        <row r="551">
          <cell r="K551" t="str">
            <v>LFH8490</v>
          </cell>
          <cell r="L551" t="str">
            <v>HD</v>
          </cell>
          <cell r="M551" t="str">
            <v>x</v>
          </cell>
          <cell r="N551" t="e">
            <v>#N/A</v>
          </cell>
          <cell r="O551" t="str">
            <v>Spin-on Hydraulic Filter</v>
          </cell>
        </row>
        <row r="552">
          <cell r="K552" t="str">
            <v>750</v>
          </cell>
          <cell r="L552" t="str">
            <v>HD</v>
          </cell>
          <cell r="M552" t="str">
            <v>x</v>
          </cell>
          <cell r="N552" t="e">
            <v>#N/A</v>
          </cell>
          <cell r="O552" t="str">
            <v>LF750 microcell pak-reduce fluid content to extremely low level</v>
          </cell>
        </row>
        <row r="553">
          <cell r="K553" t="str">
            <v>LAF1465</v>
          </cell>
          <cell r="L553" t="str">
            <v>HD</v>
          </cell>
          <cell r="M553" t="str">
            <v>x</v>
          </cell>
          <cell r="N553" t="e">
            <v>#N/A</v>
          </cell>
          <cell r="O553" t="str">
            <v>HD Metal-End Air Filter</v>
          </cell>
        </row>
        <row r="554">
          <cell r="K554" t="str">
            <v>LAF9096</v>
          </cell>
          <cell r="L554" t="str">
            <v>HD</v>
          </cell>
          <cell r="M554" t="str">
            <v>x</v>
          </cell>
          <cell r="N554" t="e">
            <v>#N/A</v>
          </cell>
          <cell r="O554" t="str">
            <v>Flexible Panel Air Filter</v>
          </cell>
        </row>
        <row r="555">
          <cell r="K555" t="str">
            <v>L540F</v>
          </cell>
          <cell r="L555" t="str">
            <v>HD</v>
          </cell>
          <cell r="M555" t="str">
            <v>x</v>
          </cell>
          <cell r="N555" t="e">
            <v>#N/A</v>
          </cell>
          <cell r="O555" t="str">
            <v>Cartridge Fuel Filter</v>
          </cell>
        </row>
        <row r="556">
          <cell r="K556" t="str">
            <v>LAF5810</v>
          </cell>
          <cell r="L556" t="str">
            <v>HD</v>
          </cell>
          <cell r="M556" t="str">
            <v>x</v>
          </cell>
          <cell r="N556" t="e">
            <v>#N/A</v>
          </cell>
          <cell r="O556" t="str">
            <v>Disposible Housing Air Filter</v>
          </cell>
        </row>
        <row r="557">
          <cell r="K557" t="str">
            <v>LFF3504</v>
          </cell>
          <cell r="L557" t="str">
            <v>HD</v>
          </cell>
          <cell r="M557" t="str">
            <v>x</v>
          </cell>
          <cell r="N557" t="e">
            <v>#N/A</v>
          </cell>
          <cell r="O557" t="str">
            <v>Spin-on Fuel Filter</v>
          </cell>
        </row>
        <row r="558">
          <cell r="K558" t="str">
            <v>LFF7415</v>
          </cell>
          <cell r="L558" t="str">
            <v>HD</v>
          </cell>
          <cell r="M558" t="str">
            <v>x</v>
          </cell>
          <cell r="N558" t="str">
            <v>LFF7415</v>
          </cell>
          <cell r="O558" t="str">
            <v>Spin-on Fuel Water Separator Filter</v>
          </cell>
        </row>
        <row r="559">
          <cell r="K559" t="str">
            <v>LFH5011-25</v>
          </cell>
          <cell r="L559" t="str">
            <v>HD</v>
          </cell>
          <cell r="M559" t="str">
            <v>x</v>
          </cell>
          <cell r="N559" t="e">
            <v>#N/A</v>
          </cell>
          <cell r="O559" t="str">
            <v>Spin-on Hydraulic Filter</v>
          </cell>
        </row>
        <row r="560">
          <cell r="K560" t="str">
            <v>LAF8143</v>
          </cell>
          <cell r="L560" t="str">
            <v>HD</v>
          </cell>
          <cell r="M560" t="str">
            <v>x</v>
          </cell>
          <cell r="N560" t="e">
            <v>#N/A</v>
          </cell>
          <cell r="O560" t="str">
            <v>Radial Seal Outer Air Filter</v>
          </cell>
        </row>
        <row r="561">
          <cell r="K561" t="str">
            <v>LAF1848</v>
          </cell>
          <cell r="L561" t="str">
            <v>HD</v>
          </cell>
          <cell r="M561" t="str">
            <v>x</v>
          </cell>
          <cell r="N561" t="e">
            <v>#N/A</v>
          </cell>
          <cell r="O561" t="str">
            <v>Disposible Housing Air Filter</v>
          </cell>
        </row>
        <row r="562">
          <cell r="K562" t="str">
            <v>LAF959</v>
          </cell>
          <cell r="L562" t="str">
            <v>HD</v>
          </cell>
          <cell r="M562" t="str">
            <v>x</v>
          </cell>
          <cell r="N562" t="e">
            <v>#N/A</v>
          </cell>
          <cell r="O562" t="str">
            <v>Cone Shaped Conical Air Filter</v>
          </cell>
        </row>
        <row r="563">
          <cell r="K563" t="str">
            <v>L3580F</v>
          </cell>
          <cell r="L563" t="str">
            <v>HD</v>
          </cell>
          <cell r="M563" t="str">
            <v>x</v>
          </cell>
          <cell r="N563" t="e">
            <v>#N/A</v>
          </cell>
          <cell r="O563" t="str">
            <v>Cartridge Fuel Water Separator Filter</v>
          </cell>
        </row>
        <row r="564">
          <cell r="K564" t="str">
            <v>LFH4926</v>
          </cell>
          <cell r="L564" t="str">
            <v>HD</v>
          </cell>
          <cell r="M564" t="str">
            <v>x</v>
          </cell>
          <cell r="N564" t="e">
            <v>#N/A</v>
          </cell>
          <cell r="O564" t="str">
            <v>Spin-on Hydraulic Filter</v>
          </cell>
        </row>
        <row r="565">
          <cell r="K565" t="str">
            <v>LAF22056</v>
          </cell>
          <cell r="L565" t="str">
            <v>HD</v>
          </cell>
          <cell r="M565" t="str">
            <v>x</v>
          </cell>
          <cell r="N565" t="e">
            <v>#N/A</v>
          </cell>
          <cell r="O565" t="str">
            <v>Radial Seal Inner Air Filter Inner</v>
          </cell>
        </row>
        <row r="566">
          <cell r="K566" t="str">
            <v>LAF2521</v>
          </cell>
          <cell r="L566" t="str">
            <v>HD</v>
          </cell>
          <cell r="M566" t="str">
            <v>x</v>
          </cell>
          <cell r="N566" t="e">
            <v>#N/A</v>
          </cell>
          <cell r="O566" t="str">
            <v>Disposible Housing Air Filter</v>
          </cell>
        </row>
        <row r="567">
          <cell r="K567" t="str">
            <v>FP625</v>
          </cell>
          <cell r="L567" t="str">
            <v>HD</v>
          </cell>
          <cell r="M567" t="str">
            <v>x</v>
          </cell>
          <cell r="N567" t="e">
            <v>#N/A</v>
          </cell>
          <cell r="O567" t="str">
            <v>Spin-on Fuel Filter</v>
          </cell>
        </row>
        <row r="568">
          <cell r="K568" t="str">
            <v>LAF6113</v>
          </cell>
          <cell r="L568" t="str">
            <v>HD</v>
          </cell>
          <cell r="M568" t="str">
            <v>x</v>
          </cell>
          <cell r="N568" t="e">
            <v>#N/A</v>
          </cell>
          <cell r="O568" t="str">
            <v>Spin-on Coalescer Air Filter</v>
          </cell>
        </row>
        <row r="569">
          <cell r="K569" t="str">
            <v>LFF5106</v>
          </cell>
          <cell r="L569" t="str">
            <v>HD</v>
          </cell>
          <cell r="M569" t="str">
            <v>x</v>
          </cell>
          <cell r="N569" t="e">
            <v>#N/A</v>
          </cell>
          <cell r="O569" t="str">
            <v>Spin-on Fuel Water Separator Filter</v>
          </cell>
        </row>
        <row r="570">
          <cell r="K570" t="str">
            <v>L8141F</v>
          </cell>
          <cell r="L570" t="str">
            <v>HD</v>
          </cell>
          <cell r="M570" t="str">
            <v>x</v>
          </cell>
          <cell r="N570" t="e">
            <v>#N/A</v>
          </cell>
          <cell r="O570" t="str">
            <v>Cartridge Fuel Filter</v>
          </cell>
        </row>
        <row r="571">
          <cell r="K571" t="str">
            <v>LFP923</v>
          </cell>
          <cell r="L571" t="str">
            <v>HD</v>
          </cell>
          <cell r="M571" t="str">
            <v>x</v>
          </cell>
          <cell r="N571" t="e">
            <v>#N/A</v>
          </cell>
          <cell r="O571" t="str">
            <v>Spin-on Oil Filter</v>
          </cell>
        </row>
        <row r="572">
          <cell r="K572" t="str">
            <v>LAF5314</v>
          </cell>
          <cell r="L572" t="str">
            <v>HD</v>
          </cell>
          <cell r="M572" t="str">
            <v>x</v>
          </cell>
          <cell r="N572" t="str">
            <v>LAF5314</v>
          </cell>
          <cell r="O572" t="str">
            <v>Flexible Panel Air Filter</v>
          </cell>
        </row>
        <row r="573">
          <cell r="K573" t="str">
            <v>LP151</v>
          </cell>
          <cell r="L573" t="str">
            <v>HD</v>
          </cell>
          <cell r="M573" t="str">
            <v>x</v>
          </cell>
          <cell r="N573" t="e">
            <v>#N/A</v>
          </cell>
          <cell r="O573" t="str">
            <v>Cartridge Oil Filter</v>
          </cell>
        </row>
        <row r="574">
          <cell r="K574" t="str">
            <v>LAF8789</v>
          </cell>
          <cell r="L574" t="str">
            <v>HD</v>
          </cell>
          <cell r="M574" t="str">
            <v>x</v>
          </cell>
          <cell r="N574" t="e">
            <v>#N/A</v>
          </cell>
          <cell r="O574" t="str">
            <v>Radial Seal Outer Air Filter</v>
          </cell>
        </row>
        <row r="575">
          <cell r="K575" t="str">
            <v>L5021F</v>
          </cell>
          <cell r="L575" t="str">
            <v>HD</v>
          </cell>
          <cell r="M575" t="str">
            <v>x</v>
          </cell>
          <cell r="N575" t="e">
            <v>#N/A</v>
          </cell>
          <cell r="O575" t="str">
            <v>Cartridge Fuel Water Separator Coalescer filter</v>
          </cell>
        </row>
        <row r="576">
          <cell r="K576" t="str">
            <v>LFF5406</v>
          </cell>
          <cell r="L576" t="str">
            <v>HD</v>
          </cell>
          <cell r="M576" t="str">
            <v>x</v>
          </cell>
          <cell r="N576" t="e">
            <v>#N/A</v>
          </cell>
          <cell r="O576" t="str">
            <v>Spin-on Fuel Filter</v>
          </cell>
        </row>
        <row r="577">
          <cell r="K577" t="str">
            <v>L3556F</v>
          </cell>
          <cell r="L577" t="str">
            <v>HD</v>
          </cell>
          <cell r="M577" t="str">
            <v>x</v>
          </cell>
          <cell r="N577" t="e">
            <v>#N/A</v>
          </cell>
          <cell r="O577" t="str">
            <v>Cartridge Fuel Filter</v>
          </cell>
        </row>
        <row r="578">
          <cell r="K578" t="str">
            <v>LAF1869</v>
          </cell>
          <cell r="L578" t="str">
            <v>HD</v>
          </cell>
          <cell r="M578" t="str">
            <v>x</v>
          </cell>
          <cell r="N578" t="e">
            <v>#N/A</v>
          </cell>
          <cell r="O578" t="str">
            <v>Panel Air Filter Irregular Shaped</v>
          </cell>
        </row>
        <row r="579">
          <cell r="K579" t="str">
            <v>LFF3293</v>
          </cell>
          <cell r="L579" t="str">
            <v>HD</v>
          </cell>
          <cell r="M579" t="str">
            <v>x</v>
          </cell>
          <cell r="N579" t="e">
            <v>#N/A</v>
          </cell>
          <cell r="O579" t="str">
            <v>Bowl Style Fuel Water Separator Filter</v>
          </cell>
        </row>
        <row r="580">
          <cell r="K580" t="str">
            <v>LFP7181</v>
          </cell>
          <cell r="L580" t="str">
            <v>HD</v>
          </cell>
          <cell r="M580" t="str">
            <v>x</v>
          </cell>
          <cell r="N580" t="str">
            <v>LFP7181</v>
          </cell>
          <cell r="O580" t="str">
            <v>Spin-on Oil Filter</v>
          </cell>
        </row>
        <row r="581">
          <cell r="K581" t="str">
            <v>LFH22027</v>
          </cell>
          <cell r="L581" t="str">
            <v>HD</v>
          </cell>
          <cell r="M581" t="str">
            <v>x</v>
          </cell>
          <cell r="N581" t="e">
            <v>#N/A</v>
          </cell>
          <cell r="O581" t="str">
            <v>Spin-on Hydraulic Filter</v>
          </cell>
        </row>
        <row r="582">
          <cell r="K582" t="str">
            <v>LAF4273</v>
          </cell>
          <cell r="L582" t="str">
            <v>HD</v>
          </cell>
          <cell r="M582" t="str">
            <v>x</v>
          </cell>
          <cell r="N582" t="e">
            <v>#N/A</v>
          </cell>
          <cell r="O582" t="str">
            <v>Radial Seal Outer Air Filter</v>
          </cell>
        </row>
        <row r="583">
          <cell r="K583" t="str">
            <v>LFH22003</v>
          </cell>
          <cell r="L583" t="str">
            <v>HD</v>
          </cell>
          <cell r="M583" t="str">
            <v>x</v>
          </cell>
          <cell r="N583" t="e">
            <v>#N/A</v>
          </cell>
          <cell r="O583" t="str">
            <v>Spin-on Hydraulic Filter</v>
          </cell>
        </row>
        <row r="584">
          <cell r="K584" t="str">
            <v>LFH5809</v>
          </cell>
          <cell r="L584" t="str">
            <v>HD</v>
          </cell>
          <cell r="M584" t="str">
            <v>x</v>
          </cell>
          <cell r="N584" t="e">
            <v>#N/A</v>
          </cell>
          <cell r="O584" t="str">
            <v>Spin-on Hydraulic Filter</v>
          </cell>
        </row>
        <row r="585">
          <cell r="K585" t="str">
            <v>LFF8061</v>
          </cell>
          <cell r="L585" t="str">
            <v>HD</v>
          </cell>
          <cell r="M585" t="str">
            <v>x</v>
          </cell>
          <cell r="N585" t="e">
            <v>#N/A</v>
          </cell>
          <cell r="O585" t="str">
            <v>Spin-on Fuel Filter</v>
          </cell>
        </row>
        <row r="586">
          <cell r="K586" t="str">
            <v>LFF6925</v>
          </cell>
          <cell r="L586" t="str">
            <v>HD</v>
          </cell>
          <cell r="M586" t="str">
            <v>x</v>
          </cell>
          <cell r="N586" t="e">
            <v>#N/A</v>
          </cell>
          <cell r="O586" t="str">
            <v>Spin-on Fuel Filter</v>
          </cell>
        </row>
        <row r="587">
          <cell r="K587" t="str">
            <v>LAF8145</v>
          </cell>
          <cell r="L587" t="str">
            <v>HD</v>
          </cell>
          <cell r="M587" t="str">
            <v>x</v>
          </cell>
          <cell r="N587" t="e">
            <v>#N/A</v>
          </cell>
          <cell r="O587" t="str">
            <v>Radial Seal Outer Air Filter</v>
          </cell>
        </row>
        <row r="588">
          <cell r="K588" t="str">
            <v>LAF6681</v>
          </cell>
          <cell r="L588" t="str">
            <v>HD</v>
          </cell>
          <cell r="M588" t="str">
            <v>x</v>
          </cell>
          <cell r="N588" t="e">
            <v>#N/A</v>
          </cell>
          <cell r="O588" t="str">
            <v>Radial Seal Air Filter (Primary)</v>
          </cell>
        </row>
        <row r="589">
          <cell r="K589" t="str">
            <v>LAF9543</v>
          </cell>
          <cell r="L589" t="str">
            <v>HD</v>
          </cell>
          <cell r="M589" t="str">
            <v>x</v>
          </cell>
          <cell r="N589" t="e">
            <v>#N/A</v>
          </cell>
          <cell r="O589" t="str">
            <v>Radial Seal Inner Air Filter</v>
          </cell>
        </row>
        <row r="590">
          <cell r="K590" t="str">
            <v>LFH8417</v>
          </cell>
          <cell r="L590" t="str">
            <v>HD</v>
          </cell>
          <cell r="M590" t="str">
            <v>x</v>
          </cell>
          <cell r="N590" t="str">
            <v>LFH8417</v>
          </cell>
          <cell r="O590" t="str">
            <v>Spin-on Hydraulic Filter</v>
          </cell>
        </row>
        <row r="591">
          <cell r="K591">
            <v>272</v>
          </cell>
          <cell r="L591" t="str">
            <v>HD</v>
          </cell>
          <cell r="M591" t="str">
            <v>x</v>
          </cell>
          <cell r="N591" t="e">
            <v>#N/A</v>
          </cell>
          <cell r="O591" t="str">
            <v>Detergent Type Oil Filter, Luber-finer 272-C, Diesel Pak</v>
          </cell>
        </row>
        <row r="592">
          <cell r="K592" t="str">
            <v>LFP958F</v>
          </cell>
          <cell r="L592" t="str">
            <v>HD</v>
          </cell>
          <cell r="M592" t="str">
            <v>x</v>
          </cell>
          <cell r="N592" t="e">
            <v>#N/A</v>
          </cell>
          <cell r="O592" t="str">
            <v>Spin-on Fuel Filter</v>
          </cell>
        </row>
        <row r="593">
          <cell r="K593" t="str">
            <v>LAF1854</v>
          </cell>
          <cell r="L593" t="str">
            <v>HD</v>
          </cell>
          <cell r="M593" t="str">
            <v>x</v>
          </cell>
          <cell r="N593" t="e">
            <v>#N/A</v>
          </cell>
          <cell r="O593" t="str">
            <v>HD Metal-End Inner Air Filter</v>
          </cell>
        </row>
        <row r="594">
          <cell r="K594" t="str">
            <v>LFH8728</v>
          </cell>
          <cell r="L594" t="str">
            <v>HD</v>
          </cell>
          <cell r="M594" t="str">
            <v>x</v>
          </cell>
          <cell r="N594" t="str">
            <v>LFH8728</v>
          </cell>
          <cell r="O594" t="str">
            <v>Spin-on Hydraulic Filter</v>
          </cell>
        </row>
        <row r="595">
          <cell r="K595" t="str">
            <v>LFF5322</v>
          </cell>
          <cell r="L595" t="str">
            <v>HD</v>
          </cell>
          <cell r="M595" t="str">
            <v>x</v>
          </cell>
          <cell r="N595" t="e">
            <v>#N/A</v>
          </cell>
          <cell r="O595" t="str">
            <v>Spin-on Fuel Filter</v>
          </cell>
        </row>
        <row r="596">
          <cell r="K596" t="str">
            <v>LFH8399</v>
          </cell>
          <cell r="L596" t="str">
            <v>HD</v>
          </cell>
          <cell r="M596" t="str">
            <v>x</v>
          </cell>
          <cell r="N596" t="str">
            <v>LFH8399</v>
          </cell>
          <cell r="O596" t="str">
            <v>Spin-on Hydraulic Filter</v>
          </cell>
        </row>
        <row r="597">
          <cell r="K597" t="str">
            <v>LFH4902</v>
          </cell>
          <cell r="L597" t="str">
            <v>HD</v>
          </cell>
          <cell r="M597" t="str">
            <v>x</v>
          </cell>
          <cell r="N597" t="e">
            <v>#N/A</v>
          </cell>
          <cell r="O597" t="str">
            <v>Spin-on Hydraulic Filter</v>
          </cell>
        </row>
        <row r="598">
          <cell r="K598" t="str">
            <v>LFP3307</v>
          </cell>
          <cell r="L598" t="str">
            <v>HD</v>
          </cell>
          <cell r="M598" t="str">
            <v>x</v>
          </cell>
          <cell r="N598" t="e">
            <v>#N/A</v>
          </cell>
          <cell r="O598" t="str">
            <v>Spin-on Oil Filter</v>
          </cell>
        </row>
        <row r="599">
          <cell r="K599" t="str">
            <v>LP7329XL</v>
          </cell>
          <cell r="L599" t="str">
            <v>HD</v>
          </cell>
          <cell r="M599" t="str">
            <v>x</v>
          </cell>
          <cell r="N599" t="e">
            <v>#N/A</v>
          </cell>
          <cell r="O599" t="str">
            <v>Extended Life Cartridge Oil Filter</v>
          </cell>
        </row>
        <row r="600">
          <cell r="K600" t="str">
            <v>L8242F</v>
          </cell>
          <cell r="L600" t="str">
            <v>HD</v>
          </cell>
          <cell r="M600" t="str">
            <v>x</v>
          </cell>
          <cell r="N600" t="e">
            <v>#N/A</v>
          </cell>
          <cell r="O600" t="str">
            <v>Cartridge Fuel Filter</v>
          </cell>
        </row>
        <row r="601">
          <cell r="K601" t="str">
            <v>L8893F</v>
          </cell>
          <cell r="L601" t="str">
            <v>HD</v>
          </cell>
          <cell r="M601" t="str">
            <v>x</v>
          </cell>
          <cell r="N601" t="e">
            <v>#N/A</v>
          </cell>
          <cell r="O601" t="str">
            <v>Cartridge Fuel Filter</v>
          </cell>
        </row>
        <row r="602">
          <cell r="K602" t="str">
            <v>LFP2546</v>
          </cell>
          <cell r="L602" t="str">
            <v>HD</v>
          </cell>
          <cell r="M602" t="str">
            <v>x</v>
          </cell>
          <cell r="N602" t="str">
            <v>LFP2546</v>
          </cell>
          <cell r="O602" t="str">
            <v>Spin-on Oil Filter</v>
          </cell>
        </row>
        <row r="603">
          <cell r="K603" t="str">
            <v>LP164</v>
          </cell>
          <cell r="L603" t="str">
            <v>HD</v>
          </cell>
          <cell r="M603" t="str">
            <v>x</v>
          </cell>
          <cell r="N603" t="e">
            <v>#N/A</v>
          </cell>
          <cell r="O603" t="str">
            <v>Cartridge Oil Filter</v>
          </cell>
        </row>
        <row r="604">
          <cell r="K604" t="str">
            <v>LFP936F</v>
          </cell>
          <cell r="L604" t="str">
            <v>HD</v>
          </cell>
          <cell r="M604" t="str">
            <v>x</v>
          </cell>
          <cell r="N604" t="e">
            <v>#N/A</v>
          </cell>
          <cell r="O604" t="str">
            <v>Spin-on Fuel Filter</v>
          </cell>
        </row>
        <row r="605">
          <cell r="K605" t="str">
            <v>LFF5510-30</v>
          </cell>
          <cell r="L605" t="str">
            <v>HD</v>
          </cell>
          <cell r="M605" t="str">
            <v>x</v>
          </cell>
          <cell r="N605" t="e">
            <v>#N/A</v>
          </cell>
          <cell r="O605" t="str">
            <v>Fuel Dispensing Filter</v>
          </cell>
        </row>
        <row r="606">
          <cell r="K606" t="str">
            <v>LAF1819</v>
          </cell>
          <cell r="L606" t="str">
            <v>HD</v>
          </cell>
          <cell r="M606" t="str">
            <v>x</v>
          </cell>
          <cell r="N606" t="e">
            <v>#N/A</v>
          </cell>
          <cell r="O606" t="str">
            <v>HD Metal-End Air Filter</v>
          </cell>
        </row>
        <row r="607">
          <cell r="K607" t="str">
            <v>LAF5028</v>
          </cell>
          <cell r="L607" t="str">
            <v>HD</v>
          </cell>
          <cell r="M607" t="str">
            <v>x</v>
          </cell>
          <cell r="N607" t="e">
            <v>#N/A</v>
          </cell>
          <cell r="O607" t="str">
            <v>Flexible Panel Air Filter</v>
          </cell>
        </row>
        <row r="608">
          <cell r="K608" t="str">
            <v>LAF8427</v>
          </cell>
          <cell r="L608" t="str">
            <v>HD</v>
          </cell>
          <cell r="M608" t="str">
            <v>x</v>
          </cell>
          <cell r="N608" t="str">
            <v>LAF8427</v>
          </cell>
          <cell r="O608" t="str">
            <v>Disposible Housing Air Filter</v>
          </cell>
        </row>
        <row r="609">
          <cell r="K609" t="str">
            <v>LFF3800</v>
          </cell>
          <cell r="L609" t="str">
            <v>HD</v>
          </cell>
          <cell r="M609" t="str">
            <v>x</v>
          </cell>
          <cell r="N609" t="e">
            <v>#N/A</v>
          </cell>
          <cell r="O609" t="str">
            <v>Spin-on Fuel Filter</v>
          </cell>
        </row>
        <row r="610">
          <cell r="K610" t="str">
            <v>LAF9101</v>
          </cell>
          <cell r="L610" t="str">
            <v>HD</v>
          </cell>
          <cell r="M610" t="str">
            <v>x</v>
          </cell>
          <cell r="N610" t="e">
            <v>#N/A</v>
          </cell>
          <cell r="O610" t="str">
            <v>Radial Seal Outer Air Filter</v>
          </cell>
        </row>
        <row r="611">
          <cell r="K611" t="str">
            <v>LFF870</v>
          </cell>
          <cell r="L611" t="str">
            <v>HD</v>
          </cell>
          <cell r="M611" t="str">
            <v>x</v>
          </cell>
          <cell r="N611" t="e">
            <v>#N/A</v>
          </cell>
          <cell r="O611" t="str">
            <v>Cartridge Fuel Filter</v>
          </cell>
        </row>
        <row r="612">
          <cell r="K612" t="str">
            <v>LFF1131</v>
          </cell>
          <cell r="L612" t="str">
            <v>HD</v>
          </cell>
          <cell r="M612" t="str">
            <v>x</v>
          </cell>
          <cell r="N612" t="e">
            <v>#N/A</v>
          </cell>
          <cell r="O612" t="str">
            <v>Box-type Fuel Filter</v>
          </cell>
        </row>
        <row r="613">
          <cell r="K613" t="str">
            <v>L22023F</v>
          </cell>
          <cell r="L613" t="str">
            <v>HD</v>
          </cell>
          <cell r="M613" t="str">
            <v>x</v>
          </cell>
          <cell r="N613" t="e">
            <v>#N/A</v>
          </cell>
          <cell r="O613" t="str">
            <v>Snap-lock Fuel/Water Separator Filter</v>
          </cell>
        </row>
        <row r="614">
          <cell r="K614" t="str">
            <v>LFH4473</v>
          </cell>
          <cell r="L614" t="str">
            <v>HD</v>
          </cell>
          <cell r="M614" t="str">
            <v>x</v>
          </cell>
          <cell r="N614" t="e">
            <v>#N/A</v>
          </cell>
          <cell r="O614" t="str">
            <v>Spin-on Hydraulic Filter</v>
          </cell>
        </row>
        <row r="615">
          <cell r="K615" t="str">
            <v>LAF8486</v>
          </cell>
          <cell r="L615" t="str">
            <v>HD</v>
          </cell>
          <cell r="M615" t="str">
            <v>x</v>
          </cell>
          <cell r="N615" t="e">
            <v>#N/A</v>
          </cell>
          <cell r="O615" t="str">
            <v>Disposible Housing Air Filter</v>
          </cell>
        </row>
        <row r="616">
          <cell r="K616" t="str">
            <v>L6265F</v>
          </cell>
          <cell r="L616" t="str">
            <v>HD</v>
          </cell>
          <cell r="M616" t="str">
            <v>x</v>
          </cell>
          <cell r="N616" t="e">
            <v>#N/A</v>
          </cell>
          <cell r="O616" t="str">
            <v>Snap-Lock Fuel Filter</v>
          </cell>
        </row>
        <row r="617">
          <cell r="K617" t="str">
            <v>LAF1095</v>
          </cell>
          <cell r="L617" t="str">
            <v>HD</v>
          </cell>
          <cell r="M617" t="str">
            <v>x</v>
          </cell>
          <cell r="N617" t="e">
            <v>#N/A</v>
          </cell>
          <cell r="O617" t="str">
            <v>HD Metal-End Air Filter</v>
          </cell>
        </row>
        <row r="618">
          <cell r="K618" t="str">
            <v>LAF5934</v>
          </cell>
          <cell r="L618" t="str">
            <v>HD</v>
          </cell>
          <cell r="M618" t="str">
            <v>x</v>
          </cell>
          <cell r="N618" t="e">
            <v>#N/A</v>
          </cell>
          <cell r="O618" t="str">
            <v>Corrugated Media Air Filter</v>
          </cell>
        </row>
        <row r="619">
          <cell r="K619" t="str">
            <v>LFF2040</v>
          </cell>
          <cell r="L619" t="str">
            <v>HD</v>
          </cell>
          <cell r="M619" t="str">
            <v>x</v>
          </cell>
          <cell r="N619" t="e">
            <v>#N/A</v>
          </cell>
          <cell r="O619" t="str">
            <v>Cartridge Fuel Water Separator Filter</v>
          </cell>
        </row>
        <row r="620">
          <cell r="K620" t="str">
            <v>LFP8752</v>
          </cell>
          <cell r="L620" t="str">
            <v>HD</v>
          </cell>
          <cell r="M620" t="str">
            <v>x</v>
          </cell>
          <cell r="N620" t="e">
            <v>#N/A</v>
          </cell>
          <cell r="O620" t="str">
            <v>Spin-on Oil Filter</v>
          </cell>
        </row>
        <row r="621">
          <cell r="K621" t="str">
            <v>261F</v>
          </cell>
          <cell r="L621" t="str">
            <v>HD</v>
          </cell>
          <cell r="M621" t="str">
            <v>x</v>
          </cell>
          <cell r="N621" t="e">
            <v>#N/A</v>
          </cell>
          <cell r="O621" t="str">
            <v>Cartridge Fuel Filter</v>
          </cell>
        </row>
        <row r="622">
          <cell r="K622" t="str">
            <v>LFF5127</v>
          </cell>
          <cell r="L622" t="str">
            <v>HD</v>
          </cell>
          <cell r="M622" t="str">
            <v>x</v>
          </cell>
          <cell r="N622" t="str">
            <v>LFF5127</v>
          </cell>
          <cell r="O622" t="str">
            <v>Spin-on Fuel Filter</v>
          </cell>
        </row>
        <row r="623">
          <cell r="K623" t="str">
            <v>LAF1828</v>
          </cell>
          <cell r="L623" t="str">
            <v>HD</v>
          </cell>
          <cell r="M623" t="str">
            <v>x</v>
          </cell>
          <cell r="N623" t="e">
            <v>#N/A</v>
          </cell>
          <cell r="O623" t="str">
            <v>Disposible Housing Air Filter</v>
          </cell>
        </row>
        <row r="624">
          <cell r="K624" t="str">
            <v>LFF5089</v>
          </cell>
          <cell r="L624" t="str">
            <v>HD</v>
          </cell>
          <cell r="M624" t="str">
            <v>x</v>
          </cell>
          <cell r="N624" t="str">
            <v>LFF5089</v>
          </cell>
          <cell r="O624" t="str">
            <v>Spin-on Fuel Water Separator Filter</v>
          </cell>
        </row>
        <row r="625">
          <cell r="K625" t="str">
            <v>LAF3585</v>
          </cell>
          <cell r="L625" t="str">
            <v>HD</v>
          </cell>
          <cell r="M625" t="str">
            <v>x</v>
          </cell>
          <cell r="N625" t="e">
            <v>#N/A</v>
          </cell>
          <cell r="O625" t="str">
            <v>Radial Seal Inner Air Filter</v>
          </cell>
        </row>
        <row r="626">
          <cell r="K626" t="str">
            <v>LFP944F</v>
          </cell>
          <cell r="L626" t="str">
            <v>HD</v>
          </cell>
          <cell r="M626" t="str">
            <v>x</v>
          </cell>
          <cell r="N626" t="e">
            <v>#N/A</v>
          </cell>
          <cell r="O626" t="str">
            <v>Spin-on Fuel Filter</v>
          </cell>
        </row>
        <row r="627">
          <cell r="K627" t="str">
            <v>L3541F</v>
          </cell>
          <cell r="L627" t="str">
            <v>HD</v>
          </cell>
          <cell r="M627" t="str">
            <v>x</v>
          </cell>
          <cell r="N627" t="e">
            <v>#N/A</v>
          </cell>
          <cell r="O627" t="str">
            <v>Cartridge Fuel Filter</v>
          </cell>
        </row>
        <row r="628">
          <cell r="K628" t="str">
            <v>LFP925F</v>
          </cell>
          <cell r="L628" t="str">
            <v>HD</v>
          </cell>
          <cell r="M628" t="str">
            <v>x</v>
          </cell>
          <cell r="N628" t="e">
            <v>#N/A</v>
          </cell>
          <cell r="O628" t="str">
            <v>Spin-on Fuel Filter</v>
          </cell>
        </row>
        <row r="629">
          <cell r="K629" t="str">
            <v>LAF5802</v>
          </cell>
          <cell r="L629" t="str">
            <v>HD</v>
          </cell>
          <cell r="M629" t="str">
            <v>x</v>
          </cell>
          <cell r="N629" t="e">
            <v>#N/A</v>
          </cell>
          <cell r="O629" t="str">
            <v>Round Air Filter</v>
          </cell>
        </row>
        <row r="630">
          <cell r="K630" t="str">
            <v>LAF1858</v>
          </cell>
          <cell r="L630" t="str">
            <v>HD</v>
          </cell>
          <cell r="M630" t="str">
            <v>x</v>
          </cell>
          <cell r="N630" t="e">
            <v>#N/A</v>
          </cell>
          <cell r="O630" t="str">
            <v>Finned Vane Air Filter</v>
          </cell>
        </row>
        <row r="631">
          <cell r="K631" t="str">
            <v>LAF234HD</v>
          </cell>
          <cell r="L631" t="str">
            <v>HD</v>
          </cell>
          <cell r="M631" t="str">
            <v>x</v>
          </cell>
          <cell r="N631" t="e">
            <v>#N/A</v>
          </cell>
          <cell r="O631" t="str">
            <v>Finned Vane Air Filter</v>
          </cell>
        </row>
        <row r="632">
          <cell r="K632" t="str">
            <v>LAF2959</v>
          </cell>
          <cell r="L632" t="str">
            <v>HD</v>
          </cell>
          <cell r="M632" t="str">
            <v>x</v>
          </cell>
          <cell r="N632" t="e">
            <v>#N/A</v>
          </cell>
          <cell r="O632" t="str">
            <v>Corrugated Media Air Filter</v>
          </cell>
        </row>
        <row r="633">
          <cell r="K633" t="str">
            <v>LAF694</v>
          </cell>
          <cell r="L633" t="str">
            <v>HD</v>
          </cell>
          <cell r="M633" t="str">
            <v>x</v>
          </cell>
          <cell r="N633" t="e">
            <v>#N/A</v>
          </cell>
          <cell r="O633" t="str">
            <v>Cone Shaped Conical Air Filter</v>
          </cell>
        </row>
        <row r="634">
          <cell r="K634" t="str">
            <v>LAF9373</v>
          </cell>
          <cell r="L634" t="str">
            <v>HD</v>
          </cell>
          <cell r="M634" t="str">
            <v>x</v>
          </cell>
          <cell r="N634" t="e">
            <v>#N/A</v>
          </cell>
          <cell r="O634" t="str">
            <v>Round Inner Air Filter</v>
          </cell>
        </row>
        <row r="635">
          <cell r="K635" t="str">
            <v>LFH5011W-30</v>
          </cell>
          <cell r="L635" t="str">
            <v>HD</v>
          </cell>
          <cell r="M635" t="str">
            <v>x</v>
          </cell>
          <cell r="N635" t="e">
            <v>#N/A</v>
          </cell>
          <cell r="O635" t="str">
            <v>Spin-on Hydraulic Filter</v>
          </cell>
        </row>
        <row r="636">
          <cell r="K636" t="str">
            <v>LAF1680</v>
          </cell>
          <cell r="L636" t="str">
            <v>HD</v>
          </cell>
          <cell r="M636" t="str">
            <v>x</v>
          </cell>
          <cell r="N636" t="e">
            <v>#N/A</v>
          </cell>
          <cell r="O636" t="str">
            <v>Flexible Panel Air Filter</v>
          </cell>
        </row>
        <row r="637">
          <cell r="K637" t="str">
            <v>LFF90013</v>
          </cell>
          <cell r="L637" t="str">
            <v>HD</v>
          </cell>
          <cell r="M637" t="str">
            <v>x</v>
          </cell>
          <cell r="N637" t="e">
            <v>#N/A</v>
          </cell>
          <cell r="O637" t="str">
            <v>Bowl Style Fuel Water Separator Filter</v>
          </cell>
        </row>
        <row r="638">
          <cell r="K638" t="str">
            <v>LAF588</v>
          </cell>
          <cell r="L638" t="str">
            <v>HD</v>
          </cell>
          <cell r="M638" t="str">
            <v>x</v>
          </cell>
          <cell r="N638" t="e">
            <v>#N/A</v>
          </cell>
          <cell r="O638" t="str">
            <v>Round Air Filter</v>
          </cell>
        </row>
        <row r="639">
          <cell r="K639" t="str">
            <v>LAF5255</v>
          </cell>
          <cell r="L639" t="str">
            <v>HD</v>
          </cell>
          <cell r="M639" t="str">
            <v>x</v>
          </cell>
          <cell r="N639" t="e">
            <v>#N/A</v>
          </cell>
          <cell r="O639" t="str">
            <v>Finned Vane Air Filter</v>
          </cell>
        </row>
        <row r="640">
          <cell r="K640" t="str">
            <v>L8891F</v>
          </cell>
          <cell r="L640" t="str">
            <v>HD</v>
          </cell>
          <cell r="M640" t="str">
            <v>x</v>
          </cell>
          <cell r="N640" t="e">
            <v>#N/A</v>
          </cell>
          <cell r="O640" t="str">
            <v>Snap-Lock Fuel Filter</v>
          </cell>
        </row>
        <row r="641">
          <cell r="K641" t="str">
            <v>LFH8217</v>
          </cell>
          <cell r="L641" t="str">
            <v>HD</v>
          </cell>
          <cell r="M641" t="str">
            <v>x</v>
          </cell>
          <cell r="N641" t="str">
            <v>LFH8217</v>
          </cell>
          <cell r="O641" t="str">
            <v>Spin-on Hydraulic Filter</v>
          </cell>
        </row>
        <row r="642">
          <cell r="K642" t="str">
            <v>LAF1784</v>
          </cell>
          <cell r="L642" t="str">
            <v>HD</v>
          </cell>
          <cell r="M642" t="str">
            <v>x</v>
          </cell>
          <cell r="N642" t="e">
            <v>#N/A</v>
          </cell>
          <cell r="O642" t="str">
            <v>HD Metal-End Air Filter-Inner</v>
          </cell>
        </row>
        <row r="643">
          <cell r="K643" t="str">
            <v>LFF3526</v>
          </cell>
          <cell r="L643" t="str">
            <v>HD</v>
          </cell>
          <cell r="M643" t="str">
            <v>x</v>
          </cell>
          <cell r="N643" t="e">
            <v>#N/A</v>
          </cell>
          <cell r="O643" t="str">
            <v>Spin-on Fuel Filter</v>
          </cell>
        </row>
        <row r="644">
          <cell r="K644" t="str">
            <v>LAF1845</v>
          </cell>
          <cell r="L644" t="str">
            <v>HD</v>
          </cell>
          <cell r="M644" t="str">
            <v>x</v>
          </cell>
          <cell r="N644" t="e">
            <v>#N/A</v>
          </cell>
          <cell r="O644" t="str">
            <v>HD Round Air Filter with Attached Boot</v>
          </cell>
        </row>
        <row r="645">
          <cell r="K645" t="str">
            <v>LFF4293</v>
          </cell>
          <cell r="L645" t="str">
            <v>HD</v>
          </cell>
          <cell r="M645" t="str">
            <v>x</v>
          </cell>
          <cell r="N645" t="e">
            <v>#N/A</v>
          </cell>
          <cell r="O645" t="str">
            <v>Spin-on Fuel Filter</v>
          </cell>
        </row>
        <row r="646">
          <cell r="K646" t="str">
            <v>LAF1834</v>
          </cell>
          <cell r="L646" t="str">
            <v>HD</v>
          </cell>
          <cell r="M646" t="str">
            <v>x</v>
          </cell>
          <cell r="N646" t="e">
            <v>#N/A</v>
          </cell>
          <cell r="O646" t="str">
            <v>HD Metal-End Air Filter</v>
          </cell>
        </row>
        <row r="647">
          <cell r="K647" t="str">
            <v>LFP3301F</v>
          </cell>
          <cell r="L647" t="str">
            <v>HD</v>
          </cell>
          <cell r="M647" t="str">
            <v>x</v>
          </cell>
          <cell r="N647" t="e">
            <v>#N/A</v>
          </cell>
          <cell r="O647" t="str">
            <v>Spin-on Fuel Filter</v>
          </cell>
        </row>
        <row r="648">
          <cell r="K648" t="str">
            <v>LP970-5</v>
          </cell>
          <cell r="L648" t="str">
            <v>HD</v>
          </cell>
          <cell r="M648" t="str">
            <v>x</v>
          </cell>
          <cell r="N648" t="e">
            <v>#N/A</v>
          </cell>
          <cell r="O648" t="str">
            <v>Cartridge Oil Filter</v>
          </cell>
        </row>
        <row r="649">
          <cell r="K649" t="str">
            <v>LAF5938</v>
          </cell>
          <cell r="L649" t="str">
            <v>HD</v>
          </cell>
          <cell r="M649" t="str">
            <v>x</v>
          </cell>
          <cell r="N649" t="e">
            <v>#N/A</v>
          </cell>
          <cell r="O649" t="str">
            <v>Corrugated Media Air Filter</v>
          </cell>
        </row>
        <row r="650">
          <cell r="K650" t="str">
            <v>LP7329</v>
          </cell>
          <cell r="L650" t="str">
            <v>HD</v>
          </cell>
          <cell r="M650" t="str">
            <v>x</v>
          </cell>
          <cell r="N650" t="e">
            <v>#N/A</v>
          </cell>
          <cell r="O650" t="str">
            <v>Cartridge Oil Filter</v>
          </cell>
        </row>
        <row r="651">
          <cell r="K651" t="str">
            <v>L8867F</v>
          </cell>
          <cell r="L651" t="str">
            <v>HD</v>
          </cell>
          <cell r="M651" t="str">
            <v>x</v>
          </cell>
          <cell r="N651" t="e">
            <v>#N/A</v>
          </cell>
          <cell r="O651" t="str">
            <v>Snap-Lock Fuel Filter</v>
          </cell>
        </row>
        <row r="652">
          <cell r="K652" t="str">
            <v>LAF2532</v>
          </cell>
          <cell r="L652" t="str">
            <v>HD</v>
          </cell>
          <cell r="M652" t="str">
            <v>x</v>
          </cell>
          <cell r="N652" t="str">
            <v>LAF2532</v>
          </cell>
          <cell r="O652" t="str">
            <v>Disposible Housing Air Filter</v>
          </cell>
        </row>
        <row r="653">
          <cell r="K653" t="str">
            <v>18864</v>
          </cell>
          <cell r="L653" t="str">
            <v>HD</v>
          </cell>
          <cell r="M653" t="str">
            <v>x</v>
          </cell>
          <cell r="N653" t="e">
            <v>#N/A</v>
          </cell>
          <cell r="O653" t="str">
            <v>Inlet Check-Valve Assembly Complete (Opt.#4 Orifice)/500-C, CT, 750-C, CT</v>
          </cell>
        </row>
        <row r="654">
          <cell r="K654" t="str">
            <v>LFH5011-W</v>
          </cell>
          <cell r="L654" t="str">
            <v>HD</v>
          </cell>
          <cell r="M654" t="str">
            <v>x</v>
          </cell>
          <cell r="N654" t="e">
            <v>#N/A</v>
          </cell>
          <cell r="O654" t="str">
            <v>Dispensing Pump Fuel Filter</v>
          </cell>
        </row>
        <row r="655">
          <cell r="K655" t="str">
            <v>LFP811F</v>
          </cell>
          <cell r="L655" t="str">
            <v>HD</v>
          </cell>
          <cell r="M655" t="str">
            <v>x</v>
          </cell>
          <cell r="N655" t="e">
            <v>#N/A</v>
          </cell>
          <cell r="O655" t="str">
            <v>Spin-on Fuel Filter</v>
          </cell>
        </row>
        <row r="656">
          <cell r="K656" t="str">
            <v>LAF926</v>
          </cell>
          <cell r="L656" t="str">
            <v>HD</v>
          </cell>
          <cell r="M656" t="str">
            <v>x</v>
          </cell>
          <cell r="N656" t="e">
            <v>#N/A</v>
          </cell>
          <cell r="O656" t="str">
            <v>HD Metal-End Air Filter</v>
          </cell>
        </row>
        <row r="657">
          <cell r="K657" t="str">
            <v>L1645C</v>
          </cell>
          <cell r="L657" t="str">
            <v>HD</v>
          </cell>
          <cell r="M657" t="str">
            <v>x</v>
          </cell>
          <cell r="N657" t="e">
            <v>#N/A</v>
          </cell>
          <cell r="O657" t="str">
            <v>Sock Type Oil Filter</v>
          </cell>
        </row>
        <row r="658">
          <cell r="K658" t="str">
            <v>750</v>
          </cell>
          <cell r="L658" t="str">
            <v>HD</v>
          </cell>
          <cell r="M658" t="str">
            <v>x</v>
          </cell>
          <cell r="N658" t="e">
            <v>#N/A</v>
          </cell>
          <cell r="O658" t="str">
            <v>Refining Oil Filter lement with Alumina used with Luberfiner 750 Units</v>
          </cell>
        </row>
        <row r="659">
          <cell r="K659" t="str">
            <v>LFH22052</v>
          </cell>
          <cell r="L659" t="str">
            <v>HD</v>
          </cell>
          <cell r="M659" t="str">
            <v>x</v>
          </cell>
          <cell r="N659" t="e">
            <v>#N/A</v>
          </cell>
          <cell r="O659" t="str">
            <v>Spin-on Hydraulic Filter</v>
          </cell>
        </row>
        <row r="660">
          <cell r="K660" t="str">
            <v>LFP5723</v>
          </cell>
          <cell r="L660" t="str">
            <v>HD</v>
          </cell>
          <cell r="M660" t="str">
            <v>x</v>
          </cell>
          <cell r="N660" t="e">
            <v>#N/A</v>
          </cell>
          <cell r="O660" t="str">
            <v>Spin-on Oil Filter</v>
          </cell>
        </row>
        <row r="661">
          <cell r="K661" t="str">
            <v>LAF5868</v>
          </cell>
          <cell r="L661" t="str">
            <v>HD</v>
          </cell>
          <cell r="M661" t="str">
            <v>x</v>
          </cell>
          <cell r="N661" t="e">
            <v>#N/A</v>
          </cell>
          <cell r="O661" t="str">
            <v>Radial Seal Inner Air Filter</v>
          </cell>
        </row>
        <row r="662">
          <cell r="K662" t="str">
            <v>LFH8759G</v>
          </cell>
          <cell r="L662" t="str">
            <v>HD</v>
          </cell>
          <cell r="M662" t="str">
            <v>x</v>
          </cell>
          <cell r="N662" t="e">
            <v>#N/A</v>
          </cell>
          <cell r="O662" t="str">
            <v>Spin-on Hydraulic Filter</v>
          </cell>
        </row>
        <row r="663">
          <cell r="K663" t="str">
            <v>LAF5872</v>
          </cell>
          <cell r="L663" t="str">
            <v>HD</v>
          </cell>
          <cell r="M663" t="str">
            <v>x</v>
          </cell>
          <cell r="N663" t="e">
            <v>#N/A</v>
          </cell>
          <cell r="O663" t="str">
            <v>Radial Seal Inner Air Filter</v>
          </cell>
        </row>
        <row r="664">
          <cell r="K664" t="str">
            <v>LFF4511</v>
          </cell>
          <cell r="L664" t="str">
            <v>HD</v>
          </cell>
          <cell r="M664" t="str">
            <v>x</v>
          </cell>
          <cell r="N664" t="e">
            <v>#N/A</v>
          </cell>
          <cell r="O664" t="str">
            <v>Fuel Dispensing Filter</v>
          </cell>
        </row>
        <row r="665">
          <cell r="K665" t="str">
            <v>L4109F</v>
          </cell>
          <cell r="L665" t="str">
            <v>HD</v>
          </cell>
          <cell r="M665" t="str">
            <v>x</v>
          </cell>
          <cell r="N665" t="e">
            <v>#N/A</v>
          </cell>
          <cell r="O665" t="str">
            <v>Snap-lock Fuel/Water Separator Filter</v>
          </cell>
        </row>
        <row r="666">
          <cell r="K666" t="str">
            <v>L4606F</v>
          </cell>
          <cell r="L666" t="str">
            <v>HD</v>
          </cell>
          <cell r="M666" t="str">
            <v>x</v>
          </cell>
          <cell r="N666" t="e">
            <v>#N/A</v>
          </cell>
          <cell r="O666" t="str">
            <v>Fuel Filter Kit Primary/Secondary</v>
          </cell>
        </row>
        <row r="667">
          <cell r="K667" t="str">
            <v>LAF265HD</v>
          </cell>
          <cell r="L667" t="str">
            <v>HD</v>
          </cell>
          <cell r="M667" t="str">
            <v>x</v>
          </cell>
          <cell r="N667" t="e">
            <v>#N/A</v>
          </cell>
          <cell r="O667" t="str">
            <v>HD Metal-End Air Filter</v>
          </cell>
        </row>
        <row r="668">
          <cell r="K668" t="str">
            <v>LAF3916</v>
          </cell>
          <cell r="L668" t="str">
            <v>HD</v>
          </cell>
          <cell r="M668" t="str">
            <v>x</v>
          </cell>
          <cell r="N668" t="e">
            <v>#N/A</v>
          </cell>
          <cell r="O668" t="str">
            <v>HD Metal-End Air Filter</v>
          </cell>
        </row>
        <row r="669">
          <cell r="K669" t="str">
            <v>LP2854</v>
          </cell>
          <cell r="L669" t="str">
            <v>HD</v>
          </cell>
          <cell r="M669" t="str">
            <v>x</v>
          </cell>
          <cell r="N669" t="e">
            <v>#N/A</v>
          </cell>
          <cell r="O669" t="str">
            <v>Cartridge Hydraulic Filter</v>
          </cell>
        </row>
        <row r="670">
          <cell r="K670" t="str">
            <v>LAF5932</v>
          </cell>
          <cell r="L670" t="str">
            <v>HD</v>
          </cell>
          <cell r="M670" t="str">
            <v>x</v>
          </cell>
          <cell r="N670" t="e">
            <v>#N/A</v>
          </cell>
          <cell r="O670" t="str">
            <v>Radial Seal Inner Air Filter Inner</v>
          </cell>
        </row>
        <row r="671">
          <cell r="K671" t="str">
            <v>LH5461</v>
          </cell>
          <cell r="L671" t="str">
            <v>HD</v>
          </cell>
          <cell r="M671" t="str">
            <v>x</v>
          </cell>
          <cell r="N671" t="e">
            <v>#N/A</v>
          </cell>
          <cell r="O671" t="str">
            <v>Cartridge Hydraulic Filter</v>
          </cell>
        </row>
        <row r="672">
          <cell r="K672" t="str">
            <v>LFF4102</v>
          </cell>
          <cell r="L672" t="str">
            <v>HD</v>
          </cell>
          <cell r="M672" t="str">
            <v>x</v>
          </cell>
          <cell r="N672" t="str">
            <v>LFF4102</v>
          </cell>
          <cell r="O672" t="str">
            <v>Spin-on Fuel Filter</v>
          </cell>
        </row>
        <row r="673">
          <cell r="K673" t="str">
            <v>LFH8534</v>
          </cell>
          <cell r="L673" t="str">
            <v>HD</v>
          </cell>
          <cell r="M673" t="str">
            <v>x</v>
          </cell>
          <cell r="N673" t="e">
            <v>#N/A</v>
          </cell>
          <cell r="O673" t="str">
            <v>Spin-on Hydraulic Filter</v>
          </cell>
        </row>
        <row r="674">
          <cell r="K674" t="str">
            <v>LAF15</v>
          </cell>
          <cell r="L674" t="str">
            <v>HD</v>
          </cell>
          <cell r="M674" t="str">
            <v>x</v>
          </cell>
          <cell r="N674" t="e">
            <v>#N/A</v>
          </cell>
          <cell r="O674" t="str">
            <v>Rigid Panel Air Filter</v>
          </cell>
        </row>
        <row r="675">
          <cell r="K675" t="str">
            <v>LP509</v>
          </cell>
          <cell r="L675" t="str">
            <v>HD</v>
          </cell>
          <cell r="M675" t="str">
            <v>x</v>
          </cell>
          <cell r="N675" t="e">
            <v>#N/A</v>
          </cell>
          <cell r="O675" t="str">
            <v>Cartridge Hydraulic Filter</v>
          </cell>
        </row>
        <row r="676">
          <cell r="K676" t="str">
            <v>LAF241HD</v>
          </cell>
          <cell r="L676" t="str">
            <v>HD</v>
          </cell>
          <cell r="M676" t="str">
            <v>x</v>
          </cell>
          <cell r="N676" t="e">
            <v>#N/A</v>
          </cell>
          <cell r="O676" t="str">
            <v>Finned Vane Air Filter</v>
          </cell>
        </row>
        <row r="677">
          <cell r="K677" t="str">
            <v>LAF6587</v>
          </cell>
          <cell r="L677" t="str">
            <v>HD</v>
          </cell>
          <cell r="M677" t="str">
            <v>x</v>
          </cell>
          <cell r="N677" t="e">
            <v>#N/A</v>
          </cell>
          <cell r="O677" t="str">
            <v>HD Metal-End Air Filter</v>
          </cell>
        </row>
        <row r="678">
          <cell r="K678" t="str">
            <v>LH4591G</v>
          </cell>
          <cell r="L678" t="str">
            <v>HD</v>
          </cell>
          <cell r="M678" t="str">
            <v>x</v>
          </cell>
          <cell r="N678" t="e">
            <v>#N/A</v>
          </cell>
          <cell r="O678" t="str">
            <v>Cartridge Power Steering (Hydraulic) Filter</v>
          </cell>
        </row>
        <row r="679">
          <cell r="K679" t="str">
            <v>LAF1747</v>
          </cell>
          <cell r="L679" t="str">
            <v>HD</v>
          </cell>
          <cell r="M679" t="str">
            <v>x</v>
          </cell>
          <cell r="N679" t="e">
            <v>#N/A</v>
          </cell>
          <cell r="O679" t="str">
            <v>HD Metal-End Air Filter</v>
          </cell>
        </row>
        <row r="680">
          <cell r="K680" t="str">
            <v>LAF22026</v>
          </cell>
          <cell r="L680" t="str">
            <v>HD</v>
          </cell>
          <cell r="M680" t="str">
            <v>x</v>
          </cell>
          <cell r="N680" t="e">
            <v>#N/A</v>
          </cell>
          <cell r="O680" t="str">
            <v>Disposible Housing Air Filter</v>
          </cell>
        </row>
        <row r="681">
          <cell r="K681" t="str">
            <v>LFF3501</v>
          </cell>
          <cell r="L681" t="str">
            <v>HD</v>
          </cell>
          <cell r="M681" t="str">
            <v>x</v>
          </cell>
          <cell r="N681" t="e">
            <v>#N/A</v>
          </cell>
          <cell r="O681" t="str">
            <v>Spin-on Fuel Filter</v>
          </cell>
        </row>
        <row r="682">
          <cell r="K682" t="str">
            <v>L8968F</v>
          </cell>
          <cell r="L682" t="str">
            <v>HD</v>
          </cell>
          <cell r="M682" t="str">
            <v>x</v>
          </cell>
          <cell r="N682" t="e">
            <v>#N/A</v>
          </cell>
          <cell r="O682" t="str">
            <v>Cartridge Fuel Filter</v>
          </cell>
        </row>
        <row r="683">
          <cell r="K683" t="str">
            <v>LAF8772</v>
          </cell>
          <cell r="L683" t="str">
            <v>HD</v>
          </cell>
          <cell r="M683" t="str">
            <v>x</v>
          </cell>
          <cell r="N683" t="e">
            <v>#N/A</v>
          </cell>
          <cell r="O683" t="str">
            <v>HD Metal-End Air Filter</v>
          </cell>
        </row>
        <row r="684">
          <cell r="K684" t="str">
            <v>LAF1458</v>
          </cell>
          <cell r="L684" t="str">
            <v>HD</v>
          </cell>
          <cell r="M684" t="str">
            <v>x</v>
          </cell>
          <cell r="N684" t="e">
            <v>#N/A</v>
          </cell>
          <cell r="O684" t="str">
            <v>Finned Vane Air Filter</v>
          </cell>
        </row>
        <row r="685">
          <cell r="K685" t="str">
            <v>L2020F-30</v>
          </cell>
          <cell r="L685" t="str">
            <v>HD</v>
          </cell>
          <cell r="M685" t="str">
            <v>x</v>
          </cell>
          <cell r="N685" t="e">
            <v>#N/A</v>
          </cell>
          <cell r="O685" t="str">
            <v>Cartridge Fuel Water Separator Filter</v>
          </cell>
        </row>
        <row r="686">
          <cell r="K686" t="str">
            <v>LAF1732</v>
          </cell>
          <cell r="L686" t="str">
            <v>HD</v>
          </cell>
          <cell r="M686" t="str">
            <v>x</v>
          </cell>
          <cell r="N686" t="e">
            <v>#N/A</v>
          </cell>
          <cell r="O686" t="str">
            <v>HD Metal-End Air Filter</v>
          </cell>
        </row>
        <row r="687">
          <cell r="K687" t="str">
            <v>LP566</v>
          </cell>
          <cell r="L687" t="str">
            <v>HD</v>
          </cell>
          <cell r="M687" t="str">
            <v>x</v>
          </cell>
          <cell r="N687" t="e">
            <v>#N/A</v>
          </cell>
          <cell r="O687" t="str">
            <v>Cartridge Oil Filter</v>
          </cell>
        </row>
        <row r="688">
          <cell r="K688" t="str">
            <v>LFH5074G</v>
          </cell>
          <cell r="L688" t="str">
            <v>HD</v>
          </cell>
          <cell r="M688" t="str">
            <v>x</v>
          </cell>
          <cell r="N688" t="e">
            <v>#N/A</v>
          </cell>
          <cell r="O688" t="str">
            <v>Spin-on Hydraulic Filter</v>
          </cell>
        </row>
        <row r="689">
          <cell r="K689" t="str">
            <v>L8680F</v>
          </cell>
          <cell r="L689" t="str">
            <v>HD</v>
          </cell>
          <cell r="M689" t="str">
            <v>x</v>
          </cell>
          <cell r="N689" t="e">
            <v>#N/A</v>
          </cell>
          <cell r="O689" t="str">
            <v>Snap-Lock Fuel Filter</v>
          </cell>
        </row>
        <row r="690">
          <cell r="K690" t="str">
            <v>ZKIT9750</v>
          </cell>
          <cell r="L690" t="str">
            <v>HD</v>
          </cell>
          <cell r="M690" t="str">
            <v>x</v>
          </cell>
          <cell r="N690" t="e">
            <v>#N/A</v>
          </cell>
          <cell r="O690" t="str">
            <v>Oil Filter &amp; Mtg Base Kit</v>
          </cell>
        </row>
        <row r="691">
          <cell r="K691" t="str">
            <v>CAF24006</v>
          </cell>
          <cell r="L691" t="str">
            <v>HD</v>
          </cell>
          <cell r="M691" t="str">
            <v>x</v>
          </cell>
          <cell r="N691" t="e">
            <v>#N/A</v>
          </cell>
          <cell r="O691" t="str">
            <v>Cabin Air Filter</v>
          </cell>
        </row>
        <row r="692">
          <cell r="K692" t="str">
            <v>LFF3540</v>
          </cell>
          <cell r="L692" t="str">
            <v>HD</v>
          </cell>
          <cell r="M692" t="str">
            <v>x</v>
          </cell>
          <cell r="N692" t="e">
            <v>#N/A</v>
          </cell>
          <cell r="O692" t="str">
            <v>Spin-on Fuel Water Separator Filter</v>
          </cell>
        </row>
        <row r="693">
          <cell r="K693" t="str">
            <v>LFH1702</v>
          </cell>
          <cell r="L693" t="str">
            <v>HD</v>
          </cell>
          <cell r="M693" t="str">
            <v>x</v>
          </cell>
          <cell r="N693" t="e">
            <v>#N/A</v>
          </cell>
          <cell r="O693" t="str">
            <v>Spin-on Hydraulic Filter</v>
          </cell>
        </row>
        <row r="694">
          <cell r="K694" t="str">
            <v>LAF71</v>
          </cell>
          <cell r="L694" t="str">
            <v>HD</v>
          </cell>
          <cell r="M694" t="str">
            <v>x</v>
          </cell>
          <cell r="N694" t="e">
            <v>#N/A</v>
          </cell>
          <cell r="O694" t="str">
            <v>HD Metal-End Air Filter</v>
          </cell>
        </row>
        <row r="695">
          <cell r="K695" t="str">
            <v>L552F</v>
          </cell>
          <cell r="L695" t="str">
            <v>HD</v>
          </cell>
          <cell r="M695" t="str">
            <v>x</v>
          </cell>
          <cell r="N695" t="e">
            <v>#N/A</v>
          </cell>
          <cell r="O695" t="str">
            <v>Cartridge Fuel Filter</v>
          </cell>
        </row>
        <row r="696">
          <cell r="K696" t="str">
            <v>750CT</v>
          </cell>
          <cell r="L696" t="str">
            <v>HD</v>
          </cell>
          <cell r="M696" t="str">
            <v>x</v>
          </cell>
          <cell r="N696" t="e">
            <v>#N/A</v>
          </cell>
          <cell r="O696" t="str">
            <v>Diesel Unit Universal Mount Filter 750-CT</v>
          </cell>
        </row>
        <row r="697">
          <cell r="K697" t="str">
            <v>LFP5214</v>
          </cell>
          <cell r="L697" t="str">
            <v>HD</v>
          </cell>
          <cell r="M697" t="str">
            <v>x</v>
          </cell>
          <cell r="N697" t="e">
            <v>#N/A</v>
          </cell>
          <cell r="O697" t="str">
            <v>Spin-on Oil Filter</v>
          </cell>
        </row>
        <row r="698">
          <cell r="K698" t="str">
            <v>LH4589G</v>
          </cell>
          <cell r="L698" t="str">
            <v>HD</v>
          </cell>
          <cell r="M698" t="str">
            <v>x</v>
          </cell>
          <cell r="N698" t="e">
            <v>#N/A</v>
          </cell>
          <cell r="O698" t="str">
            <v>Cartridge Power Steering (Hydraulic) Filter</v>
          </cell>
        </row>
        <row r="699">
          <cell r="K699" t="str">
            <v>LH5001</v>
          </cell>
          <cell r="L699" t="str">
            <v>HD</v>
          </cell>
          <cell r="M699" t="str">
            <v>x</v>
          </cell>
          <cell r="N699" t="e">
            <v>#N/A</v>
          </cell>
          <cell r="O699" t="str">
            <v>Cartridge Hydraulic Filter</v>
          </cell>
        </row>
        <row r="700">
          <cell r="K700" t="str">
            <v>LFP3712</v>
          </cell>
          <cell r="L700" t="str">
            <v>HD</v>
          </cell>
          <cell r="M700" t="str">
            <v>x</v>
          </cell>
          <cell r="N700" t="e">
            <v>#N/A</v>
          </cell>
          <cell r="O700" t="str">
            <v>Spin-on Oil Filter</v>
          </cell>
        </row>
        <row r="701">
          <cell r="K701" t="str">
            <v>LH1145</v>
          </cell>
          <cell r="L701" t="str">
            <v>HD</v>
          </cell>
          <cell r="M701" t="str">
            <v>x</v>
          </cell>
          <cell r="N701" t="e">
            <v>#N/A</v>
          </cell>
          <cell r="O701" t="str">
            <v>Cartridge Power Steering (Hydraulic) Filter</v>
          </cell>
        </row>
        <row r="702">
          <cell r="K702" t="str">
            <v>LFF3581</v>
          </cell>
          <cell r="L702" t="str">
            <v>HD</v>
          </cell>
          <cell r="M702" t="str">
            <v>x</v>
          </cell>
          <cell r="N702" t="e">
            <v>#N/A</v>
          </cell>
          <cell r="O702" t="str">
            <v>Spin-on Fuel Water Separator Filter</v>
          </cell>
        </row>
        <row r="703">
          <cell r="K703" t="str">
            <v>LFF9737</v>
          </cell>
          <cell r="L703" t="str">
            <v>HD</v>
          </cell>
          <cell r="M703" t="str">
            <v>x</v>
          </cell>
          <cell r="N703" t="e">
            <v>#N/A</v>
          </cell>
          <cell r="O703" t="str">
            <v>Bowl Style Fuel Water Separator Filter</v>
          </cell>
        </row>
        <row r="704">
          <cell r="K704" t="str">
            <v>LMB900</v>
          </cell>
          <cell r="L704" t="str">
            <v>HD</v>
          </cell>
          <cell r="M704" t="str">
            <v>x</v>
          </cell>
          <cell r="N704" t="str">
            <v>LMB900</v>
          </cell>
          <cell r="O704" t="str">
            <v>Mounting Base for LFF5, LFF5D, LFF1000, LFF1001, LFF1003, LFF2749, LFF5823B, LFF8000, LFF8707, and LFP440F. 1x14 mounting threads and 7/8 x 14 inlet and outlet.</v>
          </cell>
        </row>
        <row r="705">
          <cell r="K705" t="str">
            <v>LFP2248</v>
          </cell>
          <cell r="L705" t="str">
            <v>HD</v>
          </cell>
          <cell r="M705" t="str">
            <v>x</v>
          </cell>
          <cell r="N705" t="e">
            <v>#N/A</v>
          </cell>
          <cell r="O705" t="str">
            <v>Spin-on Oil Filter</v>
          </cell>
        </row>
        <row r="706">
          <cell r="K706" t="str">
            <v>LAF9000</v>
          </cell>
          <cell r="L706" t="str">
            <v>HD</v>
          </cell>
          <cell r="M706" t="str">
            <v>x</v>
          </cell>
          <cell r="N706" t="e">
            <v>#N/A</v>
          </cell>
          <cell r="O706" t="str">
            <v>HD Metal-End Air Filter</v>
          </cell>
        </row>
        <row r="707">
          <cell r="K707" t="str">
            <v>LP50910</v>
          </cell>
          <cell r="L707" t="str">
            <v>HD</v>
          </cell>
          <cell r="M707" t="str">
            <v>x</v>
          </cell>
          <cell r="N707" t="e">
            <v>#N/A</v>
          </cell>
          <cell r="O707" t="str">
            <v>Cartridge Hydraulic Filter</v>
          </cell>
        </row>
        <row r="708">
          <cell r="K708" t="str">
            <v>LFF9897</v>
          </cell>
          <cell r="L708" t="str">
            <v>HD</v>
          </cell>
          <cell r="M708" t="str">
            <v>x</v>
          </cell>
          <cell r="N708" t="e">
            <v>#N/A</v>
          </cell>
          <cell r="O708" t="str">
            <v>HD Fuel Spin-on Filter</v>
          </cell>
        </row>
        <row r="709">
          <cell r="K709" t="str">
            <v>L3103F</v>
          </cell>
          <cell r="L709" t="str">
            <v>HD</v>
          </cell>
          <cell r="M709" t="str">
            <v>x</v>
          </cell>
          <cell r="N709" t="e">
            <v>#N/A</v>
          </cell>
          <cell r="O709" t="str">
            <v>Snap-lock Fuel/Water Separator Filter</v>
          </cell>
        </row>
        <row r="710">
          <cell r="K710" t="str">
            <v>FP1127F</v>
          </cell>
          <cell r="L710" t="str">
            <v>HD</v>
          </cell>
          <cell r="M710" t="str">
            <v>x</v>
          </cell>
          <cell r="N710" t="e">
            <v>#N/A</v>
          </cell>
          <cell r="O710" t="str">
            <v>Spin-on Fuel Filter</v>
          </cell>
        </row>
        <row r="711">
          <cell r="K711" t="str">
            <v>LFF5824B</v>
          </cell>
          <cell r="L711" t="str">
            <v>HD</v>
          </cell>
          <cell r="M711" t="str">
            <v>x</v>
          </cell>
          <cell r="N711" t="e">
            <v>#N/A</v>
          </cell>
          <cell r="O711" t="str">
            <v>Bowl Style Fuel Water Separator Filter</v>
          </cell>
        </row>
        <row r="712">
          <cell r="K712" t="str">
            <v>LFF3554</v>
          </cell>
          <cell r="L712" t="str">
            <v>HD</v>
          </cell>
          <cell r="M712" t="str">
            <v>x</v>
          </cell>
          <cell r="N712" t="e">
            <v>#N/A</v>
          </cell>
          <cell r="O712" t="str">
            <v>Spin-on Fuel Filter</v>
          </cell>
        </row>
        <row r="713">
          <cell r="K713" t="str">
            <v>LFH4471</v>
          </cell>
          <cell r="L713" t="str">
            <v>HD</v>
          </cell>
          <cell r="M713" t="str">
            <v>x</v>
          </cell>
          <cell r="N713" t="e">
            <v>#N/A</v>
          </cell>
          <cell r="O713" t="str">
            <v>Spin-on Hydraulic Filter</v>
          </cell>
        </row>
        <row r="714">
          <cell r="K714" t="str">
            <v>LFF7689</v>
          </cell>
          <cell r="L714" t="str">
            <v>HD</v>
          </cell>
          <cell r="M714" t="str">
            <v>x</v>
          </cell>
          <cell r="N714" t="e">
            <v>#N/A</v>
          </cell>
          <cell r="O714" t="str">
            <v>Spin-on Fuel Water Separator Filter</v>
          </cell>
        </row>
        <row r="715">
          <cell r="K715" t="str">
            <v>LK109M</v>
          </cell>
          <cell r="L715" t="str">
            <v>HD</v>
          </cell>
          <cell r="M715" t="str">
            <v>x</v>
          </cell>
          <cell r="N715" t="e">
            <v>#N/A</v>
          </cell>
          <cell r="O715" t="str">
            <v>Mack Engine Maintenance Kit</v>
          </cell>
        </row>
        <row r="716">
          <cell r="K716">
            <v>3566</v>
          </cell>
          <cell r="L716" t="str">
            <v>HD</v>
          </cell>
          <cell r="M716" t="str">
            <v>x</v>
          </cell>
          <cell r="N716" t="e">
            <v>#N/A</v>
          </cell>
          <cell r="O716" t="str">
            <v>Clamping Ring Assembly/500-C, 750-C, CT, 2C, 3C</v>
          </cell>
        </row>
        <row r="717">
          <cell r="K717" t="str">
            <v>LFP9025XL</v>
          </cell>
          <cell r="L717" t="str">
            <v>HD</v>
          </cell>
          <cell r="M717" t="str">
            <v>x</v>
          </cell>
          <cell r="N717" t="e">
            <v>#N/A</v>
          </cell>
          <cell r="O717" t="str">
            <v>Extended Life Spin-on Oil Filter</v>
          </cell>
        </row>
        <row r="718">
          <cell r="K718" t="str">
            <v>L274F</v>
          </cell>
          <cell r="L718" t="str">
            <v>HD</v>
          </cell>
          <cell r="M718" t="str">
            <v>x</v>
          </cell>
          <cell r="N718" t="e">
            <v>#N/A</v>
          </cell>
          <cell r="O718" t="str">
            <v>Cartridge Fuel Filter</v>
          </cell>
        </row>
        <row r="719">
          <cell r="K719" t="str">
            <v>LFH4428</v>
          </cell>
          <cell r="L719" t="str">
            <v>HD</v>
          </cell>
          <cell r="M719" t="str">
            <v>x</v>
          </cell>
          <cell r="N719" t="e">
            <v>#N/A</v>
          </cell>
          <cell r="O719" t="str">
            <v>Spin-on Hydraulic Filter</v>
          </cell>
        </row>
        <row r="720">
          <cell r="K720" t="str">
            <v>LFF8255</v>
          </cell>
          <cell r="L720" t="str">
            <v>HD</v>
          </cell>
          <cell r="M720" t="str">
            <v>x</v>
          </cell>
          <cell r="N720" t="e">
            <v>#N/A</v>
          </cell>
          <cell r="O720" t="str">
            <v>Spin-on Fuel Water Separator Filter</v>
          </cell>
        </row>
        <row r="721">
          <cell r="K721" t="str">
            <v>LAF1833</v>
          </cell>
          <cell r="L721" t="str">
            <v>HD</v>
          </cell>
          <cell r="M721" t="str">
            <v>x</v>
          </cell>
          <cell r="N721" t="str">
            <v>LAF1833</v>
          </cell>
          <cell r="O721" t="str">
            <v>Disposible Housing Air Filter</v>
          </cell>
        </row>
        <row r="722">
          <cell r="K722" t="str">
            <v>LFH8705</v>
          </cell>
          <cell r="L722" t="str">
            <v>HD</v>
          </cell>
          <cell r="M722" t="str">
            <v>x</v>
          </cell>
          <cell r="N722" t="e">
            <v>#N/A</v>
          </cell>
          <cell r="O722" t="str">
            <v>Spin-on Hydraulic Filter</v>
          </cell>
        </row>
        <row r="723">
          <cell r="K723" t="str">
            <v>LAF8097</v>
          </cell>
          <cell r="L723" t="str">
            <v>HD</v>
          </cell>
          <cell r="M723" t="str">
            <v>x</v>
          </cell>
          <cell r="N723" t="e">
            <v>#N/A</v>
          </cell>
          <cell r="O723" t="str">
            <v>Round Air Filter</v>
          </cell>
        </row>
        <row r="724">
          <cell r="K724" t="str">
            <v>LFF937</v>
          </cell>
          <cell r="L724" t="str">
            <v>HD</v>
          </cell>
          <cell r="M724" t="str">
            <v>x</v>
          </cell>
          <cell r="N724" t="e">
            <v>#N/A</v>
          </cell>
          <cell r="O724" t="str">
            <v>Spin-on Fuel Filter</v>
          </cell>
        </row>
        <row r="725">
          <cell r="K725" t="str">
            <v>LAF5568</v>
          </cell>
          <cell r="L725" t="str">
            <v>HD</v>
          </cell>
          <cell r="M725" t="str">
            <v>x</v>
          </cell>
          <cell r="N725" t="e">
            <v>#N/A</v>
          </cell>
          <cell r="O725" t="str">
            <v>Radial Seal Outer Air Filter</v>
          </cell>
        </row>
        <row r="726">
          <cell r="K726" t="str">
            <v>LAF9332</v>
          </cell>
          <cell r="L726" t="str">
            <v>HD</v>
          </cell>
          <cell r="M726" t="str">
            <v>x</v>
          </cell>
          <cell r="N726" t="e">
            <v>#N/A</v>
          </cell>
          <cell r="O726" t="str">
            <v>Radial Seal Inner Air Filter</v>
          </cell>
        </row>
        <row r="727">
          <cell r="K727" t="str">
            <v>LAF4499</v>
          </cell>
          <cell r="L727" t="str">
            <v>HD</v>
          </cell>
          <cell r="M727" t="str">
            <v>x</v>
          </cell>
          <cell r="N727" t="e">
            <v>#N/A</v>
          </cell>
          <cell r="O727" t="str">
            <v>Radial Seal Outer Air Filter</v>
          </cell>
        </row>
        <row r="728">
          <cell r="K728" t="str">
            <v>LAF8668</v>
          </cell>
          <cell r="L728" t="str">
            <v>HD</v>
          </cell>
          <cell r="M728" t="str">
            <v>x</v>
          </cell>
          <cell r="N728" t="e">
            <v>#N/A</v>
          </cell>
          <cell r="O728" t="str">
            <v>Finned Vane Air Filter</v>
          </cell>
        </row>
        <row r="729">
          <cell r="K729" t="str">
            <v>LFF5226</v>
          </cell>
          <cell r="L729" t="str">
            <v>HD</v>
          </cell>
          <cell r="M729" t="str">
            <v>x</v>
          </cell>
          <cell r="N729" t="e">
            <v>#N/A</v>
          </cell>
          <cell r="O729" t="str">
            <v>Cartridge Fuel Filter</v>
          </cell>
        </row>
        <row r="730">
          <cell r="K730" t="str">
            <v>LAF5761</v>
          </cell>
          <cell r="L730" t="str">
            <v>HD</v>
          </cell>
          <cell r="M730" t="str">
            <v>x</v>
          </cell>
          <cell r="N730" t="e">
            <v>#N/A</v>
          </cell>
          <cell r="O730" t="str">
            <v>Radial Seal Outer Air Filter</v>
          </cell>
        </row>
        <row r="731">
          <cell r="K731" t="str">
            <v>LAF1725</v>
          </cell>
          <cell r="L731" t="str">
            <v>HD</v>
          </cell>
          <cell r="M731" t="str">
            <v>x</v>
          </cell>
          <cell r="N731" t="e">
            <v>#N/A</v>
          </cell>
          <cell r="O731" t="str">
            <v>Round Inner Air Filter</v>
          </cell>
        </row>
        <row r="732">
          <cell r="K732" t="str">
            <v>LAF263HD</v>
          </cell>
          <cell r="L732" t="str">
            <v>HD</v>
          </cell>
          <cell r="M732" t="str">
            <v>x</v>
          </cell>
          <cell r="N732" t="e">
            <v>#N/A</v>
          </cell>
          <cell r="O732" t="str">
            <v>HD Metal-End Air Filter</v>
          </cell>
        </row>
        <row r="733">
          <cell r="K733" t="str">
            <v>LFH8324</v>
          </cell>
          <cell r="L733" t="str">
            <v>HD</v>
          </cell>
          <cell r="M733" t="str">
            <v>x</v>
          </cell>
          <cell r="N733" t="str">
            <v>LFH8324</v>
          </cell>
          <cell r="O733" t="str">
            <v>Spin-on Hydraulic Filter</v>
          </cell>
        </row>
        <row r="734">
          <cell r="K734" t="str">
            <v>LH5843</v>
          </cell>
          <cell r="L734" t="str">
            <v>HD</v>
          </cell>
          <cell r="M734" t="str">
            <v>x</v>
          </cell>
          <cell r="N734" t="e">
            <v>#N/A</v>
          </cell>
          <cell r="O734" t="str">
            <v>Cartridge Hydraulic Filter</v>
          </cell>
        </row>
        <row r="735">
          <cell r="K735" t="str">
            <v>LAF3947</v>
          </cell>
          <cell r="L735" t="str">
            <v>HD</v>
          </cell>
          <cell r="M735" t="str">
            <v>x</v>
          </cell>
          <cell r="N735" t="e">
            <v>#N/A</v>
          </cell>
          <cell r="O735" t="str">
            <v>Radial Seal Outer Air Filter</v>
          </cell>
        </row>
        <row r="736">
          <cell r="K736" t="str">
            <v>LFH8726</v>
          </cell>
          <cell r="L736" t="str">
            <v>HD</v>
          </cell>
          <cell r="M736" t="str">
            <v>x</v>
          </cell>
          <cell r="N736" t="str">
            <v>LFH8726</v>
          </cell>
          <cell r="O736" t="str">
            <v>Spin-on Hydraulic Filter</v>
          </cell>
        </row>
        <row r="737">
          <cell r="K737" t="str">
            <v>LAF8686</v>
          </cell>
          <cell r="L737" t="str">
            <v>HD</v>
          </cell>
          <cell r="M737" t="str">
            <v>x</v>
          </cell>
          <cell r="N737" t="e">
            <v>#N/A</v>
          </cell>
          <cell r="O737" t="str">
            <v>HD Metal-End Air Filter-Inner</v>
          </cell>
        </row>
        <row r="738">
          <cell r="K738" t="str">
            <v>LFF5956</v>
          </cell>
          <cell r="L738" t="str">
            <v>HD</v>
          </cell>
          <cell r="M738" t="str">
            <v>x</v>
          </cell>
          <cell r="N738" t="e">
            <v>#N/A</v>
          </cell>
          <cell r="O738" t="str">
            <v>Spin-on Fuel Filter</v>
          </cell>
        </row>
        <row r="739">
          <cell r="K739" t="str">
            <v>LP2307</v>
          </cell>
          <cell r="L739" t="str">
            <v>HD</v>
          </cell>
          <cell r="M739" t="str">
            <v>x</v>
          </cell>
          <cell r="N739" t="e">
            <v>#N/A</v>
          </cell>
          <cell r="O739" t="str">
            <v>Cartridge Hydraulic Filter</v>
          </cell>
        </row>
        <row r="740">
          <cell r="K740" t="str">
            <v>LAF9155</v>
          </cell>
          <cell r="L740" t="str">
            <v>HD</v>
          </cell>
          <cell r="M740" t="str">
            <v>x</v>
          </cell>
          <cell r="N740" t="e">
            <v>#N/A</v>
          </cell>
          <cell r="O740" t="str">
            <v>HD Metal-End Air Filter</v>
          </cell>
        </row>
        <row r="741">
          <cell r="K741" t="str">
            <v>LAF4601</v>
          </cell>
          <cell r="L741" t="str">
            <v>HD</v>
          </cell>
          <cell r="M741" t="str">
            <v>x</v>
          </cell>
          <cell r="N741" t="e">
            <v>#N/A</v>
          </cell>
          <cell r="O741" t="str">
            <v>Radial Seal Outer Air Filter</v>
          </cell>
        </row>
        <row r="742">
          <cell r="K742" t="str">
            <v>LFF1537</v>
          </cell>
          <cell r="L742" t="str">
            <v>HD</v>
          </cell>
          <cell r="M742" t="str">
            <v>x</v>
          </cell>
          <cell r="N742" t="e">
            <v>#N/A</v>
          </cell>
          <cell r="O742" t="str">
            <v>Spin-on Fuel Filter</v>
          </cell>
        </row>
        <row r="743">
          <cell r="K743" t="str">
            <v>LFP950</v>
          </cell>
          <cell r="L743" t="str">
            <v>HD</v>
          </cell>
          <cell r="M743" t="str">
            <v>x</v>
          </cell>
          <cell r="N743" t="e">
            <v>#N/A</v>
          </cell>
          <cell r="O743" t="str">
            <v>Spin-on Oil Filter</v>
          </cell>
        </row>
        <row r="744">
          <cell r="K744" t="str">
            <v>LFF5423</v>
          </cell>
          <cell r="L744" t="str">
            <v>HD</v>
          </cell>
          <cell r="M744" t="str">
            <v>x</v>
          </cell>
          <cell r="N744" t="e">
            <v>#N/A</v>
          </cell>
          <cell r="O744" t="str">
            <v>Spin-on Fuel Filter</v>
          </cell>
        </row>
        <row r="745">
          <cell r="K745" t="str">
            <v>LFF6963</v>
          </cell>
          <cell r="L745" t="str">
            <v>HD</v>
          </cell>
          <cell r="M745" t="str">
            <v>x</v>
          </cell>
          <cell r="N745" t="e">
            <v>#N/A</v>
          </cell>
          <cell r="O745" t="str">
            <v>Spin-on Fuel Filter</v>
          </cell>
        </row>
        <row r="746">
          <cell r="K746" t="str">
            <v>LAF8002</v>
          </cell>
          <cell r="L746" t="str">
            <v>HD</v>
          </cell>
          <cell r="M746" t="str">
            <v>x</v>
          </cell>
          <cell r="N746" t="e">
            <v>#N/A</v>
          </cell>
          <cell r="O746" t="str">
            <v>Disposible Housing Air Filter</v>
          </cell>
        </row>
        <row r="747">
          <cell r="K747" t="str">
            <v>LH8755</v>
          </cell>
          <cell r="L747" t="str">
            <v>HD</v>
          </cell>
          <cell r="M747" t="str">
            <v>x</v>
          </cell>
          <cell r="N747" t="e">
            <v>#N/A</v>
          </cell>
          <cell r="O747" t="str">
            <v>Spin-on Hydraulic Filter</v>
          </cell>
        </row>
        <row r="748">
          <cell r="K748" t="str">
            <v>LFH4933</v>
          </cell>
          <cell r="L748" t="str">
            <v>HD</v>
          </cell>
          <cell r="M748" t="str">
            <v>x</v>
          </cell>
          <cell r="N748" t="e">
            <v>#N/A</v>
          </cell>
          <cell r="O748" t="str">
            <v>Spin-on Hydraulic Filter</v>
          </cell>
        </row>
        <row r="749">
          <cell r="K749" t="str">
            <v>PH710</v>
          </cell>
          <cell r="L749" t="str">
            <v>HD</v>
          </cell>
          <cell r="N749" t="e">
            <v>#N/A</v>
          </cell>
          <cell r="O749" t="str">
            <v>Spin-on Oil Filter</v>
          </cell>
        </row>
        <row r="750">
          <cell r="K750" t="str">
            <v>LAF6125</v>
          </cell>
          <cell r="L750" t="str">
            <v>HD</v>
          </cell>
          <cell r="M750" t="str">
            <v>x</v>
          </cell>
          <cell r="N750" t="e">
            <v>#N/A</v>
          </cell>
          <cell r="O750" t="str">
            <v>Radial Seal Inner Air Filter</v>
          </cell>
        </row>
        <row r="751">
          <cell r="K751" t="str">
            <v>LFH8294</v>
          </cell>
          <cell r="L751" t="str">
            <v>HD</v>
          </cell>
          <cell r="M751" t="str">
            <v>x</v>
          </cell>
          <cell r="N751" t="e">
            <v>#N/A</v>
          </cell>
          <cell r="O751" t="str">
            <v>Spin-on Hydraulic Filter</v>
          </cell>
        </row>
        <row r="752">
          <cell r="K752" t="str">
            <v>LH5049</v>
          </cell>
          <cell r="L752" t="str">
            <v>HD</v>
          </cell>
          <cell r="M752" t="str">
            <v>x</v>
          </cell>
          <cell r="N752" t="e">
            <v>#N/A</v>
          </cell>
          <cell r="O752" t="str">
            <v>Cartridge Hydraulic Filter</v>
          </cell>
        </row>
        <row r="753">
          <cell r="K753" t="str">
            <v>LAF3535A</v>
          </cell>
          <cell r="L753" t="str">
            <v>HD</v>
          </cell>
          <cell r="M753" t="str">
            <v>x</v>
          </cell>
          <cell r="N753" t="e">
            <v>#N/A</v>
          </cell>
          <cell r="O753" t="str">
            <v>HD Metal-End Air Filter</v>
          </cell>
        </row>
        <row r="754">
          <cell r="K754" t="str">
            <v>LAF120A</v>
          </cell>
          <cell r="L754" t="str">
            <v>HD</v>
          </cell>
          <cell r="M754" t="str">
            <v>x</v>
          </cell>
          <cell r="N754" t="e">
            <v>#N/A</v>
          </cell>
          <cell r="O754" t="str">
            <v>HD Metal-End Air Filter</v>
          </cell>
        </row>
        <row r="755">
          <cell r="K755" t="str">
            <v>LFH22007</v>
          </cell>
          <cell r="L755" t="str">
            <v>HD</v>
          </cell>
          <cell r="M755" t="str">
            <v>x</v>
          </cell>
          <cell r="N755" t="e">
            <v>#N/A</v>
          </cell>
          <cell r="O755" t="str">
            <v>Spin-on Hydraulic Filter</v>
          </cell>
        </row>
        <row r="756">
          <cell r="K756" t="str">
            <v>LFF3257</v>
          </cell>
          <cell r="L756" t="str">
            <v>HD</v>
          </cell>
          <cell r="M756" t="str">
            <v>x</v>
          </cell>
          <cell r="N756" t="e">
            <v>#N/A</v>
          </cell>
          <cell r="O756" t="str">
            <v>Spin-on Fuel Filter</v>
          </cell>
        </row>
        <row r="757">
          <cell r="K757" t="str">
            <v>LFP3050</v>
          </cell>
          <cell r="L757" t="str">
            <v>HD</v>
          </cell>
          <cell r="M757" t="str">
            <v>x</v>
          </cell>
          <cell r="N757" t="e">
            <v>#N/A</v>
          </cell>
          <cell r="O757" t="str">
            <v>Spin-on Oil Filter</v>
          </cell>
        </row>
        <row r="758">
          <cell r="K758" t="str">
            <v>L3524F</v>
          </cell>
          <cell r="L758" t="str">
            <v>HD</v>
          </cell>
          <cell r="M758" t="str">
            <v>x</v>
          </cell>
          <cell r="N758" t="e">
            <v>#N/A</v>
          </cell>
          <cell r="O758" t="str">
            <v>Cartridge Fuel Filter</v>
          </cell>
        </row>
        <row r="759">
          <cell r="K759" t="str">
            <v>LFF4812D</v>
          </cell>
          <cell r="L759" t="str">
            <v>HD</v>
          </cell>
          <cell r="M759" t="str">
            <v>x</v>
          </cell>
          <cell r="N759" t="e">
            <v>#N/A</v>
          </cell>
          <cell r="O759" t="str">
            <v>Spin-on Fuel Filter</v>
          </cell>
        </row>
        <row r="760">
          <cell r="K760" t="str">
            <v>LAF1840</v>
          </cell>
          <cell r="L760" t="str">
            <v>HD</v>
          </cell>
          <cell r="M760" t="str">
            <v>x</v>
          </cell>
          <cell r="N760" t="e">
            <v>#N/A</v>
          </cell>
          <cell r="O760" t="str">
            <v>HD Metal-End Inner Air Filter</v>
          </cell>
        </row>
        <row r="761">
          <cell r="K761" t="str">
            <v>L2020FN-30</v>
          </cell>
          <cell r="L761" t="str">
            <v>HD</v>
          </cell>
          <cell r="M761" t="str">
            <v>x</v>
          </cell>
          <cell r="N761" t="e">
            <v>#N/A</v>
          </cell>
          <cell r="O761" t="str">
            <v>Cartridge Fuel Water Separator Filter</v>
          </cell>
        </row>
        <row r="762">
          <cell r="K762" t="str">
            <v>LAF9100</v>
          </cell>
          <cell r="L762" t="str">
            <v>HD</v>
          </cell>
          <cell r="M762" t="str">
            <v>x</v>
          </cell>
          <cell r="N762" t="e">
            <v>#N/A</v>
          </cell>
          <cell r="O762" t="str">
            <v>Radial Seal Inner Air Filter</v>
          </cell>
        </row>
        <row r="763">
          <cell r="K763" t="str">
            <v>LFH8329</v>
          </cell>
          <cell r="L763" t="str">
            <v>HD</v>
          </cell>
          <cell r="M763" t="str">
            <v>x</v>
          </cell>
          <cell r="N763" t="e">
            <v>#N/A</v>
          </cell>
          <cell r="O763" t="str">
            <v>Spin-on Hydraulic Filter</v>
          </cell>
        </row>
        <row r="764">
          <cell r="K764" t="str">
            <v>LFP880</v>
          </cell>
          <cell r="L764" t="str">
            <v>HD</v>
          </cell>
          <cell r="M764" t="str">
            <v>x</v>
          </cell>
          <cell r="N764" t="e">
            <v>#N/A</v>
          </cell>
          <cell r="O764" t="str">
            <v>Spin-on Oil Filter</v>
          </cell>
        </row>
        <row r="765">
          <cell r="K765" t="str">
            <v>LFP255F</v>
          </cell>
          <cell r="L765" t="str">
            <v>HD</v>
          </cell>
          <cell r="M765" t="str">
            <v>x</v>
          </cell>
          <cell r="N765" t="e">
            <v>#N/A</v>
          </cell>
          <cell r="O765" t="str">
            <v>Spin-on Fuel Filter</v>
          </cell>
        </row>
        <row r="766">
          <cell r="K766" t="str">
            <v>LFP3411</v>
          </cell>
          <cell r="L766" t="str">
            <v>HD</v>
          </cell>
          <cell r="M766" t="str">
            <v>x</v>
          </cell>
          <cell r="N766" t="e">
            <v>#N/A</v>
          </cell>
          <cell r="O766" t="str">
            <v>Spin-on Oil Filter</v>
          </cell>
        </row>
        <row r="767">
          <cell r="K767" t="str">
            <v>LFH8876</v>
          </cell>
          <cell r="L767" t="str">
            <v>HD</v>
          </cell>
          <cell r="M767" t="str">
            <v>x</v>
          </cell>
          <cell r="N767" t="e">
            <v>#N/A</v>
          </cell>
          <cell r="O767" t="str">
            <v>Spin-on Hydraulic Filter</v>
          </cell>
        </row>
        <row r="768">
          <cell r="K768" t="str">
            <v>LAF8550</v>
          </cell>
          <cell r="L768" t="str">
            <v>HD</v>
          </cell>
          <cell r="M768" t="str">
            <v>x</v>
          </cell>
          <cell r="N768" t="e">
            <v>#N/A</v>
          </cell>
          <cell r="O768" t="str">
            <v>HD Metal-End Air Filter</v>
          </cell>
        </row>
        <row r="769">
          <cell r="K769" t="str">
            <v>LFH4636</v>
          </cell>
          <cell r="L769" t="str">
            <v>HD</v>
          </cell>
          <cell r="M769" t="str">
            <v>x</v>
          </cell>
          <cell r="N769" t="e">
            <v>#N/A</v>
          </cell>
          <cell r="O769" t="str">
            <v>Cartridge hydraulic filter</v>
          </cell>
        </row>
        <row r="770">
          <cell r="K770" t="str">
            <v>LFF4511W</v>
          </cell>
          <cell r="L770" t="str">
            <v>HD</v>
          </cell>
          <cell r="M770" t="str">
            <v>x</v>
          </cell>
          <cell r="N770" t="e">
            <v>#N/A</v>
          </cell>
          <cell r="O770" t="str">
            <v>Fuel Dispensing Filter</v>
          </cell>
        </row>
        <row r="771">
          <cell r="K771" t="str">
            <v>LAF4602</v>
          </cell>
          <cell r="L771" t="str">
            <v>HD</v>
          </cell>
          <cell r="M771" t="str">
            <v>x</v>
          </cell>
          <cell r="N771" t="e">
            <v>#N/A</v>
          </cell>
          <cell r="O771" t="str">
            <v>Radial Seal Inner Air Filter</v>
          </cell>
        </row>
        <row r="772">
          <cell r="K772" t="str">
            <v>LP6061</v>
          </cell>
          <cell r="L772" t="str">
            <v>HD</v>
          </cell>
          <cell r="M772" t="str">
            <v>x</v>
          </cell>
          <cell r="N772" t="e">
            <v>#N/A</v>
          </cell>
          <cell r="O772" t="str">
            <v>Cartridge Oil Filter</v>
          </cell>
        </row>
        <row r="773">
          <cell r="K773" t="str">
            <v>LFH9347</v>
          </cell>
          <cell r="L773" t="str">
            <v>HD</v>
          </cell>
          <cell r="M773" t="str">
            <v>x</v>
          </cell>
          <cell r="N773" t="e">
            <v>#N/A</v>
          </cell>
          <cell r="O773" t="str">
            <v>Spin-on Hydraulic Filter</v>
          </cell>
        </row>
        <row r="774">
          <cell r="K774" t="str">
            <v>L2021F-30</v>
          </cell>
          <cell r="L774" t="str">
            <v>HD</v>
          </cell>
          <cell r="M774" t="str">
            <v>x</v>
          </cell>
          <cell r="N774" t="e">
            <v>#N/A</v>
          </cell>
          <cell r="O774" t="str">
            <v>Cartridge Fuel Filter</v>
          </cell>
        </row>
        <row r="775">
          <cell r="K775" t="str">
            <v>LFH22005</v>
          </cell>
          <cell r="L775" t="str">
            <v>HD</v>
          </cell>
          <cell r="M775" t="str">
            <v>x</v>
          </cell>
          <cell r="N775" t="e">
            <v>#N/A</v>
          </cell>
          <cell r="O775" t="str">
            <v>Spin-on Hydraulic Filter</v>
          </cell>
        </row>
        <row r="776">
          <cell r="K776" t="str">
            <v>LFP9750</v>
          </cell>
          <cell r="L776" t="str">
            <v>HD</v>
          </cell>
          <cell r="M776" t="str">
            <v>x</v>
          </cell>
          <cell r="N776" t="e">
            <v>#N/A</v>
          </cell>
          <cell r="O776" t="str">
            <v>Spin-on Oil Filter</v>
          </cell>
        </row>
        <row r="777">
          <cell r="K777" t="str">
            <v>LAF3814</v>
          </cell>
          <cell r="L777" t="str">
            <v>HD</v>
          </cell>
          <cell r="M777" t="str">
            <v>x</v>
          </cell>
          <cell r="N777" t="e">
            <v>#N/A</v>
          </cell>
          <cell r="O777" t="str">
            <v>Radial Seal Outer Air Filter</v>
          </cell>
        </row>
        <row r="778">
          <cell r="K778" t="str">
            <v>LFF6771SC</v>
          </cell>
          <cell r="L778" t="str">
            <v>HD</v>
          </cell>
          <cell r="M778" t="str">
            <v>x</v>
          </cell>
          <cell r="N778" t="e">
            <v>#N/A</v>
          </cell>
          <cell r="O778" t="str">
            <v>Spin-on Fuel Filter</v>
          </cell>
        </row>
        <row r="779">
          <cell r="K779" t="str">
            <v>LWHB4861</v>
          </cell>
          <cell r="L779" t="str">
            <v>HD</v>
          </cell>
          <cell r="M779" t="str">
            <v>x</v>
          </cell>
          <cell r="N779" t="e">
            <v>#N/A</v>
          </cell>
          <cell r="O779" t="str">
            <v>Coolant Filter Mounting Base with bracket for coolant filters with 11/16" threads.</v>
          </cell>
        </row>
        <row r="780">
          <cell r="K780" t="str">
            <v>LAF6998</v>
          </cell>
          <cell r="L780" t="str">
            <v>HD</v>
          </cell>
          <cell r="M780" t="str">
            <v>x</v>
          </cell>
          <cell r="N780" t="e">
            <v>#N/A</v>
          </cell>
          <cell r="O780" t="str">
            <v>Radial Seal Air Filter (Primary)</v>
          </cell>
        </row>
        <row r="781">
          <cell r="K781" t="str">
            <v>LAF388</v>
          </cell>
          <cell r="L781" t="str">
            <v>HD</v>
          </cell>
          <cell r="M781" t="str">
            <v>x</v>
          </cell>
          <cell r="N781" t="e">
            <v>#N/A</v>
          </cell>
          <cell r="O781" t="str">
            <v>Round Air Filter</v>
          </cell>
        </row>
        <row r="782">
          <cell r="K782" t="str">
            <v>LAF8003</v>
          </cell>
          <cell r="L782" t="str">
            <v>HD</v>
          </cell>
          <cell r="M782" t="str">
            <v>x</v>
          </cell>
          <cell r="N782" t="e">
            <v>#N/A</v>
          </cell>
          <cell r="O782" t="str">
            <v>Disposible Housing Air Filter</v>
          </cell>
        </row>
        <row r="783">
          <cell r="K783" t="str">
            <v>LAF3700</v>
          </cell>
          <cell r="L783" t="str">
            <v>HD</v>
          </cell>
          <cell r="M783" t="str">
            <v>x</v>
          </cell>
          <cell r="N783" t="e">
            <v>#N/A</v>
          </cell>
          <cell r="O783" t="str">
            <v>Cabin Air Filter</v>
          </cell>
        </row>
        <row r="784">
          <cell r="K784" t="str">
            <v>LAF4502</v>
          </cell>
          <cell r="L784" t="str">
            <v>HD</v>
          </cell>
          <cell r="M784" t="str">
            <v>x</v>
          </cell>
          <cell r="N784" t="e">
            <v>#N/A</v>
          </cell>
          <cell r="O784" t="str">
            <v>Radial Seal Inner Air Filter</v>
          </cell>
        </row>
        <row r="785">
          <cell r="K785" t="str">
            <v>LAF1394</v>
          </cell>
          <cell r="L785" t="str">
            <v>HD</v>
          </cell>
          <cell r="M785" t="str">
            <v>x</v>
          </cell>
          <cell r="N785" t="e">
            <v>#N/A</v>
          </cell>
          <cell r="O785" t="str">
            <v>HD Metal-End Air Filter-Inner</v>
          </cell>
        </row>
        <row r="786">
          <cell r="K786" t="str">
            <v>LAF4618</v>
          </cell>
          <cell r="L786" t="str">
            <v>HD</v>
          </cell>
          <cell r="M786" t="str">
            <v>x</v>
          </cell>
          <cell r="N786" t="e">
            <v>#N/A</v>
          </cell>
          <cell r="O786" t="str">
            <v>Radial Seal Outer Air Filter</v>
          </cell>
        </row>
        <row r="787">
          <cell r="K787" t="str">
            <v>LFP5969</v>
          </cell>
          <cell r="L787" t="str">
            <v>HD</v>
          </cell>
          <cell r="M787" t="str">
            <v>x</v>
          </cell>
          <cell r="N787" t="e">
            <v>#N/A</v>
          </cell>
          <cell r="O787" t="str">
            <v>Spin-on Oil Filter</v>
          </cell>
        </row>
        <row r="788">
          <cell r="K788">
            <v>920005</v>
          </cell>
          <cell r="L788" t="str">
            <v>HD</v>
          </cell>
          <cell r="M788" t="str">
            <v>x</v>
          </cell>
          <cell r="N788" t="e">
            <v>#N/A</v>
          </cell>
          <cell r="O788" t="str">
            <v>Lubercool II 5 Gallon Container</v>
          </cell>
        </row>
        <row r="789">
          <cell r="K789" t="str">
            <v>LAF414</v>
          </cell>
          <cell r="L789" t="str">
            <v>HD</v>
          </cell>
          <cell r="M789" t="str">
            <v>x</v>
          </cell>
          <cell r="N789" t="e">
            <v>#N/A</v>
          </cell>
          <cell r="O789" t="str">
            <v>HD Metal-End Air Filter-Inner</v>
          </cell>
        </row>
        <row r="790">
          <cell r="K790" t="str">
            <v>LFP2221</v>
          </cell>
          <cell r="L790" t="str">
            <v>HD</v>
          </cell>
          <cell r="M790" t="str">
            <v>x</v>
          </cell>
          <cell r="N790" t="e">
            <v>#N/A</v>
          </cell>
          <cell r="O790" t="str">
            <v>Spin-on Oil Filter</v>
          </cell>
        </row>
        <row r="791">
          <cell r="K791" t="str">
            <v>PH444</v>
          </cell>
          <cell r="L791" t="str">
            <v>HD</v>
          </cell>
          <cell r="N791" t="e">
            <v>#N/A</v>
          </cell>
          <cell r="O791" t="str">
            <v>Spin-on Oil Filter</v>
          </cell>
        </row>
        <row r="792">
          <cell r="K792" t="str">
            <v>LFF6964</v>
          </cell>
          <cell r="L792" t="str">
            <v>HD</v>
          </cell>
          <cell r="M792" t="str">
            <v>x</v>
          </cell>
          <cell r="N792" t="e">
            <v>#N/A</v>
          </cell>
          <cell r="O792" t="str">
            <v>Spin-on Fuel Filter</v>
          </cell>
        </row>
        <row r="793">
          <cell r="K793" t="str">
            <v>LAF8792</v>
          </cell>
          <cell r="L793" t="str">
            <v>HD</v>
          </cell>
          <cell r="M793" t="str">
            <v>x</v>
          </cell>
          <cell r="N793" t="e">
            <v>#N/A</v>
          </cell>
          <cell r="O793" t="str">
            <v>Flexible Panel Air Filter</v>
          </cell>
        </row>
        <row r="794">
          <cell r="K794" t="str">
            <v>LH4248</v>
          </cell>
          <cell r="L794" t="str">
            <v>HD</v>
          </cell>
          <cell r="M794" t="str">
            <v>x</v>
          </cell>
          <cell r="N794" t="e">
            <v>#N/A</v>
          </cell>
          <cell r="O794" t="str">
            <v>Cartridge Hydraulic Filter</v>
          </cell>
        </row>
        <row r="795">
          <cell r="K795" t="str">
            <v>LAF1826F</v>
          </cell>
          <cell r="L795" t="str">
            <v>HD</v>
          </cell>
          <cell r="M795" t="str">
            <v>x</v>
          </cell>
          <cell r="N795" t="e">
            <v>#N/A</v>
          </cell>
          <cell r="O795" t="str">
            <v>Foam Wrap Air Filter</v>
          </cell>
        </row>
        <row r="796">
          <cell r="K796" t="str">
            <v>LK254M</v>
          </cell>
          <cell r="L796" t="str">
            <v>HD</v>
          </cell>
          <cell r="M796" t="str">
            <v>x</v>
          </cell>
          <cell r="N796" t="e">
            <v>#N/A</v>
          </cell>
          <cell r="O796" t="str">
            <v>Mack Engine Maintenance Kit</v>
          </cell>
        </row>
        <row r="797">
          <cell r="K797" t="str">
            <v>LFP2261</v>
          </cell>
          <cell r="L797" t="str">
            <v>HD</v>
          </cell>
          <cell r="M797" t="str">
            <v>x</v>
          </cell>
          <cell r="N797" t="e">
            <v>#N/A</v>
          </cell>
          <cell r="O797" t="str">
            <v>Spin-on Oil Filter</v>
          </cell>
        </row>
        <row r="798">
          <cell r="K798" t="str">
            <v>LAF1835</v>
          </cell>
          <cell r="L798" t="str">
            <v>HD</v>
          </cell>
          <cell r="M798" t="str">
            <v>x</v>
          </cell>
          <cell r="N798" t="e">
            <v>#N/A</v>
          </cell>
          <cell r="O798" t="str">
            <v>HD Metal-End Inner Air Filter</v>
          </cell>
        </row>
        <row r="799">
          <cell r="K799" t="str">
            <v>LAF8766</v>
          </cell>
          <cell r="L799" t="str">
            <v>HD</v>
          </cell>
          <cell r="M799" t="str">
            <v>x</v>
          </cell>
          <cell r="N799" t="e">
            <v>#N/A</v>
          </cell>
          <cell r="O799" t="str">
            <v>Radial Seal Inner Air Filter</v>
          </cell>
        </row>
        <row r="800">
          <cell r="K800" t="str">
            <v>LFP2234</v>
          </cell>
          <cell r="L800" t="str">
            <v>HD</v>
          </cell>
          <cell r="M800" t="str">
            <v>x</v>
          </cell>
          <cell r="N800" t="e">
            <v>#N/A</v>
          </cell>
          <cell r="O800" t="str">
            <v>Spin-on Oil Filter</v>
          </cell>
        </row>
        <row r="801">
          <cell r="K801" t="str">
            <v>LAF6098</v>
          </cell>
          <cell r="L801" t="str">
            <v>HD</v>
          </cell>
          <cell r="M801" t="str">
            <v>x</v>
          </cell>
          <cell r="N801" t="e">
            <v>#N/A</v>
          </cell>
          <cell r="O801" t="str">
            <v>Radial Seal Outer Air Filter</v>
          </cell>
        </row>
        <row r="802">
          <cell r="K802" t="str">
            <v>LFF6753</v>
          </cell>
          <cell r="L802" t="str">
            <v>HD</v>
          </cell>
          <cell r="M802" t="str">
            <v>x</v>
          </cell>
          <cell r="N802" t="e">
            <v>#N/A</v>
          </cell>
          <cell r="O802" t="str">
            <v>Spin-on Fuel Water Separator Filter</v>
          </cell>
        </row>
        <row r="803">
          <cell r="K803" t="str">
            <v>LFP2253</v>
          </cell>
          <cell r="L803" t="str">
            <v>HD</v>
          </cell>
          <cell r="M803" t="str">
            <v>x</v>
          </cell>
          <cell r="N803" t="e">
            <v>#N/A</v>
          </cell>
          <cell r="O803" t="str">
            <v>Spin-on Oil Filter</v>
          </cell>
        </row>
        <row r="804">
          <cell r="K804" t="str">
            <v>LFH4207</v>
          </cell>
          <cell r="L804" t="str">
            <v>HD</v>
          </cell>
          <cell r="M804" t="str">
            <v>x</v>
          </cell>
          <cell r="N804" t="e">
            <v>#N/A</v>
          </cell>
          <cell r="O804" t="str">
            <v>Spin-on Hydraulic Filter</v>
          </cell>
        </row>
        <row r="805">
          <cell r="K805" t="str">
            <v>FP230F</v>
          </cell>
          <cell r="L805" t="str">
            <v>HD</v>
          </cell>
          <cell r="M805" t="str">
            <v>x</v>
          </cell>
          <cell r="N805" t="e">
            <v>#N/A</v>
          </cell>
          <cell r="O805" t="str">
            <v>Spin-on Fuel Filter</v>
          </cell>
        </row>
        <row r="806">
          <cell r="K806" t="str">
            <v>LFH5015</v>
          </cell>
          <cell r="L806" t="str">
            <v>HD</v>
          </cell>
          <cell r="M806" t="str">
            <v>x</v>
          </cell>
          <cell r="N806" t="str">
            <v>LFH5015</v>
          </cell>
          <cell r="O806" t="str">
            <v>Spin-on Hydraulic Filter</v>
          </cell>
        </row>
        <row r="807">
          <cell r="K807" t="str">
            <v>LAF1038</v>
          </cell>
          <cell r="L807" t="str">
            <v>HD</v>
          </cell>
          <cell r="M807" t="str">
            <v>x</v>
          </cell>
          <cell r="N807" t="e">
            <v>#N/A</v>
          </cell>
          <cell r="O807" t="str">
            <v>Finned Vane Air Filter</v>
          </cell>
        </row>
        <row r="808">
          <cell r="K808" t="str">
            <v>LAF6128</v>
          </cell>
          <cell r="L808" t="str">
            <v>HD</v>
          </cell>
          <cell r="M808" t="str">
            <v>x</v>
          </cell>
          <cell r="N808" t="e">
            <v>#N/A</v>
          </cell>
          <cell r="O808" t="str">
            <v>HD Round Air Filter with Attached Lid</v>
          </cell>
        </row>
        <row r="809">
          <cell r="K809" t="str">
            <v>LAF3884</v>
          </cell>
          <cell r="L809" t="str">
            <v>HD</v>
          </cell>
          <cell r="M809" t="str">
            <v>x</v>
          </cell>
          <cell r="N809" t="e">
            <v>#N/A</v>
          </cell>
          <cell r="O809" t="str">
            <v>Radial Seal Inner Air Filter</v>
          </cell>
        </row>
        <row r="810">
          <cell r="K810" t="str">
            <v>FP889F</v>
          </cell>
          <cell r="L810" t="str">
            <v>HD</v>
          </cell>
          <cell r="M810" t="str">
            <v>x</v>
          </cell>
          <cell r="N810" t="e">
            <v>#N/A</v>
          </cell>
          <cell r="O810" t="str">
            <v>Spin-on Fuel Water Separator Filter</v>
          </cell>
        </row>
        <row r="811">
          <cell r="K811" t="str">
            <v>LFH8595</v>
          </cell>
          <cell r="L811" t="str">
            <v>HD</v>
          </cell>
          <cell r="M811" t="str">
            <v>x</v>
          </cell>
          <cell r="N811" t="str">
            <v>LFH8595</v>
          </cell>
          <cell r="O811" t="str">
            <v>Spin-on Hydraulic Filter</v>
          </cell>
        </row>
        <row r="812">
          <cell r="K812" t="str">
            <v>LAF5024</v>
          </cell>
          <cell r="L812" t="str">
            <v>HD</v>
          </cell>
          <cell r="M812" t="str">
            <v>x</v>
          </cell>
          <cell r="N812" t="str">
            <v>LAF5024</v>
          </cell>
          <cell r="O812" t="str">
            <v>Oval Air Filter</v>
          </cell>
        </row>
        <row r="813">
          <cell r="K813" t="str">
            <v>LAF3699</v>
          </cell>
          <cell r="L813" t="str">
            <v>HD</v>
          </cell>
          <cell r="M813" t="str">
            <v>x</v>
          </cell>
          <cell r="N813" t="e">
            <v>#N/A</v>
          </cell>
          <cell r="O813" t="str">
            <v>Cabin Air Filter</v>
          </cell>
        </row>
        <row r="814">
          <cell r="K814" t="str">
            <v>LH4741</v>
          </cell>
          <cell r="L814" t="str">
            <v>HD</v>
          </cell>
          <cell r="M814" t="str">
            <v>x</v>
          </cell>
          <cell r="N814" t="e">
            <v>#N/A</v>
          </cell>
          <cell r="O814" t="str">
            <v>Cartridge Power Steering (Hydraulic) Filter</v>
          </cell>
        </row>
        <row r="815">
          <cell r="K815" t="str">
            <v>LAF22025</v>
          </cell>
          <cell r="L815" t="str">
            <v>HD</v>
          </cell>
          <cell r="M815" t="str">
            <v>x</v>
          </cell>
          <cell r="N815" t="e">
            <v>#N/A</v>
          </cell>
          <cell r="O815" t="str">
            <v>Oval Air Filter</v>
          </cell>
        </row>
        <row r="816">
          <cell r="K816" t="str">
            <v>LFW6502</v>
          </cell>
          <cell r="L816" t="str">
            <v>HD</v>
          </cell>
          <cell r="M816" t="str">
            <v>x</v>
          </cell>
          <cell r="N816" t="e">
            <v>#N/A</v>
          </cell>
          <cell r="O816" t="str">
            <v>Controll Release Spin-on Coolant Filter</v>
          </cell>
        </row>
        <row r="817">
          <cell r="K817" t="str">
            <v>262F</v>
          </cell>
          <cell r="L817" t="str">
            <v>HD</v>
          </cell>
          <cell r="M817" t="str">
            <v>x</v>
          </cell>
          <cell r="N817" t="e">
            <v>#N/A</v>
          </cell>
          <cell r="O817" t="str">
            <v>Cartridge Fuel Filter</v>
          </cell>
        </row>
        <row r="818">
          <cell r="K818" t="str">
            <v>LP8995</v>
          </cell>
          <cell r="L818" t="str">
            <v>HD</v>
          </cell>
          <cell r="M818" t="str">
            <v>x</v>
          </cell>
          <cell r="N818" t="e">
            <v>#N/A</v>
          </cell>
          <cell r="O818" t="str">
            <v>Cartridge Oil Filter</v>
          </cell>
        </row>
        <row r="819">
          <cell r="K819" t="str">
            <v>LFP7174</v>
          </cell>
          <cell r="L819" t="str">
            <v>HD</v>
          </cell>
          <cell r="M819" t="str">
            <v>x</v>
          </cell>
          <cell r="N819" t="e">
            <v>#N/A</v>
          </cell>
          <cell r="O819" t="str">
            <v>Spin-on Oil Filter</v>
          </cell>
        </row>
        <row r="820">
          <cell r="K820" t="str">
            <v>LFF3550</v>
          </cell>
          <cell r="L820" t="str">
            <v>HD</v>
          </cell>
          <cell r="M820" t="str">
            <v>x</v>
          </cell>
          <cell r="N820" t="e">
            <v>#N/A</v>
          </cell>
          <cell r="O820" t="str">
            <v>Spin-on Fuel Filter</v>
          </cell>
        </row>
        <row r="821">
          <cell r="K821" t="str">
            <v>LAF5429</v>
          </cell>
          <cell r="L821" t="str">
            <v>HD</v>
          </cell>
          <cell r="M821" t="str">
            <v>x</v>
          </cell>
          <cell r="N821" t="e">
            <v>#N/A</v>
          </cell>
          <cell r="O821" t="str">
            <v>Conical Radial Seal Air filter Outer</v>
          </cell>
        </row>
        <row r="822">
          <cell r="K822" t="str">
            <v>LAF4179</v>
          </cell>
          <cell r="L822" t="str">
            <v>HD</v>
          </cell>
          <cell r="M822" t="str">
            <v>x</v>
          </cell>
          <cell r="N822" t="e">
            <v>#N/A</v>
          </cell>
          <cell r="O822" t="str">
            <v>Radial Seal Air Filter (Primary)</v>
          </cell>
        </row>
        <row r="823">
          <cell r="K823" t="str">
            <v>LAF1718</v>
          </cell>
          <cell r="L823" t="str">
            <v>HD</v>
          </cell>
          <cell r="M823" t="str">
            <v>x</v>
          </cell>
          <cell r="N823" t="e">
            <v>#N/A</v>
          </cell>
          <cell r="O823" t="str">
            <v>HD Metal-End Air Filter</v>
          </cell>
        </row>
        <row r="824">
          <cell r="K824" t="str">
            <v>LAF9159</v>
          </cell>
          <cell r="L824" t="str">
            <v>HD</v>
          </cell>
          <cell r="M824" t="str">
            <v>x</v>
          </cell>
          <cell r="N824" t="e">
            <v>#N/A</v>
          </cell>
          <cell r="O824" t="str">
            <v>HD Metal-End Inner Air Filter</v>
          </cell>
        </row>
        <row r="825">
          <cell r="K825" t="str">
            <v>LAF1617</v>
          </cell>
          <cell r="L825" t="str">
            <v>HD</v>
          </cell>
          <cell r="M825" t="str">
            <v>x</v>
          </cell>
          <cell r="N825" t="e">
            <v>#N/A</v>
          </cell>
          <cell r="O825" t="str">
            <v>Oval Air Filter</v>
          </cell>
        </row>
        <row r="826">
          <cell r="K826" t="str">
            <v>LAF689</v>
          </cell>
          <cell r="L826" t="str">
            <v>HD</v>
          </cell>
          <cell r="M826" t="str">
            <v>x</v>
          </cell>
          <cell r="N826" t="e">
            <v>#N/A</v>
          </cell>
          <cell r="O826" t="str">
            <v>HD Metal-End Air Filter</v>
          </cell>
        </row>
        <row r="827">
          <cell r="K827" t="str">
            <v>LAF8634</v>
          </cell>
          <cell r="L827" t="str">
            <v>HD</v>
          </cell>
          <cell r="M827" t="str">
            <v>x</v>
          </cell>
          <cell r="N827" t="e">
            <v>#N/A</v>
          </cell>
          <cell r="O827" t="str">
            <v>HD Metal-End Air Filter</v>
          </cell>
        </row>
        <row r="828">
          <cell r="K828" t="str">
            <v>LK329M</v>
          </cell>
          <cell r="L828" t="str">
            <v>HD</v>
          </cell>
          <cell r="M828" t="str">
            <v>x</v>
          </cell>
          <cell r="N828" t="e">
            <v>#N/A</v>
          </cell>
          <cell r="O828" t="str">
            <v>Mack Engine Maintenance Kit</v>
          </cell>
        </row>
        <row r="829">
          <cell r="K829" t="str">
            <v>LAF4274</v>
          </cell>
          <cell r="L829" t="str">
            <v>HD</v>
          </cell>
          <cell r="M829" t="str">
            <v>x</v>
          </cell>
          <cell r="N829" t="e">
            <v>#N/A</v>
          </cell>
          <cell r="O829" t="str">
            <v>Radial Seal Inner Air Filter</v>
          </cell>
        </row>
        <row r="830">
          <cell r="K830" t="str">
            <v>LAF8780</v>
          </cell>
          <cell r="L830" t="str">
            <v>HD</v>
          </cell>
          <cell r="M830" t="str">
            <v>x</v>
          </cell>
          <cell r="N830" t="str">
            <v>LAF8780</v>
          </cell>
          <cell r="O830" t="str">
            <v>Disposible Housing Air Filter</v>
          </cell>
        </row>
        <row r="831">
          <cell r="K831" t="str">
            <v>LAF66</v>
          </cell>
          <cell r="L831" t="str">
            <v>HD</v>
          </cell>
          <cell r="M831" t="str">
            <v>x</v>
          </cell>
          <cell r="N831" t="e">
            <v>#N/A</v>
          </cell>
          <cell r="O831" t="str">
            <v>HD Metal-End Air Filter</v>
          </cell>
        </row>
        <row r="832">
          <cell r="K832" t="str">
            <v>LAF6099</v>
          </cell>
          <cell r="L832" t="str">
            <v>HD</v>
          </cell>
          <cell r="M832" t="str">
            <v>x</v>
          </cell>
          <cell r="N832" t="str">
            <v>LAF6099</v>
          </cell>
          <cell r="O832" t="str">
            <v>Radial Seal Inner Air Filter</v>
          </cell>
        </row>
        <row r="833">
          <cell r="K833" t="str">
            <v>LAF6907</v>
          </cell>
          <cell r="L833" t="str">
            <v>HD</v>
          </cell>
          <cell r="M833" t="str">
            <v>x</v>
          </cell>
          <cell r="N833" t="e">
            <v>#N/A</v>
          </cell>
          <cell r="O833" t="str">
            <v>Air Filter (Precleaner)</v>
          </cell>
        </row>
        <row r="834">
          <cell r="K834" t="str">
            <v>LFP805</v>
          </cell>
          <cell r="L834" t="str">
            <v>HD</v>
          </cell>
          <cell r="M834" t="str">
            <v>x</v>
          </cell>
          <cell r="N834" t="e">
            <v>#N/A</v>
          </cell>
          <cell r="O834" t="str">
            <v>Spin-on Oil Filter</v>
          </cell>
        </row>
        <row r="835">
          <cell r="K835" t="str">
            <v>LAF1948</v>
          </cell>
          <cell r="L835" t="str">
            <v>HD</v>
          </cell>
          <cell r="M835" t="str">
            <v>x</v>
          </cell>
          <cell r="N835" t="e">
            <v>#N/A</v>
          </cell>
          <cell r="O835" t="str">
            <v>HD Metal-End Air Filter-Inner</v>
          </cell>
        </row>
        <row r="836">
          <cell r="K836" t="str">
            <v>L8706F</v>
          </cell>
          <cell r="L836" t="str">
            <v>HD</v>
          </cell>
          <cell r="O836" t="str">
            <v>Snap-Lock Fuel Filter</v>
          </cell>
        </row>
        <row r="837">
          <cell r="K837" t="str">
            <v>LAF5842</v>
          </cell>
          <cell r="L837" t="str">
            <v>HD</v>
          </cell>
          <cell r="M837" t="str">
            <v>x</v>
          </cell>
          <cell r="N837" t="e">
            <v>#N/A</v>
          </cell>
          <cell r="O837" t="str">
            <v>HD Round Air Filter with Attached Lid</v>
          </cell>
        </row>
        <row r="838">
          <cell r="K838" t="str">
            <v>L3880F</v>
          </cell>
          <cell r="L838" t="str">
            <v>HD</v>
          </cell>
          <cell r="M838" t="str">
            <v>x</v>
          </cell>
          <cell r="N838" t="e">
            <v>#N/A</v>
          </cell>
          <cell r="O838" t="str">
            <v>Snap-Lock Fuel Filter</v>
          </cell>
        </row>
        <row r="839">
          <cell r="K839" t="str">
            <v>LFP8703</v>
          </cell>
          <cell r="L839" t="str">
            <v>HD</v>
          </cell>
          <cell r="M839" t="str">
            <v>x</v>
          </cell>
          <cell r="N839" t="e">
            <v>#N/A</v>
          </cell>
          <cell r="O839" t="str">
            <v>Spin-on Oil Filter</v>
          </cell>
        </row>
        <row r="840">
          <cell r="K840" t="str">
            <v>LAF5022</v>
          </cell>
          <cell r="L840" t="str">
            <v>HD</v>
          </cell>
          <cell r="M840" t="str">
            <v>x</v>
          </cell>
          <cell r="N840" t="e">
            <v>#N/A</v>
          </cell>
          <cell r="O840" t="str">
            <v>Radial Seal Air Filter (Primary)</v>
          </cell>
        </row>
        <row r="841">
          <cell r="K841" t="str">
            <v>LAF4505MXM</v>
          </cell>
          <cell r="L841" t="str">
            <v>HD</v>
          </cell>
          <cell r="M841" t="str">
            <v>x</v>
          </cell>
          <cell r="N841" t="e">
            <v>#N/A</v>
          </cell>
          <cell r="O841" t="str">
            <v>Nano Tech Radial Seal Air Filter</v>
          </cell>
        </row>
        <row r="842">
          <cell r="K842" t="str">
            <v>LH4166</v>
          </cell>
          <cell r="L842" t="str">
            <v>HD</v>
          </cell>
          <cell r="M842" t="str">
            <v>x</v>
          </cell>
          <cell r="N842" t="e">
            <v>#N/A</v>
          </cell>
          <cell r="O842" t="str">
            <v>Cartridge Hydraulic Filter</v>
          </cell>
        </row>
        <row r="843">
          <cell r="K843" t="str">
            <v>LFF8063U</v>
          </cell>
          <cell r="L843" t="str">
            <v>HD</v>
          </cell>
          <cell r="M843" t="str">
            <v>x</v>
          </cell>
          <cell r="N843" t="e">
            <v>#N/A</v>
          </cell>
          <cell r="O843" t="str">
            <v>Bowless Fuel Water Separator Filter</v>
          </cell>
        </row>
        <row r="844">
          <cell r="K844" t="str">
            <v>LK236M</v>
          </cell>
          <cell r="L844" t="str">
            <v>HD</v>
          </cell>
          <cell r="M844" t="str">
            <v>x</v>
          </cell>
          <cell r="N844" t="e">
            <v>#N/A</v>
          </cell>
          <cell r="O844" t="str">
            <v>Mack Engine Maintenance Kit</v>
          </cell>
        </row>
        <row r="845">
          <cell r="K845" t="str">
            <v>CAF24000XL</v>
          </cell>
          <cell r="L845" t="str">
            <v>HD</v>
          </cell>
          <cell r="M845" t="str">
            <v>x</v>
          </cell>
          <cell r="N845" t="e">
            <v>#N/A</v>
          </cell>
          <cell r="O845" t="str">
            <v>Cabin Air Filter (Carbon) Extreme Clean</v>
          </cell>
        </row>
        <row r="846">
          <cell r="K846" t="str">
            <v>CAF24016XL</v>
          </cell>
          <cell r="L846" t="str">
            <v>HD</v>
          </cell>
          <cell r="M846" t="str">
            <v>x</v>
          </cell>
          <cell r="N846" t="e">
            <v>#N/A</v>
          </cell>
          <cell r="O846" t="str">
            <v>Cabin Air Filter (Carbon) Extreme Clean</v>
          </cell>
        </row>
        <row r="847">
          <cell r="K847" t="str">
            <v>LAF8124</v>
          </cell>
          <cell r="L847" t="str">
            <v>HD</v>
          </cell>
          <cell r="M847" t="str">
            <v>x</v>
          </cell>
          <cell r="N847" t="e">
            <v>#N/A</v>
          </cell>
          <cell r="O847" t="str">
            <v>Radial Seal Outer Air Filter</v>
          </cell>
        </row>
        <row r="848">
          <cell r="K848" t="str">
            <v>LAF1844</v>
          </cell>
          <cell r="L848" t="str">
            <v>HD</v>
          </cell>
          <cell r="M848" t="str">
            <v>x</v>
          </cell>
          <cell r="N848" t="e">
            <v>#N/A</v>
          </cell>
          <cell r="O848" t="str">
            <v>Disposible Housing Air Filter</v>
          </cell>
        </row>
        <row r="849">
          <cell r="K849" t="str">
            <v>LFH22009</v>
          </cell>
          <cell r="L849" t="str">
            <v>HD</v>
          </cell>
          <cell r="M849" t="str">
            <v>x</v>
          </cell>
          <cell r="N849" t="e">
            <v>#N/A</v>
          </cell>
          <cell r="O849" t="str">
            <v>Spin-on Hydraulic Filter</v>
          </cell>
        </row>
        <row r="850">
          <cell r="K850" t="str">
            <v>LAF6122</v>
          </cell>
          <cell r="L850" t="str">
            <v>HD</v>
          </cell>
          <cell r="M850" t="str">
            <v>x</v>
          </cell>
          <cell r="N850" t="e">
            <v>#N/A</v>
          </cell>
          <cell r="O850" t="str">
            <v>Corrugated Media Air Filter</v>
          </cell>
        </row>
        <row r="851">
          <cell r="K851" t="str">
            <v>LH4932</v>
          </cell>
          <cell r="L851" t="str">
            <v>HD</v>
          </cell>
          <cell r="M851" t="str">
            <v>x</v>
          </cell>
          <cell r="N851" t="e">
            <v>#N/A</v>
          </cell>
          <cell r="O851" t="str">
            <v>Cartridge Hydraulic Filter</v>
          </cell>
        </row>
        <row r="852">
          <cell r="K852" t="str">
            <v>LAF5069</v>
          </cell>
          <cell r="L852" t="str">
            <v>HD</v>
          </cell>
          <cell r="M852" t="str">
            <v>x</v>
          </cell>
          <cell r="N852" t="e">
            <v>#N/A</v>
          </cell>
          <cell r="O852" t="str">
            <v>HD Round Air Filter with Attached Boot</v>
          </cell>
        </row>
        <row r="853">
          <cell r="K853" t="str">
            <v>L8138F</v>
          </cell>
          <cell r="L853" t="str">
            <v>HD</v>
          </cell>
          <cell r="M853" t="str">
            <v>x</v>
          </cell>
          <cell r="N853" t="e">
            <v>#N/A</v>
          </cell>
          <cell r="O853" t="str">
            <v>Cartridge Fuel Filter</v>
          </cell>
        </row>
        <row r="854">
          <cell r="K854" t="str">
            <v>LFH22041</v>
          </cell>
          <cell r="L854" t="str">
            <v>HD</v>
          </cell>
          <cell r="M854" t="str">
            <v>x</v>
          </cell>
          <cell r="N854" t="e">
            <v>#N/A</v>
          </cell>
          <cell r="O854" t="str">
            <v>Spin-on Hydraulic Filter</v>
          </cell>
        </row>
        <row r="855">
          <cell r="K855" t="str">
            <v>LFH8197</v>
          </cell>
          <cell r="L855" t="str">
            <v>HD</v>
          </cell>
          <cell r="M855" t="str">
            <v>x</v>
          </cell>
          <cell r="N855" t="e">
            <v>#N/A</v>
          </cell>
          <cell r="O855" t="str">
            <v>Spin-on Hydraulic Filter</v>
          </cell>
        </row>
        <row r="856">
          <cell r="K856" t="str">
            <v>LAF8089</v>
          </cell>
          <cell r="L856" t="str">
            <v>HD</v>
          </cell>
          <cell r="M856" t="str">
            <v>x</v>
          </cell>
          <cell r="N856" t="e">
            <v>#N/A</v>
          </cell>
          <cell r="O856" t="str">
            <v>Oval Air Filter</v>
          </cell>
        </row>
        <row r="857">
          <cell r="K857" t="str">
            <v>LAF1921</v>
          </cell>
          <cell r="L857" t="str">
            <v>HD</v>
          </cell>
          <cell r="M857" t="str">
            <v>x</v>
          </cell>
          <cell r="N857" t="e">
            <v>#N/A</v>
          </cell>
          <cell r="O857" t="str">
            <v xml:space="preserve">Radial Seal Air Filter </v>
          </cell>
        </row>
        <row r="858">
          <cell r="K858" t="str">
            <v>LAF5762</v>
          </cell>
          <cell r="L858" t="str">
            <v>HD</v>
          </cell>
          <cell r="M858" t="str">
            <v>x</v>
          </cell>
          <cell r="N858" t="e">
            <v>#N/A</v>
          </cell>
          <cell r="O858" t="str">
            <v>Radial Seal Inner Air Filter</v>
          </cell>
        </row>
        <row r="859">
          <cell r="K859" t="str">
            <v>LK300V</v>
          </cell>
          <cell r="L859" t="str">
            <v>HD</v>
          </cell>
          <cell r="M859" t="str">
            <v>x</v>
          </cell>
          <cell r="N859" t="e">
            <v>#N/A</v>
          </cell>
          <cell r="O859" t="str">
            <v>Volvo Engine Maintenance Kit</v>
          </cell>
        </row>
        <row r="860">
          <cell r="K860" t="str">
            <v>LAF2831</v>
          </cell>
          <cell r="L860" t="str">
            <v>HD</v>
          </cell>
          <cell r="M860" t="str">
            <v>x</v>
          </cell>
          <cell r="N860" t="e">
            <v>#N/A</v>
          </cell>
          <cell r="O860" t="str">
            <v>Cone Shaped Conical Air Filter</v>
          </cell>
        </row>
        <row r="861">
          <cell r="K861" t="str">
            <v>LAF4629</v>
          </cell>
          <cell r="L861" t="str">
            <v>HD</v>
          </cell>
          <cell r="M861" t="str">
            <v>x</v>
          </cell>
          <cell r="N861" t="e">
            <v>#N/A</v>
          </cell>
          <cell r="O861" t="str">
            <v>Radial Seal Outer Air Filter</v>
          </cell>
        </row>
        <row r="862">
          <cell r="K862" t="str">
            <v>LFH7355</v>
          </cell>
          <cell r="L862" t="str">
            <v>HD</v>
          </cell>
          <cell r="M862" t="str">
            <v>x</v>
          </cell>
          <cell r="N862" t="e">
            <v>#N/A</v>
          </cell>
          <cell r="O862" t="str">
            <v>Spin-on Hydraulic Filter</v>
          </cell>
        </row>
        <row r="863">
          <cell r="K863" t="str">
            <v>LAF1961</v>
          </cell>
          <cell r="L863" t="str">
            <v>HD</v>
          </cell>
          <cell r="M863" t="str">
            <v>x</v>
          </cell>
          <cell r="N863" t="e">
            <v>#N/A</v>
          </cell>
          <cell r="O863" t="str">
            <v>Round Air Filter</v>
          </cell>
        </row>
        <row r="864">
          <cell r="K864" t="str">
            <v>LAF8734</v>
          </cell>
          <cell r="L864" t="str">
            <v>HD</v>
          </cell>
          <cell r="M864" t="str">
            <v>x</v>
          </cell>
          <cell r="N864" t="e">
            <v>#N/A</v>
          </cell>
          <cell r="O864" t="str">
            <v>HD Metal-End Inner Air Filter</v>
          </cell>
        </row>
        <row r="865">
          <cell r="K865" t="str">
            <v>LAF8733</v>
          </cell>
          <cell r="L865" t="str">
            <v>HD</v>
          </cell>
          <cell r="M865" t="str">
            <v>x</v>
          </cell>
          <cell r="N865" t="e">
            <v>#N/A</v>
          </cell>
          <cell r="O865" t="str">
            <v>HD Round Air Filter with Attached Boot</v>
          </cell>
        </row>
        <row r="866">
          <cell r="K866" t="str">
            <v>LAF1813</v>
          </cell>
          <cell r="L866" t="str">
            <v>HD</v>
          </cell>
          <cell r="M866" t="str">
            <v>x</v>
          </cell>
          <cell r="N866" t="e">
            <v>#N/A</v>
          </cell>
          <cell r="O866" t="str">
            <v>HD Metal-End Air Filter</v>
          </cell>
        </row>
        <row r="867">
          <cell r="K867" t="str">
            <v>L8563F</v>
          </cell>
          <cell r="L867" t="str">
            <v>HD</v>
          </cell>
          <cell r="M867" t="str">
            <v>x</v>
          </cell>
          <cell r="N867" t="e">
            <v>#N/A</v>
          </cell>
          <cell r="O867" t="str">
            <v>Snap-Lock Fuel Filter</v>
          </cell>
        </row>
        <row r="868">
          <cell r="K868" t="str">
            <v>LFH4909WA</v>
          </cell>
          <cell r="L868" t="str">
            <v>HD</v>
          </cell>
          <cell r="M868" t="str">
            <v>x</v>
          </cell>
          <cell r="N868" t="e">
            <v>#N/A</v>
          </cell>
          <cell r="O868" t="str">
            <v>Breather Filter</v>
          </cell>
        </row>
        <row r="869">
          <cell r="K869" t="str">
            <v>FT100</v>
          </cell>
          <cell r="L869" t="str">
            <v>HD</v>
          </cell>
          <cell r="M869" t="str">
            <v>x</v>
          </cell>
          <cell r="N869" t="e">
            <v>#N/A</v>
          </cell>
          <cell r="O869" t="str">
            <v>FFD2 Filter and Mounting Base Assembly</v>
          </cell>
        </row>
        <row r="870">
          <cell r="K870" t="str">
            <v>LFH6135</v>
          </cell>
          <cell r="L870" t="str">
            <v>HD</v>
          </cell>
          <cell r="M870" t="str">
            <v>x</v>
          </cell>
          <cell r="N870" t="e">
            <v>#N/A</v>
          </cell>
          <cell r="O870" t="str">
            <v>Spin-on Hydraulic Filter</v>
          </cell>
        </row>
        <row r="871">
          <cell r="K871" t="str">
            <v>L8684F</v>
          </cell>
          <cell r="L871" t="str">
            <v>HD</v>
          </cell>
          <cell r="M871" t="str">
            <v>x</v>
          </cell>
          <cell r="N871" t="e">
            <v>#N/A</v>
          </cell>
          <cell r="O871" t="str">
            <v>Snap-Lock Fuel Filter</v>
          </cell>
        </row>
        <row r="872">
          <cell r="K872" t="str">
            <v>LAF928</v>
          </cell>
          <cell r="L872" t="str">
            <v>HD</v>
          </cell>
          <cell r="M872" t="str">
            <v>x</v>
          </cell>
          <cell r="N872" t="e">
            <v>#N/A</v>
          </cell>
          <cell r="O872" t="str">
            <v>HD Metal-End Air Filter</v>
          </cell>
        </row>
        <row r="873">
          <cell r="K873" t="str">
            <v>LAF6999</v>
          </cell>
          <cell r="L873" t="str">
            <v>HD</v>
          </cell>
          <cell r="M873" t="str">
            <v>x</v>
          </cell>
          <cell r="N873" t="str">
            <v>LAF6999</v>
          </cell>
          <cell r="O873" t="str">
            <v>Radial Seal Inner Air Filter</v>
          </cell>
        </row>
        <row r="874">
          <cell r="K874" t="str">
            <v>LH22044</v>
          </cell>
          <cell r="L874" t="str">
            <v>HD</v>
          </cell>
          <cell r="M874" t="str">
            <v>x</v>
          </cell>
          <cell r="N874" t="e">
            <v>#N/A</v>
          </cell>
          <cell r="O874" t="str">
            <v>Cartridge Hydraulic Filter</v>
          </cell>
        </row>
        <row r="875">
          <cell r="K875" t="str">
            <v>LK90CA</v>
          </cell>
          <cell r="L875" t="str">
            <v>HD</v>
          </cell>
          <cell r="M875" t="str">
            <v>x</v>
          </cell>
          <cell r="N875" t="e">
            <v>#N/A</v>
          </cell>
          <cell r="O875" t="str">
            <v>Caterpillar Engine Maintenance Kit</v>
          </cell>
        </row>
        <row r="876">
          <cell r="K876" t="str">
            <v>LFF4136</v>
          </cell>
          <cell r="L876" t="str">
            <v>HD</v>
          </cell>
          <cell r="M876" t="str">
            <v>x</v>
          </cell>
          <cell r="N876" t="e">
            <v>#N/A</v>
          </cell>
          <cell r="O876" t="str">
            <v>Spin-on Fuel Filter</v>
          </cell>
        </row>
        <row r="877">
          <cell r="K877" t="str">
            <v>LH95277V</v>
          </cell>
          <cell r="L877" t="str">
            <v>HD</v>
          </cell>
          <cell r="M877" t="str">
            <v>x</v>
          </cell>
          <cell r="N877" t="e">
            <v>#N/A</v>
          </cell>
          <cell r="O877" t="str">
            <v>Cartridge Hydraulic Filter</v>
          </cell>
        </row>
        <row r="878">
          <cell r="K878" t="str">
            <v>LAF8147</v>
          </cell>
          <cell r="L878" t="str">
            <v>HD</v>
          </cell>
          <cell r="M878" t="str">
            <v>x</v>
          </cell>
          <cell r="N878" t="e">
            <v>#N/A</v>
          </cell>
          <cell r="O878" t="str">
            <v>Radial Seal Outer Air Filter</v>
          </cell>
        </row>
        <row r="879">
          <cell r="K879" t="str">
            <v>L8269F</v>
          </cell>
          <cell r="L879" t="str">
            <v>HD</v>
          </cell>
          <cell r="M879" t="str">
            <v>x</v>
          </cell>
          <cell r="N879" t="e">
            <v>#N/A</v>
          </cell>
          <cell r="O879" t="str">
            <v>Cartridge Fuel Filter</v>
          </cell>
        </row>
        <row r="880">
          <cell r="K880" t="str">
            <v>LFP2271</v>
          </cell>
          <cell r="L880" t="str">
            <v>HD</v>
          </cell>
          <cell r="M880" t="str">
            <v>x</v>
          </cell>
          <cell r="N880" t="e">
            <v>#N/A</v>
          </cell>
          <cell r="O880" t="str">
            <v>Spin-on Oil Filter</v>
          </cell>
        </row>
        <row r="881">
          <cell r="K881" t="str">
            <v>LAF281</v>
          </cell>
          <cell r="L881" t="str">
            <v>HD</v>
          </cell>
          <cell r="M881" t="str">
            <v>x</v>
          </cell>
          <cell r="N881" t="e">
            <v>#N/A</v>
          </cell>
          <cell r="O881" t="str">
            <v>Finned Vane Air Filter</v>
          </cell>
        </row>
        <row r="882">
          <cell r="K882" t="str">
            <v>LAF1856</v>
          </cell>
          <cell r="L882" t="str">
            <v>HD</v>
          </cell>
          <cell r="M882" t="str">
            <v>x</v>
          </cell>
          <cell r="N882" t="e">
            <v>#N/A</v>
          </cell>
          <cell r="O882" t="str">
            <v>Foam Wrap Air Filter</v>
          </cell>
        </row>
        <row r="883">
          <cell r="K883" t="str">
            <v>LFH22028</v>
          </cell>
          <cell r="L883" t="str">
            <v>HD</v>
          </cell>
          <cell r="M883" t="str">
            <v>x</v>
          </cell>
          <cell r="N883" t="e">
            <v>#N/A</v>
          </cell>
          <cell r="O883" t="str">
            <v>Spin-on Hydraulic Filter</v>
          </cell>
        </row>
        <row r="884">
          <cell r="K884" t="str">
            <v>LAF8110</v>
          </cell>
          <cell r="L884" t="str">
            <v>HD</v>
          </cell>
          <cell r="M884" t="str">
            <v>x</v>
          </cell>
          <cell r="N884" t="e">
            <v>#N/A</v>
          </cell>
          <cell r="O884" t="str">
            <v>Radial Seal Outer Air Filter</v>
          </cell>
        </row>
        <row r="885">
          <cell r="K885" t="str">
            <v>LAF4526</v>
          </cell>
          <cell r="L885" t="str">
            <v>HD</v>
          </cell>
          <cell r="M885" t="str">
            <v>x</v>
          </cell>
          <cell r="N885" t="e">
            <v>#N/A</v>
          </cell>
          <cell r="O885" t="str">
            <v>Radial Seal Outer Air Filter</v>
          </cell>
        </row>
        <row r="886">
          <cell r="K886" t="str">
            <v>LAF9202</v>
          </cell>
          <cell r="L886" t="str">
            <v>HD</v>
          </cell>
          <cell r="M886" t="str">
            <v>x</v>
          </cell>
          <cell r="N886" t="str">
            <v>LAF9202</v>
          </cell>
          <cell r="O886" t="str">
            <v>Radial Seal Inner Air Filter Inner</v>
          </cell>
        </row>
        <row r="887">
          <cell r="K887" t="str">
            <v>LFF5644</v>
          </cell>
          <cell r="L887" t="str">
            <v>HD</v>
          </cell>
          <cell r="M887" t="str">
            <v>x</v>
          </cell>
          <cell r="N887" t="str">
            <v>LFF5644</v>
          </cell>
          <cell r="O887" t="str">
            <v>Spin-on Fuel Filter</v>
          </cell>
        </row>
        <row r="888">
          <cell r="K888" t="str">
            <v>LAF1483</v>
          </cell>
          <cell r="L888" t="str">
            <v>HD</v>
          </cell>
          <cell r="M888" t="str">
            <v>x</v>
          </cell>
          <cell r="N888" t="e">
            <v>#N/A</v>
          </cell>
          <cell r="O888" t="str">
            <v>Panel Air Filter Irregular Shaped</v>
          </cell>
        </row>
        <row r="889">
          <cell r="K889" t="str">
            <v>CAF24004XL</v>
          </cell>
          <cell r="L889" t="str">
            <v>HD</v>
          </cell>
          <cell r="M889" t="str">
            <v>x</v>
          </cell>
          <cell r="N889" t="e">
            <v>#N/A</v>
          </cell>
          <cell r="O889" t="str">
            <v>Cabin Air Filter (Carbon) Extreme Clean</v>
          </cell>
        </row>
        <row r="890">
          <cell r="K890" t="str">
            <v>LAF2526</v>
          </cell>
          <cell r="L890" t="str">
            <v>HD</v>
          </cell>
          <cell r="M890" t="str">
            <v>x</v>
          </cell>
          <cell r="N890" t="e">
            <v>#N/A</v>
          </cell>
          <cell r="O890" t="str">
            <v>HD Metal-End Inner Air Filter</v>
          </cell>
        </row>
        <row r="891">
          <cell r="K891" t="str">
            <v>LP1653</v>
          </cell>
          <cell r="L891" t="str">
            <v>HD</v>
          </cell>
          <cell r="M891" t="str">
            <v>x</v>
          </cell>
          <cell r="N891" t="e">
            <v>#N/A</v>
          </cell>
          <cell r="O891" t="str">
            <v>Cartridge Oil Filter</v>
          </cell>
        </row>
        <row r="892">
          <cell r="K892" t="str">
            <v>LH8544</v>
          </cell>
          <cell r="L892" t="str">
            <v>HD</v>
          </cell>
          <cell r="M892" t="str">
            <v>x</v>
          </cell>
          <cell r="N892" t="e">
            <v>#N/A</v>
          </cell>
          <cell r="O892" t="str">
            <v>Cartridge Hydraulic Filter</v>
          </cell>
        </row>
        <row r="893">
          <cell r="K893" t="str">
            <v>LAF9657</v>
          </cell>
          <cell r="L893" t="str">
            <v>HD</v>
          </cell>
          <cell r="M893" t="str">
            <v>x</v>
          </cell>
          <cell r="N893" t="e">
            <v>#N/A</v>
          </cell>
          <cell r="O893" t="str">
            <v>Panel Air Filter Metal Framed</v>
          </cell>
        </row>
        <row r="894">
          <cell r="K894" t="str">
            <v>LAF9086</v>
          </cell>
          <cell r="L894" t="str">
            <v>HD</v>
          </cell>
          <cell r="M894" t="str">
            <v>x</v>
          </cell>
          <cell r="N894" t="e">
            <v>#N/A</v>
          </cell>
          <cell r="O894" t="str">
            <v>HD Metal-End Air Filter</v>
          </cell>
        </row>
        <row r="895">
          <cell r="K895" t="str">
            <v>LH8640</v>
          </cell>
          <cell r="L895" t="str">
            <v>HD</v>
          </cell>
          <cell r="M895" t="str">
            <v>x</v>
          </cell>
          <cell r="N895" t="e">
            <v>#N/A</v>
          </cell>
          <cell r="O895" t="str">
            <v>Cartridge Hydraulic Filter</v>
          </cell>
        </row>
        <row r="896">
          <cell r="K896" t="str">
            <v>LFH4213</v>
          </cell>
          <cell r="L896" t="str">
            <v>HD</v>
          </cell>
          <cell r="M896" t="str">
            <v>x</v>
          </cell>
          <cell r="N896" t="e">
            <v>#N/A</v>
          </cell>
          <cell r="O896" t="str">
            <v>Cartridge Hydraulic Filter</v>
          </cell>
        </row>
        <row r="897">
          <cell r="K897" t="str">
            <v>LH4260</v>
          </cell>
          <cell r="L897" t="str">
            <v>HD</v>
          </cell>
          <cell r="M897" t="str">
            <v>x</v>
          </cell>
          <cell r="N897" t="e">
            <v>#N/A</v>
          </cell>
          <cell r="O897" t="str">
            <v>Cartridge Power Steering (Hydraulic) Filter</v>
          </cell>
        </row>
        <row r="898">
          <cell r="K898" t="str">
            <v>LAF4638</v>
          </cell>
          <cell r="L898" t="str">
            <v>HD</v>
          </cell>
          <cell r="M898" t="str">
            <v>x</v>
          </cell>
          <cell r="N898" t="e">
            <v>#N/A</v>
          </cell>
          <cell r="O898" t="str">
            <v>Radial Seal Air Filter (Primary)</v>
          </cell>
        </row>
        <row r="899">
          <cell r="K899" t="str">
            <v>LAF1846</v>
          </cell>
          <cell r="L899" t="str">
            <v>HD</v>
          </cell>
          <cell r="M899" t="str">
            <v>x</v>
          </cell>
          <cell r="N899" t="e">
            <v>#N/A</v>
          </cell>
          <cell r="O899" t="str">
            <v>HD Metal-End Air Filter</v>
          </cell>
        </row>
        <row r="900">
          <cell r="K900" t="str">
            <v>LAF8383</v>
          </cell>
          <cell r="L900" t="str">
            <v>HD</v>
          </cell>
          <cell r="M900" t="str">
            <v>x</v>
          </cell>
          <cell r="N900" t="e">
            <v>#N/A</v>
          </cell>
          <cell r="O900" t="str">
            <v>Round Air Filter</v>
          </cell>
        </row>
        <row r="901">
          <cell r="K901" t="str">
            <v>LFP5120B</v>
          </cell>
          <cell r="L901" t="str">
            <v>HD</v>
          </cell>
          <cell r="M901" t="str">
            <v>x</v>
          </cell>
          <cell r="N901" t="e">
            <v>#N/A</v>
          </cell>
          <cell r="O901" t="str">
            <v>Spin-on Oil Filter</v>
          </cell>
        </row>
        <row r="902">
          <cell r="K902" t="str">
            <v>LK370C</v>
          </cell>
          <cell r="L902" t="str">
            <v>HD</v>
          </cell>
          <cell r="M902" t="str">
            <v>x</v>
          </cell>
          <cell r="N902" t="e">
            <v>#N/A</v>
          </cell>
          <cell r="O902" t="str">
            <v>Cummins Diesel Maintenance Kit</v>
          </cell>
        </row>
        <row r="903">
          <cell r="K903" t="str">
            <v>LH6418</v>
          </cell>
          <cell r="L903" t="str">
            <v>HD</v>
          </cell>
          <cell r="M903" t="str">
            <v>x</v>
          </cell>
          <cell r="N903" t="e">
            <v>#N/A</v>
          </cell>
          <cell r="O903" t="str">
            <v>Cartridge Hydraulic Filter</v>
          </cell>
        </row>
        <row r="904">
          <cell r="K904" t="str">
            <v>LFP2229</v>
          </cell>
          <cell r="L904" t="str">
            <v>HD</v>
          </cell>
          <cell r="M904" t="str">
            <v>x</v>
          </cell>
          <cell r="N904" t="e">
            <v>#N/A</v>
          </cell>
          <cell r="O904" t="str">
            <v>Spin-on Oil Filter</v>
          </cell>
        </row>
        <row r="905">
          <cell r="K905" t="str">
            <v>LAF22029</v>
          </cell>
          <cell r="L905" t="str">
            <v>HD</v>
          </cell>
          <cell r="M905" t="str">
            <v>x</v>
          </cell>
          <cell r="N905" t="e">
            <v>#N/A</v>
          </cell>
          <cell r="O905" t="str">
            <v>Radial Seal Outer Air Filter</v>
          </cell>
        </row>
        <row r="906">
          <cell r="K906" t="str">
            <v>LAF3236</v>
          </cell>
          <cell r="L906" t="str">
            <v>HD</v>
          </cell>
          <cell r="M906" t="str">
            <v>x</v>
          </cell>
          <cell r="N906" t="e">
            <v>#N/A</v>
          </cell>
          <cell r="O906" t="str">
            <v>Corrugated Media Air Filter</v>
          </cell>
        </row>
        <row r="907">
          <cell r="K907" t="str">
            <v>L10F</v>
          </cell>
          <cell r="L907" t="str">
            <v>HD</v>
          </cell>
          <cell r="M907" t="str">
            <v>x</v>
          </cell>
          <cell r="N907" t="e">
            <v>#N/A</v>
          </cell>
          <cell r="O907" t="str">
            <v>Cartridge Fuel Filter</v>
          </cell>
        </row>
        <row r="908">
          <cell r="K908" t="str">
            <v>LFH4081</v>
          </cell>
          <cell r="L908" t="str">
            <v>HD</v>
          </cell>
          <cell r="M908" t="str">
            <v>x</v>
          </cell>
          <cell r="N908" t="e">
            <v>#N/A</v>
          </cell>
          <cell r="O908" t="str">
            <v>Spin-on Hydraulic Filter</v>
          </cell>
        </row>
        <row r="909">
          <cell r="K909" t="str">
            <v>LAF9200</v>
          </cell>
          <cell r="L909" t="str">
            <v>HD</v>
          </cell>
          <cell r="M909" t="str">
            <v>x</v>
          </cell>
          <cell r="N909" t="e">
            <v>#N/A</v>
          </cell>
          <cell r="O909" t="str">
            <v>HD Metal-End Air Filter</v>
          </cell>
        </row>
        <row r="910">
          <cell r="K910" t="str">
            <v>LFF3396</v>
          </cell>
          <cell r="L910" t="str">
            <v>HD</v>
          </cell>
          <cell r="M910" t="str">
            <v>x</v>
          </cell>
          <cell r="N910" t="e">
            <v>#N/A</v>
          </cell>
          <cell r="O910" t="str">
            <v>Spin-on Fuel Filter</v>
          </cell>
        </row>
        <row r="911">
          <cell r="K911" t="str">
            <v>LFW4860XL</v>
          </cell>
          <cell r="L911" t="str">
            <v>HD</v>
          </cell>
          <cell r="M911" t="str">
            <v>x</v>
          </cell>
          <cell r="N911" t="e">
            <v>#N/A</v>
          </cell>
          <cell r="O911" t="str">
            <v>Extended Life Spin-on Coolant Filter</v>
          </cell>
        </row>
        <row r="912">
          <cell r="K912" t="str">
            <v>L6268F</v>
          </cell>
          <cell r="L912" t="str">
            <v>HD</v>
          </cell>
          <cell r="M912" t="str">
            <v>x</v>
          </cell>
          <cell r="N912" t="e">
            <v>#N/A</v>
          </cell>
          <cell r="O912" t="str">
            <v>Snap-lock Fuel/Water Separator Filter</v>
          </cell>
        </row>
        <row r="913">
          <cell r="K913" t="str">
            <v>LFH7221</v>
          </cell>
          <cell r="L913" t="str">
            <v>HD</v>
          </cell>
          <cell r="M913" t="str">
            <v>x</v>
          </cell>
          <cell r="N913" t="e">
            <v>#N/A</v>
          </cell>
          <cell r="O913" t="str">
            <v>Spin-on Hydraulic Filter</v>
          </cell>
        </row>
        <row r="914">
          <cell r="K914" t="str">
            <v>LFF3527</v>
          </cell>
          <cell r="L914" t="str">
            <v>HD</v>
          </cell>
          <cell r="M914" t="str">
            <v>x</v>
          </cell>
          <cell r="N914" t="str">
            <v>LFF3527</v>
          </cell>
          <cell r="O914" t="str">
            <v>Spin-on Fuel Filter</v>
          </cell>
        </row>
        <row r="915">
          <cell r="K915" t="str">
            <v>LAF1820</v>
          </cell>
          <cell r="L915" t="str">
            <v>HD</v>
          </cell>
          <cell r="M915" t="str">
            <v>x</v>
          </cell>
          <cell r="N915" t="e">
            <v>#N/A</v>
          </cell>
          <cell r="O915" t="str">
            <v>HD Metal-End Air Filter</v>
          </cell>
        </row>
        <row r="916">
          <cell r="K916" t="str">
            <v>LFF4511W-30</v>
          </cell>
          <cell r="L916" t="str">
            <v>HD</v>
          </cell>
          <cell r="M916" t="str">
            <v>x</v>
          </cell>
          <cell r="N916" t="e">
            <v>#N/A</v>
          </cell>
          <cell r="O916" t="str">
            <v>Fuel Dispensing Filter</v>
          </cell>
        </row>
        <row r="917">
          <cell r="K917" t="str">
            <v>LFH4960</v>
          </cell>
          <cell r="L917" t="str">
            <v>HD</v>
          </cell>
          <cell r="M917" t="str">
            <v>x</v>
          </cell>
          <cell r="N917" t="e">
            <v>#N/A</v>
          </cell>
          <cell r="O917" t="str">
            <v>Spin-on Hydraulic Filter</v>
          </cell>
        </row>
        <row r="918">
          <cell r="K918">
            <v>21221</v>
          </cell>
          <cell r="L918" t="str">
            <v>HD</v>
          </cell>
          <cell r="M918" t="str">
            <v>x</v>
          </cell>
          <cell r="N918" t="e">
            <v>#N/A</v>
          </cell>
          <cell r="O918" t="str">
            <v>IMPERIAL 750</v>
          </cell>
        </row>
        <row r="919">
          <cell r="K919" t="str">
            <v>LFF9753</v>
          </cell>
          <cell r="L919" t="str">
            <v>HD</v>
          </cell>
          <cell r="M919" t="str">
            <v>x</v>
          </cell>
          <cell r="N919" t="str">
            <v>LFF9753</v>
          </cell>
          <cell r="O919" t="str">
            <v>Spin-on Fuel Filter</v>
          </cell>
        </row>
        <row r="920">
          <cell r="K920" t="str">
            <v>LFF3802</v>
          </cell>
          <cell r="L920" t="str">
            <v>HD</v>
          </cell>
          <cell r="M920" t="str">
            <v>x</v>
          </cell>
          <cell r="N920" t="e">
            <v>#N/A</v>
          </cell>
          <cell r="O920" t="str">
            <v>Spin-on Fuel Filter</v>
          </cell>
        </row>
        <row r="921">
          <cell r="K921" t="str">
            <v>L3881F</v>
          </cell>
          <cell r="L921" t="str">
            <v>HD</v>
          </cell>
          <cell r="M921" t="str">
            <v>x</v>
          </cell>
          <cell r="N921" t="e">
            <v>#N/A</v>
          </cell>
          <cell r="O921" t="str">
            <v>Snap-Lock Fuel Filter</v>
          </cell>
        </row>
        <row r="922">
          <cell r="K922" t="str">
            <v>LFH4635</v>
          </cell>
          <cell r="L922" t="str">
            <v>HD</v>
          </cell>
          <cell r="M922" t="str">
            <v>x</v>
          </cell>
          <cell r="N922" t="e">
            <v>#N/A</v>
          </cell>
          <cell r="O922" t="str">
            <v>Cartridge Hydraulic Filter</v>
          </cell>
        </row>
        <row r="923">
          <cell r="K923" t="str">
            <v>LFH8263</v>
          </cell>
          <cell r="L923" t="str">
            <v>HD</v>
          </cell>
          <cell r="M923" t="str">
            <v>x</v>
          </cell>
          <cell r="N923" t="e">
            <v>#N/A</v>
          </cell>
          <cell r="O923" t="str">
            <v>Spin-on Hydraulic Filter</v>
          </cell>
        </row>
        <row r="924">
          <cell r="K924" t="str">
            <v>LAF1768</v>
          </cell>
          <cell r="L924" t="str">
            <v>HD</v>
          </cell>
          <cell r="M924" t="str">
            <v>x</v>
          </cell>
          <cell r="N924" t="e">
            <v>#N/A</v>
          </cell>
          <cell r="O924" t="str">
            <v>HD Metal-End Air Filter with Attached Lid</v>
          </cell>
        </row>
        <row r="925">
          <cell r="K925" t="str">
            <v>LAF6834</v>
          </cell>
          <cell r="L925" t="str">
            <v>HD</v>
          </cell>
          <cell r="M925" t="str">
            <v>x</v>
          </cell>
          <cell r="N925" t="e">
            <v>#N/A</v>
          </cell>
          <cell r="O925" t="str">
            <v>Round Inner Air Filter</v>
          </cell>
        </row>
        <row r="926">
          <cell r="K926" t="str">
            <v>LAF8514</v>
          </cell>
          <cell r="L926" t="str">
            <v>HD</v>
          </cell>
          <cell r="M926" t="str">
            <v>x</v>
          </cell>
          <cell r="N926" t="e">
            <v>#N/A</v>
          </cell>
          <cell r="O926" t="str">
            <v>HD Metal-End Air Filter</v>
          </cell>
        </row>
        <row r="927">
          <cell r="K927" t="str">
            <v>L3893F</v>
          </cell>
          <cell r="L927" t="str">
            <v>HD</v>
          </cell>
          <cell r="M927" t="str">
            <v>x</v>
          </cell>
          <cell r="N927" t="e">
            <v>#N/A</v>
          </cell>
          <cell r="O927" t="str">
            <v>Snap-lock Fuel/Water Separator Filter</v>
          </cell>
        </row>
        <row r="928">
          <cell r="K928" t="str">
            <v>LP2545</v>
          </cell>
          <cell r="L928" t="str">
            <v>HD</v>
          </cell>
          <cell r="M928" t="str">
            <v>x</v>
          </cell>
          <cell r="N928" t="e">
            <v>#N/A</v>
          </cell>
          <cell r="O928" t="str">
            <v>Cartridge Oil Filter</v>
          </cell>
        </row>
        <row r="929">
          <cell r="K929" t="str">
            <v>LAF1814</v>
          </cell>
          <cell r="L929" t="str">
            <v>HD</v>
          </cell>
          <cell r="M929" t="str">
            <v>x</v>
          </cell>
          <cell r="N929" t="e">
            <v>#N/A</v>
          </cell>
          <cell r="O929" t="str">
            <v>HD Metal-End Inner Air Filter</v>
          </cell>
        </row>
        <row r="930">
          <cell r="K930" t="str">
            <v>LAF5454</v>
          </cell>
          <cell r="L930" t="str">
            <v>HD</v>
          </cell>
          <cell r="M930" t="str">
            <v>x</v>
          </cell>
          <cell r="N930" t="e">
            <v>#N/A</v>
          </cell>
          <cell r="O930" t="str">
            <v>Panel Air Filter Irregular Shaped</v>
          </cell>
        </row>
        <row r="931">
          <cell r="K931" t="str">
            <v>LFH6812</v>
          </cell>
          <cell r="L931" t="str">
            <v>HD</v>
          </cell>
          <cell r="M931" t="str">
            <v>x</v>
          </cell>
          <cell r="N931" t="str">
            <v>LFH6812</v>
          </cell>
          <cell r="O931" t="str">
            <v>Spin-on Hydraulic Filter</v>
          </cell>
        </row>
        <row r="932">
          <cell r="K932" t="str">
            <v>LAF8531</v>
          </cell>
          <cell r="L932" t="str">
            <v>HD</v>
          </cell>
          <cell r="M932" t="str">
            <v>x</v>
          </cell>
          <cell r="N932" t="e">
            <v>#N/A</v>
          </cell>
          <cell r="O932" t="str">
            <v>Cone Shaped Conical Air Filter</v>
          </cell>
        </row>
        <row r="933">
          <cell r="K933" t="str">
            <v>LAF8407</v>
          </cell>
          <cell r="L933" t="str">
            <v>HD</v>
          </cell>
          <cell r="M933" t="str">
            <v>x</v>
          </cell>
          <cell r="N933" t="e">
            <v>#N/A</v>
          </cell>
          <cell r="O933" t="str">
            <v>HD Metal-End Air Filter</v>
          </cell>
        </row>
        <row r="934">
          <cell r="K934" t="str">
            <v>L3444F</v>
          </cell>
          <cell r="L934" t="str">
            <v>HD</v>
          </cell>
          <cell r="M934" t="str">
            <v>x</v>
          </cell>
          <cell r="N934" t="e">
            <v>#N/A</v>
          </cell>
          <cell r="O934" t="str">
            <v>Snap-lock Fuel/Water Separator Filter</v>
          </cell>
        </row>
        <row r="935">
          <cell r="K935" t="str">
            <v>LAF1879</v>
          </cell>
          <cell r="L935" t="str">
            <v>HD</v>
          </cell>
          <cell r="M935" t="str">
            <v>x</v>
          </cell>
          <cell r="N935" t="e">
            <v>#N/A</v>
          </cell>
          <cell r="O935" t="str">
            <v>Panel Air Filter Metal Framed</v>
          </cell>
        </row>
        <row r="936">
          <cell r="K936" t="str">
            <v>LFP2287</v>
          </cell>
          <cell r="L936" t="str">
            <v>HD</v>
          </cell>
          <cell r="M936" t="str">
            <v>x</v>
          </cell>
          <cell r="N936" t="e">
            <v>#N/A</v>
          </cell>
          <cell r="O936" t="str">
            <v>Spin-on Hydraulic Filter</v>
          </cell>
        </row>
        <row r="937">
          <cell r="K937" t="str">
            <v>LFH9353</v>
          </cell>
          <cell r="L937" t="str">
            <v>HD</v>
          </cell>
          <cell r="M937" t="str">
            <v>x</v>
          </cell>
          <cell r="N937" t="e">
            <v>#N/A</v>
          </cell>
          <cell r="O937" t="str">
            <v>Spin-on Hydraulic Filter</v>
          </cell>
        </row>
        <row r="938">
          <cell r="K938" t="str">
            <v>LFF3513</v>
          </cell>
          <cell r="L938" t="str">
            <v>HD</v>
          </cell>
          <cell r="M938" t="str">
            <v>x</v>
          </cell>
          <cell r="N938" t="e">
            <v>#N/A</v>
          </cell>
          <cell r="O938" t="str">
            <v>Spin-on Fuel Filter</v>
          </cell>
        </row>
        <row r="939">
          <cell r="K939" t="str">
            <v>LAF7315</v>
          </cell>
          <cell r="L939" t="str">
            <v>HD</v>
          </cell>
          <cell r="M939" t="str">
            <v>x</v>
          </cell>
          <cell r="N939" t="e">
            <v>#N/A</v>
          </cell>
          <cell r="O939" t="str">
            <v>HD Metal-End Inner Air Filter</v>
          </cell>
        </row>
        <row r="940">
          <cell r="K940" t="str">
            <v>LFH8207</v>
          </cell>
          <cell r="L940" t="str">
            <v>HD</v>
          </cell>
          <cell r="M940" t="str">
            <v>x</v>
          </cell>
          <cell r="N940" t="e">
            <v>#N/A</v>
          </cell>
          <cell r="O940" t="str">
            <v>Spin-on Hydraulic Filter</v>
          </cell>
        </row>
        <row r="941">
          <cell r="K941" t="str">
            <v>LAF8144</v>
          </cell>
          <cell r="L941" t="str">
            <v>HD</v>
          </cell>
          <cell r="M941" t="str">
            <v>x</v>
          </cell>
          <cell r="N941" t="e">
            <v>#N/A</v>
          </cell>
          <cell r="O941" t="str">
            <v>Radial Seal Outer Air Filter</v>
          </cell>
        </row>
        <row r="942">
          <cell r="K942" t="str">
            <v>LAF6205</v>
          </cell>
          <cell r="L942" t="str">
            <v>HD</v>
          </cell>
          <cell r="M942" t="str">
            <v>x</v>
          </cell>
          <cell r="N942" t="str">
            <v>LAF6205</v>
          </cell>
          <cell r="O942" t="str">
            <v>Radial Seal Air Filter, Primary</v>
          </cell>
        </row>
        <row r="943">
          <cell r="K943" t="str">
            <v>LH5719</v>
          </cell>
          <cell r="L943" t="str">
            <v>HD</v>
          </cell>
          <cell r="M943" t="str">
            <v>x</v>
          </cell>
          <cell r="N943" t="e">
            <v>#N/A</v>
          </cell>
          <cell r="O943" t="str">
            <v>Cartridge Hydraulic Filter</v>
          </cell>
        </row>
        <row r="944">
          <cell r="K944" t="str">
            <v>LAF3951</v>
          </cell>
          <cell r="L944" t="str">
            <v>HD</v>
          </cell>
          <cell r="M944" t="str">
            <v>x</v>
          </cell>
          <cell r="N944" t="e">
            <v>#N/A</v>
          </cell>
          <cell r="O944" t="str">
            <v>Radial Seal Outer Air Filter</v>
          </cell>
        </row>
        <row r="945">
          <cell r="K945" t="str">
            <v>LFP3746</v>
          </cell>
          <cell r="L945" t="str">
            <v>HD</v>
          </cell>
          <cell r="M945" t="str">
            <v>x</v>
          </cell>
          <cell r="N945" t="e">
            <v>#N/A</v>
          </cell>
          <cell r="O945" t="str">
            <v>Spin-on Oil Filter</v>
          </cell>
        </row>
        <row r="946">
          <cell r="K946" t="str">
            <v>LFF8676</v>
          </cell>
          <cell r="L946" t="str">
            <v>HD</v>
          </cell>
          <cell r="M946" t="str">
            <v>x</v>
          </cell>
          <cell r="N946" t="e">
            <v>#N/A</v>
          </cell>
          <cell r="O946" t="str">
            <v>Spin-on Fuel Filter</v>
          </cell>
        </row>
        <row r="947">
          <cell r="K947" t="str">
            <v>LAF5453</v>
          </cell>
          <cell r="L947" t="str">
            <v>HD</v>
          </cell>
          <cell r="M947" t="str">
            <v>x</v>
          </cell>
          <cell r="N947" t="e">
            <v>#N/A</v>
          </cell>
          <cell r="O947" t="str">
            <v>Corrugated Media Air Filter</v>
          </cell>
        </row>
        <row r="948">
          <cell r="K948" t="str">
            <v>CAF24011XL</v>
          </cell>
          <cell r="L948" t="str">
            <v>HD</v>
          </cell>
          <cell r="M948" t="str">
            <v>x</v>
          </cell>
          <cell r="N948" t="e">
            <v>#N/A</v>
          </cell>
          <cell r="O948" t="str">
            <v>Cabin Air Filter (Carbon) Extreme Clean</v>
          </cell>
        </row>
        <row r="949">
          <cell r="K949" t="str">
            <v>LAF5864</v>
          </cell>
          <cell r="L949" t="str">
            <v>HD</v>
          </cell>
          <cell r="M949" t="str">
            <v>x</v>
          </cell>
          <cell r="N949" t="e">
            <v>#N/A</v>
          </cell>
          <cell r="O949" t="str">
            <v>Disposible Housing Air Filter</v>
          </cell>
        </row>
        <row r="950">
          <cell r="K950" t="str">
            <v>LAF3663</v>
          </cell>
          <cell r="L950" t="str">
            <v>HD</v>
          </cell>
          <cell r="M950" t="str">
            <v>x</v>
          </cell>
          <cell r="N950" t="e">
            <v>#N/A</v>
          </cell>
          <cell r="O950" t="str">
            <v>Radial Seal Outer Air Filter</v>
          </cell>
        </row>
        <row r="951">
          <cell r="K951" t="str">
            <v>LAF8481</v>
          </cell>
          <cell r="L951" t="str">
            <v>HD</v>
          </cell>
          <cell r="M951" t="str">
            <v>x</v>
          </cell>
          <cell r="N951" t="e">
            <v>#N/A</v>
          </cell>
          <cell r="O951" t="str">
            <v>Radial Seal Inner Air Filter</v>
          </cell>
        </row>
        <row r="952">
          <cell r="K952" t="str">
            <v>CAF24009</v>
          </cell>
          <cell r="L952" t="str">
            <v>HD</v>
          </cell>
          <cell r="M952" t="str">
            <v>x</v>
          </cell>
          <cell r="N952" t="e">
            <v>#N/A</v>
          </cell>
          <cell r="O952" t="str">
            <v>Cabin Air Filter</v>
          </cell>
        </row>
        <row r="953">
          <cell r="K953" t="str">
            <v>LH4916-10</v>
          </cell>
          <cell r="L953" t="str">
            <v>HD</v>
          </cell>
          <cell r="M953" t="str">
            <v>x</v>
          </cell>
          <cell r="N953" t="e">
            <v>#N/A</v>
          </cell>
          <cell r="O953" t="str">
            <v>Cartridge Hydraulic Filter</v>
          </cell>
        </row>
        <row r="954">
          <cell r="K954" t="str">
            <v>LFH22034</v>
          </cell>
          <cell r="L954" t="str">
            <v>HD</v>
          </cell>
          <cell r="M954" t="str">
            <v>x</v>
          </cell>
          <cell r="N954" t="e">
            <v>#N/A</v>
          </cell>
          <cell r="O954" t="str">
            <v>Spin-on Hydraulic Filter</v>
          </cell>
        </row>
        <row r="955">
          <cell r="K955" t="str">
            <v>LFH4989</v>
          </cell>
          <cell r="L955" t="str">
            <v>HD</v>
          </cell>
          <cell r="M955" t="str">
            <v>x</v>
          </cell>
          <cell r="N955" t="e">
            <v>#N/A</v>
          </cell>
          <cell r="O955" t="str">
            <v>Spin-on Hydraulic Filter</v>
          </cell>
        </row>
        <row r="956">
          <cell r="K956" t="str">
            <v>LH9351</v>
          </cell>
          <cell r="L956" t="str">
            <v>HD</v>
          </cell>
          <cell r="M956" t="str">
            <v>x</v>
          </cell>
          <cell r="N956" t="e">
            <v>#N/A</v>
          </cell>
          <cell r="O956" t="str">
            <v>Cartridge Hydraulic Filter</v>
          </cell>
        </row>
        <row r="957">
          <cell r="K957" t="str">
            <v>LAF8823</v>
          </cell>
          <cell r="L957" t="str">
            <v>HD</v>
          </cell>
          <cell r="M957" t="str">
            <v>x</v>
          </cell>
          <cell r="N957" t="e">
            <v>#N/A</v>
          </cell>
          <cell r="O957" t="str">
            <v>HD Metal-End Air Filter with Attached Lid</v>
          </cell>
        </row>
        <row r="958">
          <cell r="K958" t="str">
            <v>LAF1533</v>
          </cell>
          <cell r="L958" t="str">
            <v>HD</v>
          </cell>
          <cell r="M958" t="str">
            <v>x</v>
          </cell>
          <cell r="N958" t="e">
            <v>#N/A</v>
          </cell>
          <cell r="O958" t="str">
            <v>HD Metal-End Air Filter</v>
          </cell>
        </row>
        <row r="959">
          <cell r="K959" t="str">
            <v>LAF5430</v>
          </cell>
          <cell r="L959" t="str">
            <v>HD</v>
          </cell>
          <cell r="M959" t="str">
            <v>x</v>
          </cell>
          <cell r="N959" t="e">
            <v>#N/A</v>
          </cell>
          <cell r="O959" t="str">
            <v>Conical Radial Seal Air filter Inner</v>
          </cell>
        </row>
        <row r="960">
          <cell r="K960" t="str">
            <v>LAF3890</v>
          </cell>
          <cell r="L960" t="str">
            <v>HD</v>
          </cell>
          <cell r="M960" t="str">
            <v>x</v>
          </cell>
          <cell r="N960" t="e">
            <v>#N/A</v>
          </cell>
          <cell r="O960" t="str">
            <v>Radial Seal Inner Air Filter</v>
          </cell>
        </row>
        <row r="961">
          <cell r="K961" t="str">
            <v>LFP3692F</v>
          </cell>
          <cell r="L961" t="str">
            <v>HD</v>
          </cell>
          <cell r="M961" t="str">
            <v>x</v>
          </cell>
          <cell r="N961" t="e">
            <v>#N/A</v>
          </cell>
          <cell r="O961" t="str">
            <v>Spin-on Fuel Filter</v>
          </cell>
        </row>
        <row r="962">
          <cell r="K962" t="str">
            <v>LAF5789</v>
          </cell>
          <cell r="L962" t="str">
            <v>HD</v>
          </cell>
          <cell r="M962" t="str">
            <v>x</v>
          </cell>
          <cell r="N962" t="e">
            <v>#N/A</v>
          </cell>
          <cell r="O962" t="str">
            <v>Oval Air Filter</v>
          </cell>
        </row>
        <row r="963">
          <cell r="K963" t="str">
            <v>LAF6114</v>
          </cell>
          <cell r="L963" t="str">
            <v>HD</v>
          </cell>
          <cell r="M963" t="str">
            <v>x</v>
          </cell>
          <cell r="N963" t="e">
            <v>#N/A</v>
          </cell>
          <cell r="O963" t="str">
            <v>Radial Seal Outer Air Filter</v>
          </cell>
        </row>
        <row r="964">
          <cell r="K964" t="str">
            <v>LFF7688</v>
          </cell>
          <cell r="L964" t="str">
            <v>HD</v>
          </cell>
          <cell r="M964" t="str">
            <v>x</v>
          </cell>
          <cell r="N964" t="e">
            <v>#N/A</v>
          </cell>
          <cell r="O964" t="str">
            <v>Spin-on Fuel Water Separator Filter</v>
          </cell>
        </row>
        <row r="965">
          <cell r="K965" t="str">
            <v>LFF7284</v>
          </cell>
          <cell r="L965" t="str">
            <v>HD</v>
          </cell>
          <cell r="M965" t="str">
            <v>x</v>
          </cell>
          <cell r="N965" t="e">
            <v>#N/A</v>
          </cell>
          <cell r="O965" t="str">
            <v>Cartridge Fuel/Water Separator Filter</v>
          </cell>
        </row>
        <row r="966">
          <cell r="K966" t="str">
            <v>LAF8114</v>
          </cell>
          <cell r="L966" t="str">
            <v>HD</v>
          </cell>
          <cell r="M966" t="str">
            <v>x</v>
          </cell>
          <cell r="N966" t="e">
            <v>#N/A</v>
          </cell>
          <cell r="O966" t="str">
            <v>Radial Seal Inner Air Filter</v>
          </cell>
        </row>
        <row r="967">
          <cell r="K967" t="str">
            <v>LAF8776</v>
          </cell>
          <cell r="L967" t="str">
            <v>HD</v>
          </cell>
          <cell r="M967" t="str">
            <v>x</v>
          </cell>
          <cell r="N967" t="e">
            <v>#N/A</v>
          </cell>
          <cell r="O967" t="str">
            <v>HD Metal-End Air Filter with Attached Lid</v>
          </cell>
        </row>
        <row r="968">
          <cell r="K968" t="str">
            <v>LAF3237</v>
          </cell>
          <cell r="L968" t="str">
            <v>HD</v>
          </cell>
          <cell r="M968" t="str">
            <v>x</v>
          </cell>
          <cell r="N968" t="e">
            <v>#N/A</v>
          </cell>
          <cell r="O968" t="str">
            <v>Special Configuration Air Filter</v>
          </cell>
        </row>
        <row r="969">
          <cell r="K969" t="str">
            <v>LAF8146</v>
          </cell>
          <cell r="L969" t="str">
            <v>HD</v>
          </cell>
          <cell r="M969" t="str">
            <v>x</v>
          </cell>
          <cell r="N969" t="e">
            <v>#N/A</v>
          </cell>
          <cell r="O969" t="str">
            <v>Radial Seal Outer Air Filter</v>
          </cell>
        </row>
        <row r="970">
          <cell r="K970" t="str">
            <v>LFH1832</v>
          </cell>
          <cell r="L970" t="str">
            <v>HD</v>
          </cell>
          <cell r="M970" t="str">
            <v>x</v>
          </cell>
          <cell r="N970" t="e">
            <v>#N/A</v>
          </cell>
          <cell r="O970" t="str">
            <v>Spin-on Hydraulic Filter</v>
          </cell>
        </row>
        <row r="971">
          <cell r="K971" t="str">
            <v>LAF4511</v>
          </cell>
          <cell r="L971" t="str">
            <v>HD</v>
          </cell>
          <cell r="M971" t="str">
            <v>x</v>
          </cell>
          <cell r="N971" t="str">
            <v>LAF4511</v>
          </cell>
          <cell r="O971" t="str">
            <v>Disposible Housing Air Filter</v>
          </cell>
        </row>
        <row r="972">
          <cell r="K972" t="str">
            <v>LFH8799</v>
          </cell>
          <cell r="L972" t="str">
            <v>HD</v>
          </cell>
          <cell r="M972" t="str">
            <v>x</v>
          </cell>
          <cell r="N972" t="e">
            <v>#N/A</v>
          </cell>
          <cell r="O972" t="str">
            <v>Spin-on Hydraulic Filter</v>
          </cell>
        </row>
        <row r="973">
          <cell r="K973" t="str">
            <v>LAF210</v>
          </cell>
          <cell r="L973" t="str">
            <v>HD</v>
          </cell>
          <cell r="M973" t="str">
            <v>x</v>
          </cell>
          <cell r="N973" t="e">
            <v>#N/A</v>
          </cell>
          <cell r="O973" t="str">
            <v>HD Metal-End Air Filter</v>
          </cell>
        </row>
        <row r="974">
          <cell r="K974" t="str">
            <v>LP5730</v>
          </cell>
          <cell r="L974" t="str">
            <v>HD</v>
          </cell>
          <cell r="M974" t="str">
            <v>x</v>
          </cell>
          <cell r="N974" t="e">
            <v>#N/A</v>
          </cell>
          <cell r="O974" t="str">
            <v>Cartridge Oil Filter</v>
          </cell>
        </row>
        <row r="975">
          <cell r="K975" t="str">
            <v>LH8506</v>
          </cell>
          <cell r="L975" t="str">
            <v>HD</v>
          </cell>
          <cell r="M975" t="str">
            <v>x</v>
          </cell>
          <cell r="N975" t="e">
            <v>#N/A</v>
          </cell>
          <cell r="O975" t="str">
            <v>Cartridge Hydraulic Filter</v>
          </cell>
        </row>
        <row r="976">
          <cell r="K976" t="str">
            <v>LAF562</v>
          </cell>
          <cell r="L976" t="str">
            <v>HD</v>
          </cell>
          <cell r="M976" t="str">
            <v>x</v>
          </cell>
          <cell r="N976" t="e">
            <v>#N/A</v>
          </cell>
          <cell r="O976" t="str">
            <v>HD Metal-End Air Filter</v>
          </cell>
        </row>
        <row r="977">
          <cell r="K977" t="str">
            <v>LAF1799</v>
          </cell>
          <cell r="L977" t="str">
            <v>HD</v>
          </cell>
          <cell r="M977" t="str">
            <v>x</v>
          </cell>
          <cell r="N977" t="e">
            <v>#N/A</v>
          </cell>
          <cell r="O977" t="str">
            <v>Disposible Housing Air Filter</v>
          </cell>
        </row>
        <row r="978">
          <cell r="K978" t="str">
            <v>LAF558</v>
          </cell>
          <cell r="L978" t="str">
            <v>HD</v>
          </cell>
          <cell r="M978" t="str">
            <v>x</v>
          </cell>
          <cell r="N978" t="e">
            <v>#N/A</v>
          </cell>
          <cell r="O978" t="str">
            <v>HD Metal-End Air Filter</v>
          </cell>
        </row>
        <row r="979">
          <cell r="K979" t="str">
            <v>LFH8335</v>
          </cell>
          <cell r="L979" t="str">
            <v>HD</v>
          </cell>
          <cell r="M979" t="str">
            <v>x</v>
          </cell>
          <cell r="N979" t="e">
            <v>#N/A</v>
          </cell>
          <cell r="O979" t="str">
            <v>Spin-on Hydraulic Filter</v>
          </cell>
        </row>
        <row r="980">
          <cell r="K980" t="str">
            <v>LAF942</v>
          </cell>
          <cell r="L980" t="str">
            <v>HD</v>
          </cell>
          <cell r="M980" t="str">
            <v>x</v>
          </cell>
          <cell r="N980" t="e">
            <v>#N/A</v>
          </cell>
          <cell r="O980" t="str">
            <v>HD Metal-End Air Filter</v>
          </cell>
        </row>
        <row r="981">
          <cell r="K981" t="str">
            <v>LFF5645</v>
          </cell>
          <cell r="L981" t="str">
            <v>HD</v>
          </cell>
          <cell r="M981" t="str">
            <v>x</v>
          </cell>
          <cell r="N981" t="e">
            <v>#N/A</v>
          </cell>
          <cell r="O981" t="str">
            <v>Spin-on Fuel Filter</v>
          </cell>
        </row>
        <row r="982">
          <cell r="K982" t="str">
            <v>LFF8061U</v>
          </cell>
          <cell r="L982" t="str">
            <v>HD</v>
          </cell>
          <cell r="M982" t="str">
            <v>x</v>
          </cell>
          <cell r="N982" t="e">
            <v>#N/A</v>
          </cell>
          <cell r="O982" t="str">
            <v>Spin-on Fuel Filter</v>
          </cell>
        </row>
        <row r="983">
          <cell r="K983" t="str">
            <v>LAF9097MXM</v>
          </cell>
          <cell r="L983" t="str">
            <v>HD</v>
          </cell>
          <cell r="M983" t="str">
            <v>x</v>
          </cell>
          <cell r="N983" t="e">
            <v>#N/A</v>
          </cell>
          <cell r="O983" t="str">
            <v>Nano Tech Air Filter Finned Vane</v>
          </cell>
        </row>
        <row r="984">
          <cell r="K984" t="str">
            <v>LAF3711</v>
          </cell>
          <cell r="L984" t="str">
            <v>HD</v>
          </cell>
          <cell r="M984" t="str">
            <v>x</v>
          </cell>
          <cell r="N984" t="e">
            <v>#N/A</v>
          </cell>
          <cell r="O984" t="str">
            <v>HD Metal-End Air Filter</v>
          </cell>
        </row>
        <row r="985">
          <cell r="K985" t="str">
            <v>LAF1881</v>
          </cell>
          <cell r="L985" t="str">
            <v>HD</v>
          </cell>
          <cell r="M985" t="str">
            <v>x</v>
          </cell>
          <cell r="N985" t="e">
            <v>#N/A</v>
          </cell>
          <cell r="O985" t="str">
            <v>HD Metal-End Air Filter</v>
          </cell>
        </row>
        <row r="986">
          <cell r="K986" t="str">
            <v>LP3660</v>
          </cell>
          <cell r="L986" t="str">
            <v>HD</v>
          </cell>
          <cell r="M986" t="str">
            <v>x</v>
          </cell>
          <cell r="N986" t="e">
            <v>#N/A</v>
          </cell>
          <cell r="O986" t="str">
            <v>Cartridge Oil Filter</v>
          </cell>
        </row>
        <row r="987">
          <cell r="K987" t="str">
            <v>LH8414G</v>
          </cell>
          <cell r="L987" t="str">
            <v>HD</v>
          </cell>
          <cell r="M987" t="str">
            <v>x</v>
          </cell>
          <cell r="N987" t="e">
            <v>#N/A</v>
          </cell>
          <cell r="O987" t="str">
            <v>Cartridge Hydraulic Filter</v>
          </cell>
        </row>
        <row r="988">
          <cell r="K988" t="str">
            <v>LFF8727</v>
          </cell>
          <cell r="L988" t="str">
            <v>HD</v>
          </cell>
          <cell r="M988" t="str">
            <v>x</v>
          </cell>
          <cell r="N988" t="e">
            <v>#N/A</v>
          </cell>
          <cell r="O988" t="str">
            <v>Spin-on Fuel Filter</v>
          </cell>
        </row>
        <row r="989">
          <cell r="K989" t="str">
            <v>LFF3343</v>
          </cell>
          <cell r="L989" t="str">
            <v>HD</v>
          </cell>
          <cell r="M989" t="str">
            <v>x</v>
          </cell>
          <cell r="N989" t="e">
            <v>#N/A</v>
          </cell>
          <cell r="O989" t="str">
            <v>Spin-on Fuel Filter</v>
          </cell>
        </row>
        <row r="990">
          <cell r="K990" t="str">
            <v>LFP8501</v>
          </cell>
          <cell r="L990" t="str">
            <v>HD</v>
          </cell>
          <cell r="M990" t="str">
            <v>x</v>
          </cell>
          <cell r="N990" t="e">
            <v>#N/A</v>
          </cell>
          <cell r="O990" t="str">
            <v>Spin-on Oil Filter</v>
          </cell>
        </row>
        <row r="991">
          <cell r="K991" t="str">
            <v>LAF503</v>
          </cell>
          <cell r="L991" t="str">
            <v>HD</v>
          </cell>
          <cell r="M991" t="str">
            <v>x</v>
          </cell>
          <cell r="N991" t="e">
            <v>#N/A</v>
          </cell>
          <cell r="O991" t="str">
            <v>HD Metal-End Inner Air Filter</v>
          </cell>
        </row>
        <row r="992">
          <cell r="K992" t="str">
            <v>LAF6151</v>
          </cell>
          <cell r="L992" t="str">
            <v>HD</v>
          </cell>
          <cell r="M992" t="str">
            <v>x</v>
          </cell>
          <cell r="N992" t="e">
            <v>#N/A</v>
          </cell>
          <cell r="O992" t="str">
            <v>Radial Seal Outer Air Filter</v>
          </cell>
        </row>
        <row r="993">
          <cell r="K993" t="str">
            <v>LFP2215</v>
          </cell>
          <cell r="L993" t="str">
            <v>HD</v>
          </cell>
          <cell r="M993" t="str">
            <v>x</v>
          </cell>
          <cell r="N993" t="e">
            <v>#N/A</v>
          </cell>
          <cell r="O993" t="str">
            <v>Spin-on Oil Filter</v>
          </cell>
        </row>
        <row r="994">
          <cell r="K994" t="str">
            <v>LAF6641</v>
          </cell>
          <cell r="L994" t="str">
            <v>HD</v>
          </cell>
          <cell r="M994" t="str">
            <v>x</v>
          </cell>
          <cell r="N994" t="e">
            <v>#N/A</v>
          </cell>
          <cell r="O994" t="str">
            <v>Round Inner Air Filter</v>
          </cell>
        </row>
        <row r="995">
          <cell r="K995" t="str">
            <v>LFP2100C</v>
          </cell>
          <cell r="L995" t="str">
            <v>HD</v>
          </cell>
          <cell r="M995" t="str">
            <v>x</v>
          </cell>
          <cell r="N995" t="e">
            <v>#N/A</v>
          </cell>
          <cell r="O995" t="str">
            <v>Spin-on Fuel Water Separator Coalescer Filter</v>
          </cell>
        </row>
        <row r="996">
          <cell r="K996" t="str">
            <v>LAF1719</v>
          </cell>
          <cell r="L996" t="str">
            <v>HD</v>
          </cell>
          <cell r="M996" t="str">
            <v>x</v>
          </cell>
          <cell r="N996" t="e">
            <v>#N/A</v>
          </cell>
          <cell r="O996" t="str">
            <v>Round Inner Air Filter</v>
          </cell>
        </row>
        <row r="997">
          <cell r="K997" t="str">
            <v>LAF2821</v>
          </cell>
          <cell r="L997" t="str">
            <v>HD</v>
          </cell>
          <cell r="M997" t="str">
            <v>x</v>
          </cell>
          <cell r="N997" t="e">
            <v>#N/A</v>
          </cell>
          <cell r="O997" t="str">
            <v>HD Metal-End Air Filter with Attached Lid</v>
          </cell>
        </row>
        <row r="998">
          <cell r="K998" t="str">
            <v>LAF8791</v>
          </cell>
          <cell r="L998" t="str">
            <v>HD</v>
          </cell>
          <cell r="M998" t="str">
            <v>x</v>
          </cell>
          <cell r="N998" t="e">
            <v>#N/A</v>
          </cell>
          <cell r="O998" t="str">
            <v>Cabin Air Filter Panel</v>
          </cell>
        </row>
        <row r="999">
          <cell r="K999" t="str">
            <v>LFW4422</v>
          </cell>
          <cell r="L999" t="str">
            <v>HD</v>
          </cell>
          <cell r="M999" t="str">
            <v>x</v>
          </cell>
          <cell r="N999" t="e">
            <v>#N/A</v>
          </cell>
          <cell r="O999" t="str">
            <v>Spin-on Coolant Filter</v>
          </cell>
        </row>
        <row r="1000">
          <cell r="K1000" t="str">
            <v>LFF6924</v>
          </cell>
          <cell r="L1000" t="str">
            <v>HD</v>
          </cell>
          <cell r="M1000" t="str">
            <v>x</v>
          </cell>
          <cell r="N1000" t="str">
            <v>LFF6924</v>
          </cell>
          <cell r="O1000" t="str">
            <v>Spin-on Fuel Filter</v>
          </cell>
        </row>
        <row r="1001">
          <cell r="K1001" t="str">
            <v>CAF24017</v>
          </cell>
          <cell r="L1001" t="str">
            <v>HD</v>
          </cell>
          <cell r="M1001" t="str">
            <v>x</v>
          </cell>
          <cell r="N1001" t="e">
            <v>#N/A</v>
          </cell>
          <cell r="O1001" t="str">
            <v>Cabin Air Filter</v>
          </cell>
        </row>
        <row r="1002">
          <cell r="K1002" t="str">
            <v>L8679F</v>
          </cell>
          <cell r="L1002" t="str">
            <v>HD</v>
          </cell>
          <cell r="M1002" t="str">
            <v>x</v>
          </cell>
          <cell r="N1002" t="e">
            <v>#N/A</v>
          </cell>
          <cell r="O1002" t="str">
            <v>Snap-Lock Fuel Filter</v>
          </cell>
        </row>
        <row r="1003">
          <cell r="K1003" t="str">
            <v>LFF5357</v>
          </cell>
          <cell r="L1003" t="str">
            <v>HD</v>
          </cell>
          <cell r="M1003" t="str">
            <v>x</v>
          </cell>
          <cell r="N1003" t="e">
            <v>#N/A</v>
          </cell>
          <cell r="O1003" t="str">
            <v>Fuel/Water Separator Spin-on Filter</v>
          </cell>
        </row>
        <row r="1004">
          <cell r="K1004" t="str">
            <v>LFH8412</v>
          </cell>
          <cell r="L1004" t="str">
            <v>HD</v>
          </cell>
          <cell r="M1004" t="str">
            <v>x</v>
          </cell>
          <cell r="N1004" t="e">
            <v>#N/A</v>
          </cell>
          <cell r="O1004" t="str">
            <v>Spin-on Hydraulic Filter</v>
          </cell>
        </row>
        <row r="1005">
          <cell r="K1005" t="str">
            <v>LAF1790</v>
          </cell>
          <cell r="L1005" t="str">
            <v>HD</v>
          </cell>
          <cell r="M1005" t="str">
            <v>x</v>
          </cell>
          <cell r="N1005" t="e">
            <v>#N/A</v>
          </cell>
          <cell r="O1005" t="str">
            <v>HD Metal-End Inner Air Filter</v>
          </cell>
        </row>
        <row r="1006">
          <cell r="K1006" t="str">
            <v>LOSK-3</v>
          </cell>
          <cell r="L1006" t="str">
            <v>HD</v>
          </cell>
          <cell r="M1006" t="str">
            <v>x</v>
          </cell>
          <cell r="N1006" t="e">
            <v>#N/A</v>
          </cell>
          <cell r="O1006" t="str">
            <v>Oil Analysis Test Kit</v>
          </cell>
        </row>
        <row r="1007">
          <cell r="K1007" t="str">
            <v>LAF8552</v>
          </cell>
          <cell r="L1007" t="str">
            <v>HD</v>
          </cell>
          <cell r="M1007" t="str">
            <v>x</v>
          </cell>
          <cell r="N1007" t="e">
            <v>#N/A</v>
          </cell>
          <cell r="O1007" t="str">
            <v>HD Round Air Filter with Attached Boot</v>
          </cell>
        </row>
        <row r="1008">
          <cell r="K1008" t="str">
            <v>LFP8316G</v>
          </cell>
          <cell r="L1008" t="str">
            <v>HD</v>
          </cell>
          <cell r="M1008" t="str">
            <v>x</v>
          </cell>
          <cell r="N1008" t="e">
            <v>#N/A</v>
          </cell>
          <cell r="O1008" t="str">
            <v>Spin-on Transmission Filter</v>
          </cell>
        </row>
        <row r="1009">
          <cell r="K1009" t="str">
            <v>LH22064</v>
          </cell>
          <cell r="L1009" t="str">
            <v>HD</v>
          </cell>
          <cell r="M1009" t="str">
            <v>x</v>
          </cell>
          <cell r="N1009" t="e">
            <v>#N/A</v>
          </cell>
          <cell r="O1009" t="str">
            <v>Cartridge Hydraulic Filter</v>
          </cell>
        </row>
        <row r="1010">
          <cell r="K1010" t="str">
            <v>LAF6003</v>
          </cell>
          <cell r="L1010" t="str">
            <v>HD</v>
          </cell>
          <cell r="M1010" t="str">
            <v>x</v>
          </cell>
          <cell r="N1010" t="e">
            <v>#N/A</v>
          </cell>
          <cell r="O1010" t="str">
            <v>Disposible Housing Air Filter</v>
          </cell>
        </row>
        <row r="1011">
          <cell r="K1011" t="str">
            <v>LAF1163</v>
          </cell>
          <cell r="L1011" t="str">
            <v>HD</v>
          </cell>
          <cell r="M1011" t="str">
            <v>x</v>
          </cell>
          <cell r="N1011" t="e">
            <v>#N/A</v>
          </cell>
          <cell r="O1011" t="str">
            <v>HD Metal-End Air Filter</v>
          </cell>
        </row>
        <row r="1012">
          <cell r="K1012" t="str">
            <v>LAF47</v>
          </cell>
          <cell r="L1012" t="str">
            <v>HD</v>
          </cell>
          <cell r="M1012" t="str">
            <v>x</v>
          </cell>
          <cell r="N1012" t="e">
            <v>#N/A</v>
          </cell>
          <cell r="O1012" t="str">
            <v>HD Metal-End Air Filter</v>
          </cell>
        </row>
        <row r="1013">
          <cell r="K1013" t="str">
            <v>LH8543</v>
          </cell>
          <cell r="L1013" t="str">
            <v>HD</v>
          </cell>
          <cell r="M1013" t="str">
            <v>x</v>
          </cell>
          <cell r="N1013" t="e">
            <v>#N/A</v>
          </cell>
          <cell r="O1013" t="str">
            <v>Cartridge Hydraulic Filter</v>
          </cell>
        </row>
        <row r="1014">
          <cell r="K1014" t="str">
            <v>LK162D</v>
          </cell>
          <cell r="L1014" t="str">
            <v>HD</v>
          </cell>
          <cell r="M1014" t="str">
            <v>x</v>
          </cell>
          <cell r="N1014" t="e">
            <v>#N/A</v>
          </cell>
          <cell r="O1014" t="str">
            <v>Detroit Diesel Engine Maintenance Kit</v>
          </cell>
        </row>
        <row r="1015">
          <cell r="K1015" t="str">
            <v>LFF5850U</v>
          </cell>
          <cell r="L1015" t="str">
            <v>HD</v>
          </cell>
          <cell r="M1015" t="str">
            <v>x</v>
          </cell>
          <cell r="N1015" t="e">
            <v>#N/A</v>
          </cell>
          <cell r="O1015" t="str">
            <v>Bowless Fuel Water Separator Filter</v>
          </cell>
        </row>
        <row r="1016">
          <cell r="K1016" t="str">
            <v>LAF290A</v>
          </cell>
          <cell r="L1016" t="str">
            <v>HD</v>
          </cell>
          <cell r="M1016" t="str">
            <v>x</v>
          </cell>
          <cell r="N1016" t="e">
            <v>#N/A</v>
          </cell>
          <cell r="O1016" t="str">
            <v>HD Metal-End Air Filter</v>
          </cell>
        </row>
        <row r="1017">
          <cell r="K1017" t="str">
            <v>LFH9367</v>
          </cell>
          <cell r="L1017" t="str">
            <v>HD</v>
          </cell>
          <cell r="M1017" t="str">
            <v>x</v>
          </cell>
          <cell r="N1017" t="e">
            <v>#N/A</v>
          </cell>
          <cell r="O1017" t="str">
            <v>Spin-on Hydraulic Filter</v>
          </cell>
        </row>
        <row r="1018">
          <cell r="K1018" t="str">
            <v>LAF160</v>
          </cell>
          <cell r="L1018" t="str">
            <v>HD</v>
          </cell>
          <cell r="M1018" t="str">
            <v>x</v>
          </cell>
          <cell r="N1018" t="e">
            <v>#N/A</v>
          </cell>
          <cell r="O1018" t="str">
            <v>HD Metal-End Air Filter</v>
          </cell>
        </row>
        <row r="1019">
          <cell r="K1019" t="str">
            <v>LAF1827</v>
          </cell>
          <cell r="L1019" t="str">
            <v>HD</v>
          </cell>
          <cell r="M1019" t="str">
            <v>x</v>
          </cell>
          <cell r="N1019" t="e">
            <v>#N/A</v>
          </cell>
          <cell r="O1019" t="str">
            <v>Round Air Filter</v>
          </cell>
        </row>
        <row r="1020">
          <cell r="K1020" t="str">
            <v>LFF8092</v>
          </cell>
          <cell r="L1020" t="str">
            <v>HD</v>
          </cell>
          <cell r="M1020" t="str">
            <v>x</v>
          </cell>
          <cell r="N1020" t="e">
            <v>#N/A</v>
          </cell>
          <cell r="O1020" t="str">
            <v>Spin-on Fuel Filter</v>
          </cell>
        </row>
        <row r="1021">
          <cell r="K1021" t="str">
            <v>LFP8964</v>
          </cell>
          <cell r="L1021" t="str">
            <v>HD</v>
          </cell>
          <cell r="M1021" t="str">
            <v>x</v>
          </cell>
          <cell r="N1021" t="e">
            <v>#N/A</v>
          </cell>
          <cell r="O1021" t="str">
            <v>Spin-on Oil Filter</v>
          </cell>
        </row>
        <row r="1022">
          <cell r="K1022" t="str">
            <v>L5109F</v>
          </cell>
          <cell r="O1022" t="str">
            <v>Cartridge Fuel Water Separator Filter</v>
          </cell>
        </row>
        <row r="1023">
          <cell r="K1023" t="str">
            <v>L8721F</v>
          </cell>
          <cell r="L1023" t="str">
            <v>HD</v>
          </cell>
          <cell r="M1023" t="str">
            <v>x</v>
          </cell>
          <cell r="N1023" t="e">
            <v>#N/A</v>
          </cell>
          <cell r="O1023" t="str">
            <v>Snap-Lock Fuel Filter</v>
          </cell>
        </row>
        <row r="1024">
          <cell r="K1024" t="str">
            <v>L5693F</v>
          </cell>
          <cell r="L1024" t="str">
            <v>HD</v>
          </cell>
          <cell r="M1024" t="str">
            <v>x</v>
          </cell>
          <cell r="N1024" t="e">
            <v>#N/A</v>
          </cell>
          <cell r="O1024" t="str">
            <v>Cartridge Fuel Filter</v>
          </cell>
        </row>
        <row r="1025">
          <cell r="K1025" t="str">
            <v>LAF4482</v>
          </cell>
          <cell r="L1025" t="str">
            <v>HD</v>
          </cell>
          <cell r="M1025" t="str">
            <v>x</v>
          </cell>
          <cell r="N1025" t="e">
            <v>#N/A</v>
          </cell>
          <cell r="O1025" t="str">
            <v>Disposible Housing Air Filter</v>
          </cell>
        </row>
        <row r="1026">
          <cell r="K1026" t="str">
            <v>LAF1809</v>
          </cell>
          <cell r="L1026" t="str">
            <v>HD</v>
          </cell>
          <cell r="M1026" t="str">
            <v>x</v>
          </cell>
          <cell r="N1026" t="e">
            <v>#N/A</v>
          </cell>
          <cell r="O1026" t="str">
            <v>HD Metal-End Air Filter</v>
          </cell>
        </row>
        <row r="1027">
          <cell r="K1027" t="str">
            <v>LAF4500</v>
          </cell>
          <cell r="L1027" t="str">
            <v>HD</v>
          </cell>
          <cell r="M1027" t="str">
            <v>x</v>
          </cell>
          <cell r="N1027" t="e">
            <v>#N/A</v>
          </cell>
          <cell r="O1027" t="str">
            <v>Radial Seal Inner Air Filter</v>
          </cell>
        </row>
        <row r="1028">
          <cell r="K1028" t="str">
            <v>LAF4340</v>
          </cell>
          <cell r="L1028" t="str">
            <v>HD</v>
          </cell>
          <cell r="M1028" t="str">
            <v>x</v>
          </cell>
          <cell r="N1028" t="e">
            <v>#N/A</v>
          </cell>
          <cell r="O1028" t="str">
            <v>Cabin Air Filter</v>
          </cell>
        </row>
        <row r="1029">
          <cell r="K1029" t="str">
            <v>LAF8487</v>
          </cell>
          <cell r="L1029" t="str">
            <v>HD</v>
          </cell>
          <cell r="M1029" t="str">
            <v>x</v>
          </cell>
          <cell r="N1029" t="str">
            <v>LAF8487</v>
          </cell>
          <cell r="O1029" t="str">
            <v>Disposible Housing Air Filter</v>
          </cell>
        </row>
        <row r="1030">
          <cell r="K1030" t="str">
            <v>LFF8021</v>
          </cell>
          <cell r="L1030" t="str">
            <v>HD</v>
          </cell>
          <cell r="M1030" t="str">
            <v>x</v>
          </cell>
          <cell r="N1030" t="e">
            <v>#N/A</v>
          </cell>
          <cell r="O1030" t="str">
            <v>Spin-on Fuel Water Separator Filter</v>
          </cell>
        </row>
        <row r="1031">
          <cell r="K1031" t="str">
            <v>LFP2267</v>
          </cell>
          <cell r="L1031" t="str">
            <v>HD</v>
          </cell>
          <cell r="M1031" t="str">
            <v>x</v>
          </cell>
          <cell r="N1031" t="e">
            <v>#N/A</v>
          </cell>
          <cell r="O1031" t="str">
            <v>Spin-on Oil Filter</v>
          </cell>
        </row>
        <row r="1032">
          <cell r="K1032" t="str">
            <v>LFH4439</v>
          </cell>
          <cell r="L1032" t="str">
            <v>HD</v>
          </cell>
          <cell r="M1032" t="str">
            <v>x</v>
          </cell>
          <cell r="N1032" t="e">
            <v>#N/A</v>
          </cell>
          <cell r="O1032" t="str">
            <v>Spin-on Hydraulic Filter</v>
          </cell>
        </row>
        <row r="1033">
          <cell r="K1033" t="str">
            <v>LAF388B</v>
          </cell>
          <cell r="L1033" t="str">
            <v>HD</v>
          </cell>
          <cell r="M1033" t="str">
            <v>x</v>
          </cell>
          <cell r="N1033" t="e">
            <v>#N/A</v>
          </cell>
          <cell r="O1033" t="str">
            <v>Round Air Filter with Foam Wrap</v>
          </cell>
        </row>
        <row r="1034">
          <cell r="K1034" t="str">
            <v>LAF3780</v>
          </cell>
          <cell r="L1034" t="str">
            <v>HD</v>
          </cell>
          <cell r="M1034" t="str">
            <v>x</v>
          </cell>
          <cell r="N1034" t="e">
            <v>#N/A</v>
          </cell>
          <cell r="O1034" t="str">
            <v>Panel Air Filter Irregular Shaped</v>
          </cell>
        </row>
        <row r="1035">
          <cell r="K1035" t="str">
            <v>LAF1716</v>
          </cell>
          <cell r="L1035" t="str">
            <v>HD</v>
          </cell>
          <cell r="M1035" t="str">
            <v>x</v>
          </cell>
          <cell r="N1035" t="e">
            <v>#N/A</v>
          </cell>
          <cell r="O1035" t="str">
            <v>HD Metal-End Air Filter</v>
          </cell>
        </row>
        <row r="1036">
          <cell r="K1036" t="str">
            <v>LFH8500</v>
          </cell>
          <cell r="L1036" t="str">
            <v>HD</v>
          </cell>
          <cell r="M1036" t="str">
            <v>x</v>
          </cell>
          <cell r="N1036" t="e">
            <v>#N/A</v>
          </cell>
          <cell r="O1036" t="str">
            <v>Spin-on Hydraulic Filter</v>
          </cell>
        </row>
        <row r="1037">
          <cell r="K1037" t="str">
            <v>LFP2238</v>
          </cell>
          <cell r="L1037" t="str">
            <v>HD</v>
          </cell>
          <cell r="M1037" t="str">
            <v>x</v>
          </cell>
          <cell r="N1037" t="e">
            <v>#N/A</v>
          </cell>
          <cell r="O1037" t="str">
            <v>Spin-on Oil Filter</v>
          </cell>
        </row>
        <row r="1038">
          <cell r="K1038" t="str">
            <v>LAF5482</v>
          </cell>
          <cell r="L1038" t="str">
            <v>HD</v>
          </cell>
          <cell r="M1038" t="str">
            <v>x</v>
          </cell>
          <cell r="N1038" t="e">
            <v>#N/A</v>
          </cell>
          <cell r="O1038" t="str">
            <v>Cabin Air Filter</v>
          </cell>
        </row>
        <row r="1039">
          <cell r="K1039" t="str">
            <v>LAF8777</v>
          </cell>
          <cell r="L1039" t="str">
            <v>HD</v>
          </cell>
          <cell r="M1039" t="str">
            <v>x</v>
          </cell>
          <cell r="N1039" t="e">
            <v>#N/A</v>
          </cell>
          <cell r="O1039" t="str">
            <v>Flexible Panel Air Filter</v>
          </cell>
        </row>
        <row r="1040">
          <cell r="K1040" t="str">
            <v>FP863F</v>
          </cell>
          <cell r="L1040" t="str">
            <v>HD</v>
          </cell>
          <cell r="M1040" t="str">
            <v>x</v>
          </cell>
          <cell r="N1040" t="e">
            <v>#N/A</v>
          </cell>
          <cell r="O1040" t="str">
            <v>Spin-on Fuel Water Separator Filter</v>
          </cell>
        </row>
        <row r="1041">
          <cell r="K1041" t="str">
            <v>CAF24008</v>
          </cell>
          <cell r="L1041" t="str">
            <v>HD</v>
          </cell>
          <cell r="M1041" t="str">
            <v>x</v>
          </cell>
          <cell r="N1041" t="e">
            <v>#N/A</v>
          </cell>
          <cell r="O1041" t="str">
            <v>Cabin Air Filter</v>
          </cell>
        </row>
        <row r="1042">
          <cell r="K1042" t="str">
            <v>LAF121</v>
          </cell>
          <cell r="L1042" t="str">
            <v>HD</v>
          </cell>
          <cell r="M1042" t="str">
            <v>x</v>
          </cell>
          <cell r="N1042" t="e">
            <v>#N/A</v>
          </cell>
          <cell r="O1042" t="str">
            <v>Round Air Filter</v>
          </cell>
        </row>
        <row r="1043">
          <cell r="K1043" t="str">
            <v>LFF15DPS</v>
          </cell>
          <cell r="L1043" t="str">
            <v>HD</v>
          </cell>
          <cell r="M1043" t="str">
            <v>x</v>
          </cell>
          <cell r="N1043" t="e">
            <v>#N/A</v>
          </cell>
          <cell r="O1043" t="str">
            <v>Fuel Dispensing Filter</v>
          </cell>
        </row>
        <row r="1044">
          <cell r="K1044" t="str">
            <v>LAF4575</v>
          </cell>
          <cell r="L1044" t="str">
            <v>HD</v>
          </cell>
          <cell r="M1044" t="str">
            <v>x</v>
          </cell>
          <cell r="N1044" t="e">
            <v>#N/A</v>
          </cell>
          <cell r="O1044" t="str">
            <v>Cone Shaped Conical Air Filter</v>
          </cell>
        </row>
        <row r="1045">
          <cell r="K1045" t="str">
            <v>LAF7757</v>
          </cell>
          <cell r="L1045" t="str">
            <v>HD</v>
          </cell>
          <cell r="M1045" t="str">
            <v>x</v>
          </cell>
          <cell r="N1045" t="e">
            <v>#N/A</v>
          </cell>
          <cell r="O1045" t="str">
            <v>Metal-End Air Filter with Closed Top End Cap</v>
          </cell>
        </row>
        <row r="1046">
          <cell r="K1046" t="str">
            <v>L901B</v>
          </cell>
          <cell r="L1046" t="str">
            <v>HD</v>
          </cell>
          <cell r="M1046" t="str">
            <v>x</v>
          </cell>
          <cell r="N1046" t="e">
            <v>#N/A</v>
          </cell>
          <cell r="O1046" t="str">
            <v>Glass Bowl</v>
          </cell>
        </row>
        <row r="1047">
          <cell r="K1047" t="str">
            <v>LAF5818</v>
          </cell>
          <cell r="L1047" t="str">
            <v>HD</v>
          </cell>
          <cell r="M1047" t="str">
            <v>x</v>
          </cell>
          <cell r="N1047" t="e">
            <v>#N/A</v>
          </cell>
          <cell r="O1047" t="str">
            <v>Rigid Panel Air Filter</v>
          </cell>
        </row>
        <row r="1048">
          <cell r="K1048" t="str">
            <v>LAF760A</v>
          </cell>
          <cell r="L1048" t="str">
            <v>HD</v>
          </cell>
          <cell r="M1048" t="str">
            <v>x</v>
          </cell>
          <cell r="N1048" t="e">
            <v>#N/A</v>
          </cell>
          <cell r="O1048" t="str">
            <v>HD Metal-End Air Filter</v>
          </cell>
        </row>
        <row r="1049">
          <cell r="K1049" t="str">
            <v>L8892F</v>
          </cell>
          <cell r="L1049" t="str">
            <v>HD</v>
          </cell>
          <cell r="M1049" t="str">
            <v>x</v>
          </cell>
          <cell r="N1049" t="e">
            <v>#N/A</v>
          </cell>
          <cell r="O1049" t="str">
            <v>Snap-Lock Fuel Filter</v>
          </cell>
        </row>
        <row r="1050">
          <cell r="K1050" t="str">
            <v>LFW4018</v>
          </cell>
          <cell r="L1050" t="str">
            <v>HD</v>
          </cell>
          <cell r="M1050" t="str">
            <v>x</v>
          </cell>
          <cell r="N1050" t="e">
            <v>#N/A</v>
          </cell>
          <cell r="O1050" t="str">
            <v>Spin-on Coolant Filter</v>
          </cell>
        </row>
        <row r="1051">
          <cell r="K1051" t="str">
            <v>LAF1675</v>
          </cell>
          <cell r="L1051" t="str">
            <v>HD</v>
          </cell>
          <cell r="M1051" t="str">
            <v>x</v>
          </cell>
          <cell r="N1051" t="e">
            <v>#N/A</v>
          </cell>
          <cell r="O1051" t="str">
            <v>Flexible Panel Air Filter</v>
          </cell>
        </row>
        <row r="1052">
          <cell r="K1052" t="str">
            <v>LAF7234</v>
          </cell>
          <cell r="L1052" t="str">
            <v>HD</v>
          </cell>
          <cell r="M1052" t="str">
            <v>x</v>
          </cell>
          <cell r="N1052" t="e">
            <v>#N/A</v>
          </cell>
          <cell r="O1052" t="str">
            <v>Flexible Panel Air Filter</v>
          </cell>
        </row>
        <row r="1053">
          <cell r="K1053" t="str">
            <v>LP2017CAPT</v>
          </cell>
          <cell r="L1053" t="str">
            <v>HD</v>
          </cell>
          <cell r="M1053" t="str">
            <v>x</v>
          </cell>
          <cell r="N1053" t="e">
            <v>#N/A</v>
          </cell>
          <cell r="O1053" t="str">
            <v>Housing Cap for Ford Super Duty truck using LP2017 Filter</v>
          </cell>
        </row>
        <row r="1054">
          <cell r="K1054" t="str">
            <v>LFF9012</v>
          </cell>
          <cell r="L1054" t="str">
            <v>HD</v>
          </cell>
          <cell r="M1054" t="str">
            <v>x</v>
          </cell>
          <cell r="N1054" t="e">
            <v>#N/A</v>
          </cell>
          <cell r="O1054" t="str">
            <v>Bowl Style Fuel Water Separator Filter</v>
          </cell>
        </row>
        <row r="1055">
          <cell r="K1055" t="str">
            <v>LFH5004</v>
          </cell>
          <cell r="L1055" t="str">
            <v>HD</v>
          </cell>
          <cell r="M1055" t="str">
            <v>x</v>
          </cell>
          <cell r="N1055" t="e">
            <v>#N/A</v>
          </cell>
          <cell r="O1055" t="str">
            <v>Spin-on Hydraulic Filter</v>
          </cell>
        </row>
        <row r="1056">
          <cell r="K1056" t="str">
            <v>CAF24007XL</v>
          </cell>
          <cell r="L1056" t="str">
            <v>HD</v>
          </cell>
          <cell r="M1056" t="str">
            <v>x</v>
          </cell>
          <cell r="N1056" t="e">
            <v>#N/A</v>
          </cell>
          <cell r="O1056" t="str">
            <v>Cabin Air Filter (Carbon) Extreme Clean</v>
          </cell>
        </row>
        <row r="1057">
          <cell r="K1057" t="str">
            <v>CAF24020</v>
          </cell>
          <cell r="L1057" t="str">
            <v>HD</v>
          </cell>
          <cell r="M1057" t="str">
            <v>x</v>
          </cell>
          <cell r="N1057" t="e">
            <v>#N/A</v>
          </cell>
          <cell r="O1057" t="str">
            <v>Cabin Air Filter</v>
          </cell>
        </row>
        <row r="1058">
          <cell r="K1058" t="str">
            <v>LAF1726</v>
          </cell>
          <cell r="L1058" t="str">
            <v>HD</v>
          </cell>
          <cell r="M1058" t="str">
            <v>x</v>
          </cell>
          <cell r="N1058" t="e">
            <v>#N/A</v>
          </cell>
          <cell r="O1058" t="str">
            <v>HD Metal-End Air Filter</v>
          </cell>
        </row>
        <row r="1059">
          <cell r="K1059" t="str">
            <v>LAF7716</v>
          </cell>
          <cell r="L1059" t="str">
            <v>HD</v>
          </cell>
          <cell r="M1059" t="str">
            <v>x</v>
          </cell>
          <cell r="N1059" t="e">
            <v>#N/A</v>
          </cell>
          <cell r="O1059" t="str">
            <v>HD Metal-End Air Filter</v>
          </cell>
        </row>
        <row r="1060">
          <cell r="K1060" t="str">
            <v>LFH4943</v>
          </cell>
          <cell r="L1060" t="str">
            <v>HD</v>
          </cell>
          <cell r="M1060" t="str">
            <v>x</v>
          </cell>
          <cell r="N1060" t="e">
            <v>#N/A</v>
          </cell>
          <cell r="O1060" t="str">
            <v>Spin-on Hydraulic Filter</v>
          </cell>
        </row>
        <row r="1061">
          <cell r="K1061" t="str">
            <v>LFP2303</v>
          </cell>
          <cell r="L1061" t="str">
            <v>HD</v>
          </cell>
          <cell r="M1061" t="str">
            <v>x</v>
          </cell>
          <cell r="N1061" t="e">
            <v>#N/A</v>
          </cell>
          <cell r="O1061" t="str">
            <v>Spin-on Oil Filter</v>
          </cell>
        </row>
        <row r="1062">
          <cell r="K1062" t="str">
            <v>LAF3952</v>
          </cell>
          <cell r="L1062" t="str">
            <v>HD</v>
          </cell>
          <cell r="M1062" t="str">
            <v>x</v>
          </cell>
          <cell r="N1062" t="str">
            <v>LAF3952</v>
          </cell>
          <cell r="O1062" t="str">
            <v>Radial Seal Inner Air Filter</v>
          </cell>
        </row>
        <row r="1063">
          <cell r="K1063" t="str">
            <v>LAF8749</v>
          </cell>
          <cell r="L1063" t="str">
            <v>HD</v>
          </cell>
          <cell r="M1063" t="str">
            <v>x</v>
          </cell>
          <cell r="N1063" t="e">
            <v>#N/A</v>
          </cell>
          <cell r="O1063" t="str">
            <v>Radial Seal Outer Air Filter</v>
          </cell>
        </row>
        <row r="1064">
          <cell r="K1064" t="str">
            <v>L61F</v>
          </cell>
          <cell r="L1064" t="str">
            <v>HD</v>
          </cell>
          <cell r="M1064" t="str">
            <v>x</v>
          </cell>
          <cell r="N1064" t="e">
            <v>#N/A</v>
          </cell>
          <cell r="O1064" t="str">
            <v>Cartridge Fuel Filter</v>
          </cell>
        </row>
        <row r="1065">
          <cell r="K1065" t="str">
            <v>LAF6030</v>
          </cell>
          <cell r="L1065" t="str">
            <v>HD</v>
          </cell>
          <cell r="M1065" t="str">
            <v>x</v>
          </cell>
          <cell r="N1065" t="e">
            <v>#N/A</v>
          </cell>
          <cell r="O1065" t="str">
            <v>Rigid Panel Air Filter</v>
          </cell>
        </row>
        <row r="1066">
          <cell r="K1066" t="str">
            <v>LK368CA</v>
          </cell>
          <cell r="L1066" t="str">
            <v>HD</v>
          </cell>
          <cell r="M1066" t="str">
            <v>x</v>
          </cell>
          <cell r="N1066" t="e">
            <v>#N/A</v>
          </cell>
          <cell r="O1066" t="str">
            <v>Caterpillar Maintenance Kit</v>
          </cell>
        </row>
        <row r="1067">
          <cell r="K1067" t="str">
            <v>LH4263</v>
          </cell>
          <cell r="L1067" t="str">
            <v>HD</v>
          </cell>
          <cell r="M1067" t="str">
            <v>x</v>
          </cell>
          <cell r="N1067" t="e">
            <v>#N/A</v>
          </cell>
          <cell r="O1067" t="str">
            <v>Cartridge Transmission (Hydraulic) Filter</v>
          </cell>
        </row>
        <row r="1068">
          <cell r="K1068" t="str">
            <v>LH2512</v>
          </cell>
          <cell r="L1068" t="str">
            <v>HD</v>
          </cell>
          <cell r="M1068" t="str">
            <v>x</v>
          </cell>
          <cell r="N1068" t="e">
            <v>#N/A</v>
          </cell>
          <cell r="O1068" t="str">
            <v>Cartridge Power Steering (Hydraulic) Filter</v>
          </cell>
        </row>
        <row r="1069">
          <cell r="K1069" t="str">
            <v>LP2235</v>
          </cell>
          <cell r="L1069" t="str">
            <v>HD</v>
          </cell>
          <cell r="M1069" t="str">
            <v>x</v>
          </cell>
          <cell r="N1069" t="e">
            <v>#N/A</v>
          </cell>
          <cell r="O1069" t="str">
            <v>Cartridge Oil Filter</v>
          </cell>
        </row>
        <row r="1070">
          <cell r="K1070" t="str">
            <v>LAF8393</v>
          </cell>
          <cell r="L1070" t="str">
            <v>HD</v>
          </cell>
          <cell r="M1070" t="str">
            <v>x</v>
          </cell>
          <cell r="N1070" t="e">
            <v>#N/A</v>
          </cell>
          <cell r="O1070" t="str">
            <v>Panel Air Filter Metal Framed</v>
          </cell>
        </row>
        <row r="1071">
          <cell r="K1071" t="str">
            <v>LFF5784</v>
          </cell>
          <cell r="L1071" t="str">
            <v>HD</v>
          </cell>
          <cell r="M1071" t="str">
            <v>x</v>
          </cell>
          <cell r="N1071" t="e">
            <v>#N/A</v>
          </cell>
          <cell r="O1071" t="str">
            <v>Spin-on Fuel Filter</v>
          </cell>
        </row>
        <row r="1072">
          <cell r="K1072" t="str">
            <v>LAF9542</v>
          </cell>
          <cell r="L1072" t="str">
            <v>HD</v>
          </cell>
          <cell r="M1072" t="str">
            <v>x</v>
          </cell>
          <cell r="N1072" t="e">
            <v>#N/A</v>
          </cell>
          <cell r="O1072" t="str">
            <v>Radial Seal Outer Air Filter</v>
          </cell>
        </row>
        <row r="1073">
          <cell r="K1073" t="str">
            <v>LFF8677</v>
          </cell>
          <cell r="L1073" t="str">
            <v>HD</v>
          </cell>
          <cell r="M1073" t="str">
            <v>x</v>
          </cell>
          <cell r="N1073" t="e">
            <v>#N/A</v>
          </cell>
          <cell r="O1073" t="str">
            <v>Spin-on Fuel Filter</v>
          </cell>
        </row>
        <row r="1074">
          <cell r="K1074" t="str">
            <v>LAF965</v>
          </cell>
          <cell r="L1074" t="str">
            <v>HD</v>
          </cell>
          <cell r="M1074" t="str">
            <v>x</v>
          </cell>
          <cell r="N1074" t="e">
            <v>#N/A</v>
          </cell>
          <cell r="O1074" t="str">
            <v>Round Air Filter</v>
          </cell>
        </row>
        <row r="1075">
          <cell r="K1075" t="str">
            <v>LAF2536MXM</v>
          </cell>
          <cell r="L1075" t="str">
            <v>HD</v>
          </cell>
          <cell r="M1075" t="str">
            <v>x</v>
          </cell>
          <cell r="N1075" t="e">
            <v>#N/A</v>
          </cell>
          <cell r="O1075" t="str">
            <v>Nano Tech HD Metal-End Air Filter Outer</v>
          </cell>
        </row>
        <row r="1076">
          <cell r="K1076" t="str">
            <v>L3561F</v>
          </cell>
          <cell r="L1076" t="str">
            <v>HD</v>
          </cell>
          <cell r="M1076" t="str">
            <v>x</v>
          </cell>
          <cell r="N1076" t="e">
            <v>#N/A</v>
          </cell>
          <cell r="O1076" t="str">
            <v>Cartridge Fuel Filter</v>
          </cell>
        </row>
        <row r="1077">
          <cell r="K1077" t="str">
            <v>LAF8769</v>
          </cell>
          <cell r="L1077" t="str">
            <v>HD</v>
          </cell>
          <cell r="M1077" t="str">
            <v>x</v>
          </cell>
          <cell r="N1077" t="e">
            <v>#N/A</v>
          </cell>
          <cell r="O1077" t="str">
            <v>Radial Seal Outer Air Filter</v>
          </cell>
        </row>
        <row r="1078">
          <cell r="K1078" t="str">
            <v>LFF4812D-30</v>
          </cell>
          <cell r="L1078" t="str">
            <v>HD</v>
          </cell>
          <cell r="M1078" t="str">
            <v>x</v>
          </cell>
          <cell r="N1078" t="e">
            <v>#N/A</v>
          </cell>
          <cell r="O1078" t="str">
            <v>Spin-on Fuel Water Separator Filter</v>
          </cell>
        </row>
        <row r="1079">
          <cell r="K1079" t="str">
            <v>LAF8115</v>
          </cell>
          <cell r="L1079" t="str">
            <v>HD</v>
          </cell>
          <cell r="M1079" t="str">
            <v>x</v>
          </cell>
          <cell r="N1079" t="e">
            <v>#N/A</v>
          </cell>
          <cell r="O1079" t="str">
            <v>Radial Seal Inner Air Filter</v>
          </cell>
        </row>
        <row r="1080">
          <cell r="K1080" t="str">
            <v>LFH8880G</v>
          </cell>
          <cell r="L1080" t="str">
            <v>HD</v>
          </cell>
          <cell r="M1080" t="str">
            <v>x</v>
          </cell>
          <cell r="N1080" t="e">
            <v>#N/A</v>
          </cell>
          <cell r="O1080" t="str">
            <v>Spin-on Hydraulic Filter</v>
          </cell>
        </row>
        <row r="1081">
          <cell r="K1081" t="str">
            <v>L3546F</v>
          </cell>
          <cell r="L1081" t="str">
            <v>HD</v>
          </cell>
          <cell r="M1081" t="str">
            <v>x</v>
          </cell>
          <cell r="N1081" t="e">
            <v>#N/A</v>
          </cell>
          <cell r="O1081" t="str">
            <v>Spin-on Fuel Water Separator Filter</v>
          </cell>
        </row>
        <row r="1082">
          <cell r="K1082" t="str">
            <v>LAF8690</v>
          </cell>
          <cell r="L1082" t="str">
            <v>HD</v>
          </cell>
          <cell r="M1082" t="str">
            <v>x</v>
          </cell>
          <cell r="N1082" t="e">
            <v>#N/A</v>
          </cell>
          <cell r="O1082" t="str">
            <v>Radial Seal Inner Air Filter</v>
          </cell>
        </row>
        <row r="1083">
          <cell r="K1083" t="str">
            <v>LFF8041</v>
          </cell>
          <cell r="L1083" t="str">
            <v>HD</v>
          </cell>
          <cell r="M1083" t="str">
            <v>x</v>
          </cell>
          <cell r="N1083" t="e">
            <v>#N/A</v>
          </cell>
          <cell r="O1083" t="str">
            <v>Spin-on Fuel Water Separator Filter</v>
          </cell>
        </row>
        <row r="1084">
          <cell r="K1084" t="str">
            <v>LH4237</v>
          </cell>
          <cell r="L1084" t="str">
            <v>HD</v>
          </cell>
          <cell r="M1084" t="str">
            <v>x</v>
          </cell>
          <cell r="N1084" t="e">
            <v>#N/A</v>
          </cell>
          <cell r="O1084" t="str">
            <v>Cartridge Hydraulic Filter</v>
          </cell>
        </row>
        <row r="1085">
          <cell r="K1085" t="str">
            <v>LFH4935</v>
          </cell>
          <cell r="L1085" t="str">
            <v>HD</v>
          </cell>
          <cell r="M1085" t="str">
            <v>x</v>
          </cell>
          <cell r="N1085" t="str">
            <v>LFH4935</v>
          </cell>
          <cell r="O1085" t="str">
            <v>Spin-on Hydraulic Filter</v>
          </cell>
        </row>
        <row r="1086">
          <cell r="K1086" t="str">
            <v>LFP2473</v>
          </cell>
          <cell r="L1086" t="str">
            <v>HD</v>
          </cell>
          <cell r="M1086" t="str">
            <v>x</v>
          </cell>
          <cell r="N1086" t="e">
            <v>#N/A</v>
          </cell>
          <cell r="O1086" t="str">
            <v>Spin-on Oil Filter</v>
          </cell>
        </row>
        <row r="1087">
          <cell r="K1087" t="str">
            <v>LAF3713</v>
          </cell>
          <cell r="L1087" t="str">
            <v>HD</v>
          </cell>
          <cell r="M1087" t="str">
            <v>x</v>
          </cell>
          <cell r="N1087" t="e">
            <v>#N/A</v>
          </cell>
          <cell r="O1087" t="str">
            <v>Cone Shaped Conical Air Filter</v>
          </cell>
        </row>
        <row r="1088">
          <cell r="K1088" t="str">
            <v>LFF5780</v>
          </cell>
          <cell r="L1088" t="str">
            <v>HD</v>
          </cell>
          <cell r="M1088" t="str">
            <v>x</v>
          </cell>
          <cell r="N1088" t="e">
            <v>#N/A</v>
          </cell>
          <cell r="O1088" t="str">
            <v>Spin-on Fuel Filter</v>
          </cell>
        </row>
        <row r="1089">
          <cell r="K1089" t="str">
            <v>LFH4967</v>
          </cell>
          <cell r="L1089" t="str">
            <v>HD</v>
          </cell>
          <cell r="M1089" t="str">
            <v>x</v>
          </cell>
          <cell r="N1089" t="e">
            <v>#N/A</v>
          </cell>
          <cell r="O1089" t="str">
            <v>Spin-on Hydraulic Filter</v>
          </cell>
        </row>
        <row r="1090">
          <cell r="K1090" t="str">
            <v>LAF2531</v>
          </cell>
          <cell r="L1090" t="str">
            <v>HD</v>
          </cell>
          <cell r="M1090" t="str">
            <v>x</v>
          </cell>
          <cell r="N1090" t="e">
            <v>#N/A</v>
          </cell>
          <cell r="O1090" t="str">
            <v>Disposible Housing Air Filter</v>
          </cell>
        </row>
        <row r="1091">
          <cell r="K1091" t="str">
            <v>FW5HD</v>
          </cell>
          <cell r="L1091" t="str">
            <v>HD</v>
          </cell>
          <cell r="M1091" t="str">
            <v>x</v>
          </cell>
          <cell r="N1091" t="e">
            <v>#N/A</v>
          </cell>
          <cell r="O1091" t="str">
            <v>Heavy Duty Band Wrench requires 1/2" drive tool. Used on 4 21/32 to 5 5/32" diamter filters.</v>
          </cell>
        </row>
        <row r="1092">
          <cell r="K1092" t="str">
            <v>LFF8270</v>
          </cell>
          <cell r="L1092" t="str">
            <v>HD</v>
          </cell>
          <cell r="M1092" t="str">
            <v>x</v>
          </cell>
          <cell r="N1092" t="e">
            <v>#N/A</v>
          </cell>
          <cell r="O1092" t="str">
            <v>Spin-on Fuel Water Separator Filter</v>
          </cell>
        </row>
        <row r="1093">
          <cell r="K1093" t="str">
            <v>LAF852</v>
          </cell>
          <cell r="L1093" t="str">
            <v>HD</v>
          </cell>
          <cell r="M1093" t="str">
            <v>x</v>
          </cell>
          <cell r="N1093" t="e">
            <v>#N/A</v>
          </cell>
          <cell r="O1093" t="str">
            <v>HD Metal-End Air Filter</v>
          </cell>
        </row>
        <row r="1094">
          <cell r="K1094" t="str">
            <v>LFF9519</v>
          </cell>
          <cell r="L1094" t="str">
            <v>HD</v>
          </cell>
          <cell r="M1094" t="str">
            <v>x</v>
          </cell>
          <cell r="N1094" t="e">
            <v>#N/A</v>
          </cell>
          <cell r="O1094" t="str">
            <v>Spin-on Fuel Water Separator Filter</v>
          </cell>
        </row>
        <row r="1095">
          <cell r="K1095" t="str">
            <v>LAF8044</v>
          </cell>
          <cell r="L1095" t="str">
            <v>HD</v>
          </cell>
          <cell r="M1095" t="str">
            <v>x</v>
          </cell>
          <cell r="N1095" t="e">
            <v>#N/A</v>
          </cell>
          <cell r="O1095" t="str">
            <v>Cone Shaped Conical Air Filter</v>
          </cell>
        </row>
        <row r="1096">
          <cell r="K1096" t="str">
            <v>ZINC</v>
          </cell>
          <cell r="L1096" t="str">
            <v>HD</v>
          </cell>
          <cell r="M1096" t="str">
            <v>x</v>
          </cell>
          <cell r="N1096" t="e">
            <v>#N/A</v>
          </cell>
          <cell r="O1096" t="str">
            <v>Hollow Bolt, Outlet/500B, C, 750-B &amp; C, CT</v>
          </cell>
        </row>
        <row r="1097">
          <cell r="K1097" t="str">
            <v>LAF853</v>
          </cell>
          <cell r="L1097" t="str">
            <v>HD</v>
          </cell>
          <cell r="M1097" t="str">
            <v>x</v>
          </cell>
          <cell r="N1097" t="e">
            <v>#N/A</v>
          </cell>
          <cell r="O1097" t="str">
            <v>HD Metal-End Air Filter</v>
          </cell>
        </row>
        <row r="1098">
          <cell r="K1098" t="str">
            <v>LAF5720</v>
          </cell>
          <cell r="L1098" t="str">
            <v>HD</v>
          </cell>
          <cell r="M1098" t="str">
            <v>x</v>
          </cell>
          <cell r="N1098" t="e">
            <v>#N/A</v>
          </cell>
          <cell r="O1098" t="str">
            <v>Radial Seal Inner Air Filter</v>
          </cell>
        </row>
        <row r="1099">
          <cell r="K1099" t="str">
            <v>LAF5866</v>
          </cell>
          <cell r="L1099" t="str">
            <v>HD</v>
          </cell>
          <cell r="M1099" t="str">
            <v>x</v>
          </cell>
          <cell r="N1099" t="e">
            <v>#N/A</v>
          </cell>
          <cell r="O1099" t="str">
            <v>Rigid Panel Air Filter</v>
          </cell>
        </row>
        <row r="1100">
          <cell r="K1100" t="str">
            <v>LAF8628</v>
          </cell>
          <cell r="L1100" t="str">
            <v>HD</v>
          </cell>
          <cell r="M1100" t="str">
            <v>x</v>
          </cell>
          <cell r="N1100" t="e">
            <v>#N/A</v>
          </cell>
          <cell r="O1100" t="str">
            <v>Panel Air Filter</v>
          </cell>
        </row>
        <row r="1101">
          <cell r="K1101" t="str">
            <v>LFP5963</v>
          </cell>
          <cell r="L1101" t="str">
            <v>HD</v>
          </cell>
          <cell r="M1101" t="str">
            <v>x</v>
          </cell>
          <cell r="N1101" t="e">
            <v>#N/A</v>
          </cell>
          <cell r="O1101" t="str">
            <v>Spin-on Oil Filter</v>
          </cell>
        </row>
        <row r="1102">
          <cell r="K1102" t="str">
            <v>LK237M</v>
          </cell>
          <cell r="L1102" t="str">
            <v>HD</v>
          </cell>
          <cell r="M1102" t="str">
            <v>x</v>
          </cell>
          <cell r="N1102" t="e">
            <v>#N/A</v>
          </cell>
          <cell r="O1102" t="str">
            <v>Mack Engine Maintenance Kit</v>
          </cell>
        </row>
        <row r="1103">
          <cell r="K1103" t="str">
            <v>LP32</v>
          </cell>
          <cell r="L1103" t="str">
            <v>HD</v>
          </cell>
          <cell r="M1103" t="str">
            <v>x</v>
          </cell>
          <cell r="N1103" t="e">
            <v>#N/A</v>
          </cell>
          <cell r="O1103" t="str">
            <v>Cartridge Oil Filter</v>
          </cell>
        </row>
        <row r="1104">
          <cell r="K1104" t="str">
            <v>LAF519</v>
          </cell>
          <cell r="L1104" t="str">
            <v>HD</v>
          </cell>
          <cell r="M1104" t="str">
            <v>x</v>
          </cell>
          <cell r="N1104" t="e">
            <v>#N/A</v>
          </cell>
          <cell r="O1104" t="str">
            <v>Rigid Panel Air Filter</v>
          </cell>
        </row>
        <row r="1105">
          <cell r="K1105" t="str">
            <v>LAF8955</v>
          </cell>
          <cell r="L1105" t="str">
            <v>HD</v>
          </cell>
          <cell r="M1105" t="str">
            <v>x</v>
          </cell>
          <cell r="N1105" t="e">
            <v>#N/A</v>
          </cell>
          <cell r="O1105" t="str">
            <v>Metal-End Air Filter with Closed Top End Cap</v>
          </cell>
        </row>
        <row r="1106">
          <cell r="K1106" t="str">
            <v>LAF5827</v>
          </cell>
          <cell r="L1106" t="str">
            <v>HD</v>
          </cell>
          <cell r="M1106" t="str">
            <v>x</v>
          </cell>
          <cell r="N1106" t="e">
            <v>#N/A</v>
          </cell>
          <cell r="O1106" t="str">
            <v>Round Air Filter</v>
          </cell>
        </row>
        <row r="1107">
          <cell r="K1107" t="str">
            <v>LAF8671</v>
          </cell>
          <cell r="L1107" t="str">
            <v>HD</v>
          </cell>
          <cell r="M1107" t="str">
            <v>x</v>
          </cell>
          <cell r="N1107" t="e">
            <v>#N/A</v>
          </cell>
          <cell r="O1107" t="str">
            <v>Disposible Housing Air Filter</v>
          </cell>
        </row>
        <row r="1108">
          <cell r="K1108" t="str">
            <v>LAF3948</v>
          </cell>
          <cell r="L1108" t="str">
            <v>HD</v>
          </cell>
          <cell r="M1108" t="str">
            <v>x</v>
          </cell>
          <cell r="N1108" t="e">
            <v>#N/A</v>
          </cell>
          <cell r="O1108" t="str">
            <v>Radial Seal Inner Air Filter</v>
          </cell>
        </row>
        <row r="1109">
          <cell r="K1109" t="str">
            <v>LFF3477</v>
          </cell>
          <cell r="L1109" t="str">
            <v>HD</v>
          </cell>
          <cell r="M1109" t="str">
            <v>x</v>
          </cell>
          <cell r="N1109" t="e">
            <v>#N/A</v>
          </cell>
          <cell r="O1109" t="str">
            <v>Spin-on Fuel Water Separator Filter</v>
          </cell>
        </row>
        <row r="1110">
          <cell r="K1110" t="str">
            <v>LFP5919</v>
          </cell>
          <cell r="L1110" t="str">
            <v>HD</v>
          </cell>
          <cell r="M1110" t="str">
            <v>x</v>
          </cell>
          <cell r="N1110" t="e">
            <v>#N/A</v>
          </cell>
          <cell r="O1110" t="str">
            <v>Spin-on Oil Filter</v>
          </cell>
        </row>
        <row r="1111">
          <cell r="K1111" t="str">
            <v>LAF6029</v>
          </cell>
          <cell r="L1111" t="str">
            <v>HD</v>
          </cell>
          <cell r="M1111" t="str">
            <v>x</v>
          </cell>
          <cell r="N1111" t="e">
            <v>#N/A</v>
          </cell>
          <cell r="O1111" t="str">
            <v>Radial Seal Outer Air Filter</v>
          </cell>
        </row>
        <row r="1112">
          <cell r="K1112" t="str">
            <v>LFH3990-03</v>
          </cell>
          <cell r="L1112" t="str">
            <v>HD</v>
          </cell>
          <cell r="M1112" t="str">
            <v>x</v>
          </cell>
          <cell r="N1112" t="e">
            <v>#N/A</v>
          </cell>
          <cell r="O1112" t="str">
            <v>Spin-on Hydraulic Filter</v>
          </cell>
        </row>
        <row r="1113">
          <cell r="K1113" t="str">
            <v>LAF1804</v>
          </cell>
          <cell r="L1113" t="str">
            <v>HD</v>
          </cell>
          <cell r="M1113" t="str">
            <v>x</v>
          </cell>
          <cell r="N1113" t="e">
            <v>#N/A</v>
          </cell>
          <cell r="O1113" t="str">
            <v>HD Metal-End Air Filter with Attached Lid</v>
          </cell>
        </row>
        <row r="1114">
          <cell r="K1114" t="str">
            <v>LFF4511DPS</v>
          </cell>
          <cell r="L1114" t="str">
            <v>HD</v>
          </cell>
          <cell r="M1114" t="str">
            <v>x</v>
          </cell>
          <cell r="N1114" t="e">
            <v>#N/A</v>
          </cell>
          <cell r="O1114" t="str">
            <v>Fuel Dispensing Filter</v>
          </cell>
        </row>
        <row r="1115">
          <cell r="K1115" t="str">
            <v>LMB448</v>
          </cell>
          <cell r="L1115" t="str">
            <v>HD</v>
          </cell>
          <cell r="M1115" t="str">
            <v>x</v>
          </cell>
          <cell r="N1115" t="e">
            <v>#N/A</v>
          </cell>
          <cell r="O1115" t="str">
            <v>Base for LFP1652,LFH4209, or LFH22027.</v>
          </cell>
        </row>
        <row r="1116">
          <cell r="K1116" t="str">
            <v>LAF8408</v>
          </cell>
          <cell r="L1116" t="str">
            <v>HD</v>
          </cell>
          <cell r="M1116" t="str">
            <v>x</v>
          </cell>
          <cell r="N1116" t="e">
            <v>#N/A</v>
          </cell>
          <cell r="O1116" t="str">
            <v>HD Metal-End Inner Air Filter</v>
          </cell>
        </row>
        <row r="1117">
          <cell r="K1117" t="str">
            <v>LAF6632</v>
          </cell>
          <cell r="L1117" t="str">
            <v>HD</v>
          </cell>
          <cell r="M1117" t="str">
            <v>x</v>
          </cell>
          <cell r="N1117" t="e">
            <v>#N/A</v>
          </cell>
          <cell r="O1117" t="str">
            <v>HD Metal-End Air Filter</v>
          </cell>
        </row>
        <row r="1118">
          <cell r="K1118" t="str">
            <v>LFH8499</v>
          </cell>
          <cell r="L1118" t="str">
            <v>HD</v>
          </cell>
          <cell r="M1118" t="str">
            <v>x</v>
          </cell>
          <cell r="N1118" t="e">
            <v>#N/A</v>
          </cell>
          <cell r="O1118" t="str">
            <v>Spin-on Hydraulic Filter</v>
          </cell>
        </row>
        <row r="1119">
          <cell r="K1119" t="str">
            <v>LAF230</v>
          </cell>
          <cell r="L1119" t="str">
            <v>HD</v>
          </cell>
          <cell r="M1119" t="str">
            <v>x</v>
          </cell>
          <cell r="N1119" t="e">
            <v>#N/A</v>
          </cell>
          <cell r="O1119" t="str">
            <v>HD Metal-End Air Filter</v>
          </cell>
        </row>
        <row r="1120">
          <cell r="K1120" t="str">
            <v>LAF5416</v>
          </cell>
          <cell r="L1120" t="str">
            <v>HD</v>
          </cell>
          <cell r="M1120" t="str">
            <v>x</v>
          </cell>
          <cell r="N1120" t="e">
            <v>#N/A</v>
          </cell>
          <cell r="O1120" t="str">
            <v>Special Configuration Air Filter</v>
          </cell>
        </row>
        <row r="1121">
          <cell r="K1121" t="str">
            <v>LFF6965</v>
          </cell>
          <cell r="L1121" t="str">
            <v>HD</v>
          </cell>
          <cell r="M1121" t="str">
            <v>x</v>
          </cell>
          <cell r="N1121" t="e">
            <v>#N/A</v>
          </cell>
          <cell r="O1121" t="str">
            <v>Spin-on Fuel Filter</v>
          </cell>
        </row>
        <row r="1122">
          <cell r="K1122" t="str">
            <v>LAF262HD</v>
          </cell>
          <cell r="L1122" t="str">
            <v>HD</v>
          </cell>
          <cell r="M1122" t="str">
            <v>x</v>
          </cell>
          <cell r="N1122" t="e">
            <v>#N/A</v>
          </cell>
          <cell r="O1122" t="str">
            <v>HD Metal-End Air Filter</v>
          </cell>
        </row>
        <row r="1123">
          <cell r="K1123" t="str">
            <v>LFH8459</v>
          </cell>
          <cell r="L1123" t="str">
            <v>HD</v>
          </cell>
          <cell r="M1123" t="str">
            <v>x</v>
          </cell>
          <cell r="N1123" t="e">
            <v>#N/A</v>
          </cell>
          <cell r="O1123" t="str">
            <v>Spin-on Hydraulic Filter</v>
          </cell>
        </row>
        <row r="1124">
          <cell r="K1124" t="str">
            <v>LAF3664</v>
          </cell>
          <cell r="L1124" t="str">
            <v>HD</v>
          </cell>
          <cell r="M1124" t="str">
            <v>x</v>
          </cell>
          <cell r="N1124" t="e">
            <v>#N/A</v>
          </cell>
          <cell r="O1124" t="str">
            <v>Radial Seal Inner Air Filter</v>
          </cell>
        </row>
        <row r="1125">
          <cell r="K1125" t="str">
            <v>LAF8687</v>
          </cell>
          <cell r="L1125" t="str">
            <v>HD</v>
          </cell>
          <cell r="M1125" t="str">
            <v>x</v>
          </cell>
          <cell r="N1125" t="e">
            <v>#N/A</v>
          </cell>
          <cell r="O1125" t="str">
            <v>Radial Seal Outer Air Filter</v>
          </cell>
        </row>
        <row r="1126">
          <cell r="K1126" t="str">
            <v>LAF64</v>
          </cell>
          <cell r="L1126" t="str">
            <v>HD</v>
          </cell>
          <cell r="M1126" t="str">
            <v>x</v>
          </cell>
          <cell r="N1126" t="e">
            <v>#N/A</v>
          </cell>
          <cell r="O1126" t="str">
            <v>Tube Type Air Filter</v>
          </cell>
        </row>
        <row r="1127">
          <cell r="K1127" t="str">
            <v>LFP2312</v>
          </cell>
          <cell r="L1127" t="str">
            <v>HD</v>
          </cell>
          <cell r="M1127" t="str">
            <v>x</v>
          </cell>
          <cell r="N1127" t="e">
            <v>#N/A</v>
          </cell>
          <cell r="O1127" t="str">
            <v>Spin-on Oil Filter</v>
          </cell>
        </row>
        <row r="1128">
          <cell r="K1128" t="str">
            <v>LH4262</v>
          </cell>
          <cell r="L1128" t="str">
            <v>HD</v>
          </cell>
          <cell r="M1128" t="str">
            <v>x</v>
          </cell>
          <cell r="N1128" t="e">
            <v>#N/A</v>
          </cell>
          <cell r="O1128" t="str">
            <v>Cartridge Transmission (Hydraulic) Filter</v>
          </cell>
        </row>
        <row r="1129">
          <cell r="K1129" t="str">
            <v>LAF9972</v>
          </cell>
          <cell r="L1129" t="str">
            <v>HD</v>
          </cell>
          <cell r="M1129" t="str">
            <v>x</v>
          </cell>
          <cell r="N1129" t="e">
            <v>#N/A</v>
          </cell>
          <cell r="O1129" t="str">
            <v>Round Inner Air Filter with Flanged Endcap</v>
          </cell>
        </row>
        <row r="1130">
          <cell r="K1130" t="str">
            <v>LFH5936</v>
          </cell>
          <cell r="L1130" t="str">
            <v>HD</v>
          </cell>
          <cell r="M1130" t="str">
            <v>x</v>
          </cell>
          <cell r="N1130" t="e">
            <v>#N/A</v>
          </cell>
          <cell r="O1130" t="str">
            <v>Spin-on Hydraulic Filter</v>
          </cell>
        </row>
        <row r="1131">
          <cell r="K1131" t="str">
            <v>LAF2549</v>
          </cell>
          <cell r="L1131" t="str">
            <v>HD</v>
          </cell>
          <cell r="M1131" t="str">
            <v>x</v>
          </cell>
          <cell r="N1131" t="e">
            <v>#N/A</v>
          </cell>
          <cell r="O1131" t="str">
            <v>Round Air Filter</v>
          </cell>
        </row>
        <row r="1132">
          <cell r="K1132" t="str">
            <v>LH4248V</v>
          </cell>
          <cell r="L1132" t="str">
            <v>HD</v>
          </cell>
          <cell r="M1132" t="str">
            <v>x</v>
          </cell>
          <cell r="N1132" t="e">
            <v>#N/A</v>
          </cell>
          <cell r="O1132" t="str">
            <v>Cartridge Hydraulic Filter</v>
          </cell>
        </row>
        <row r="1133">
          <cell r="K1133" t="str">
            <v>FP862F</v>
          </cell>
          <cell r="L1133" t="str">
            <v>HD</v>
          </cell>
          <cell r="M1133" t="str">
            <v>x</v>
          </cell>
          <cell r="N1133" t="e">
            <v>#N/A</v>
          </cell>
          <cell r="O1133" t="str">
            <v>Spin-on Fuel Water Separator Filter</v>
          </cell>
        </row>
        <row r="1134">
          <cell r="K1134" t="str">
            <v>LFP9279</v>
          </cell>
          <cell r="L1134" t="str">
            <v>HD</v>
          </cell>
          <cell r="M1134" t="str">
            <v>x</v>
          </cell>
          <cell r="N1134" t="e">
            <v>#N/A</v>
          </cell>
          <cell r="O1134" t="str">
            <v>Spin-on Oil Filter</v>
          </cell>
        </row>
        <row r="1135">
          <cell r="K1135" t="str">
            <v>LAF4507</v>
          </cell>
          <cell r="L1135" t="str">
            <v>HD</v>
          </cell>
          <cell r="M1135" t="str">
            <v>x</v>
          </cell>
          <cell r="N1135" t="e">
            <v>#N/A</v>
          </cell>
          <cell r="O1135" t="str">
            <v>Radial Seal Outer Air Filter</v>
          </cell>
        </row>
        <row r="1136">
          <cell r="K1136" t="str">
            <v>LFH4386</v>
          </cell>
          <cell r="L1136" t="str">
            <v>HD</v>
          </cell>
          <cell r="M1136" t="str">
            <v>x</v>
          </cell>
          <cell r="N1136" t="e">
            <v>#N/A</v>
          </cell>
          <cell r="O1136" t="str">
            <v>Spin-on Hydraulic Filter</v>
          </cell>
        </row>
        <row r="1137">
          <cell r="K1137" t="str">
            <v>LAF3346</v>
          </cell>
          <cell r="L1137" t="str">
            <v>HD</v>
          </cell>
          <cell r="M1137" t="str">
            <v>x</v>
          </cell>
          <cell r="N1137" t="str">
            <v>LAF3346</v>
          </cell>
          <cell r="O1137" t="str">
            <v>Disposible Housing Air Filter</v>
          </cell>
        </row>
        <row r="1138">
          <cell r="K1138" t="str">
            <v>LH4266</v>
          </cell>
          <cell r="L1138" t="str">
            <v>HD</v>
          </cell>
          <cell r="M1138" t="str">
            <v>x</v>
          </cell>
          <cell r="N1138" t="e">
            <v>#N/A</v>
          </cell>
          <cell r="O1138" t="str">
            <v>Cartridge Hydraulic Filter</v>
          </cell>
        </row>
        <row r="1139">
          <cell r="K1139" t="str">
            <v>LAF323</v>
          </cell>
          <cell r="L1139" t="str">
            <v>HD</v>
          </cell>
          <cell r="M1139" t="str">
            <v>x</v>
          </cell>
          <cell r="N1139" t="e">
            <v>#N/A</v>
          </cell>
          <cell r="O1139" t="str">
            <v>HD Metal-End Air Filter-Inner</v>
          </cell>
        </row>
        <row r="1140">
          <cell r="K1140" t="str">
            <v>LP214</v>
          </cell>
          <cell r="L1140" t="str">
            <v>HD</v>
          </cell>
          <cell r="M1140" t="str">
            <v>x</v>
          </cell>
          <cell r="N1140" t="e">
            <v>#N/A</v>
          </cell>
          <cell r="O1140" t="str">
            <v>Cartridge Hydraulic Filter</v>
          </cell>
        </row>
        <row r="1141">
          <cell r="K1141" t="str">
            <v>LAF2513</v>
          </cell>
          <cell r="L1141" t="str">
            <v>HD</v>
          </cell>
          <cell r="M1141" t="str">
            <v>x</v>
          </cell>
          <cell r="N1141" t="e">
            <v>#N/A</v>
          </cell>
          <cell r="O1141" t="str">
            <v>Round Plastisol Air Filter</v>
          </cell>
        </row>
        <row r="1142">
          <cell r="K1142" t="str">
            <v>LFP3354</v>
          </cell>
          <cell r="L1142" t="str">
            <v>HD</v>
          </cell>
          <cell r="M1142" t="str">
            <v>x</v>
          </cell>
          <cell r="N1142" t="e">
            <v>#N/A</v>
          </cell>
          <cell r="O1142" t="str">
            <v>Spin-on Oil Filter</v>
          </cell>
        </row>
        <row r="1143">
          <cell r="K1143" t="str">
            <v>LAF8674</v>
          </cell>
          <cell r="L1143" t="str">
            <v>HD</v>
          </cell>
          <cell r="M1143" t="str">
            <v>x</v>
          </cell>
          <cell r="N1143" t="e">
            <v>#N/A</v>
          </cell>
          <cell r="O1143" t="str">
            <v>Round Inner Air Filter</v>
          </cell>
        </row>
        <row r="1144">
          <cell r="K1144" t="str">
            <v>LFP5522</v>
          </cell>
          <cell r="L1144" t="str">
            <v>HD</v>
          </cell>
          <cell r="M1144" t="str">
            <v>x</v>
          </cell>
          <cell r="N1144" t="e">
            <v>#N/A</v>
          </cell>
          <cell r="O1144" t="str">
            <v>Spin-on Oil Filter</v>
          </cell>
        </row>
        <row r="1145">
          <cell r="K1145" t="str">
            <v>L3546FC</v>
          </cell>
          <cell r="L1145" t="str">
            <v>HD</v>
          </cell>
          <cell r="M1145" t="str">
            <v>x</v>
          </cell>
          <cell r="N1145" t="e">
            <v>#N/A</v>
          </cell>
          <cell r="O1145" t="str">
            <v>Spin-on Fuel Water Separator Filter</v>
          </cell>
        </row>
        <row r="1146">
          <cell r="K1146" t="str">
            <v>LAF22084</v>
          </cell>
          <cell r="L1146" t="str">
            <v>HD</v>
          </cell>
          <cell r="M1146" t="str">
            <v>x</v>
          </cell>
          <cell r="N1146" t="e">
            <v>#N/A</v>
          </cell>
          <cell r="O1146" t="str">
            <v>Finned Vane Air Filter</v>
          </cell>
        </row>
        <row r="1147">
          <cell r="K1147" t="str">
            <v>LK292CA</v>
          </cell>
          <cell r="L1147" t="str">
            <v>HD</v>
          </cell>
          <cell r="M1147" t="str">
            <v>x</v>
          </cell>
          <cell r="N1147" t="e">
            <v>#N/A</v>
          </cell>
          <cell r="O1147" t="str">
            <v>Caterpillar Engine Maintenance Kit</v>
          </cell>
        </row>
        <row r="1148">
          <cell r="K1148" t="str">
            <v>LAF5327</v>
          </cell>
          <cell r="L1148" t="str">
            <v>HD</v>
          </cell>
          <cell r="M1148" t="str">
            <v>x</v>
          </cell>
          <cell r="N1148" t="e">
            <v>#N/A</v>
          </cell>
          <cell r="O1148" t="str">
            <v>Cabin Air Filter, Panel</v>
          </cell>
        </row>
        <row r="1149">
          <cell r="K1149" t="str">
            <v>LFP9000XL</v>
          </cell>
          <cell r="L1149" t="str">
            <v>HD</v>
          </cell>
          <cell r="O1149" t="str">
            <v>Spin-on Oil Filter (Extended Life)</v>
          </cell>
        </row>
        <row r="1150">
          <cell r="K1150" t="str">
            <v>LFH8593</v>
          </cell>
          <cell r="L1150" t="str">
            <v>HD</v>
          </cell>
          <cell r="M1150" t="str">
            <v>x</v>
          </cell>
          <cell r="N1150" t="e">
            <v>#N/A</v>
          </cell>
          <cell r="O1150" t="str">
            <v>Spin-on Hydraulic Filter</v>
          </cell>
        </row>
        <row r="1151">
          <cell r="K1151" t="str">
            <v>LAF6032</v>
          </cell>
          <cell r="L1151" t="str">
            <v>HD</v>
          </cell>
          <cell r="M1151" t="str">
            <v>x</v>
          </cell>
          <cell r="N1151" t="e">
            <v>#N/A</v>
          </cell>
          <cell r="O1151" t="str">
            <v>HD Metal-End Air Filter</v>
          </cell>
        </row>
        <row r="1152">
          <cell r="K1152" t="str">
            <v>CAF24010</v>
          </cell>
          <cell r="L1152" t="str">
            <v>HD</v>
          </cell>
          <cell r="M1152" t="str">
            <v>x</v>
          </cell>
          <cell r="N1152" t="e">
            <v>#N/A</v>
          </cell>
          <cell r="O1152" t="str">
            <v>Cabin Air Filter</v>
          </cell>
        </row>
        <row r="1153">
          <cell r="K1153" t="str">
            <v>LFP7314</v>
          </cell>
          <cell r="L1153" t="str">
            <v>HD</v>
          </cell>
          <cell r="M1153" t="str">
            <v>x</v>
          </cell>
          <cell r="N1153" t="e">
            <v>#N/A</v>
          </cell>
          <cell r="O1153" t="str">
            <v>Spin-on By-Pass Oil Filter</v>
          </cell>
        </row>
        <row r="1154">
          <cell r="K1154" t="str">
            <v>LAF5973</v>
          </cell>
          <cell r="L1154" t="str">
            <v>HD</v>
          </cell>
          <cell r="M1154" t="str">
            <v>x</v>
          </cell>
          <cell r="N1154" t="e">
            <v>#N/A</v>
          </cell>
          <cell r="O1154" t="str">
            <v>Radial Seal Air Filter, Primary</v>
          </cell>
        </row>
        <row r="1155">
          <cell r="K1155" t="str">
            <v>LAF22010</v>
          </cell>
          <cell r="L1155" t="str">
            <v>HD</v>
          </cell>
          <cell r="M1155" t="str">
            <v>x</v>
          </cell>
          <cell r="N1155" t="e">
            <v>#N/A</v>
          </cell>
          <cell r="O1155" t="str">
            <v>Disposible Housing Air Filter</v>
          </cell>
        </row>
        <row r="1156">
          <cell r="K1156" t="str">
            <v>LH8742</v>
          </cell>
          <cell r="L1156" t="str">
            <v>HD</v>
          </cell>
          <cell r="M1156" t="str">
            <v>x</v>
          </cell>
          <cell r="N1156" t="e">
            <v>#N/A</v>
          </cell>
          <cell r="O1156" t="str">
            <v>Cartridge Hydraulic Filter</v>
          </cell>
        </row>
        <row r="1157">
          <cell r="K1157" t="str">
            <v>LAF9300</v>
          </cell>
          <cell r="O1157" t="str">
            <v>Special Configuration Air Filter</v>
          </cell>
        </row>
        <row r="1158">
          <cell r="K1158" t="str">
            <v>LFF7687</v>
          </cell>
          <cell r="L1158" t="str">
            <v>HD</v>
          </cell>
          <cell r="M1158" t="str">
            <v>x</v>
          </cell>
          <cell r="N1158" t="e">
            <v>#N/A</v>
          </cell>
          <cell r="O1158" t="str">
            <v>Spin-on Fuel Filter</v>
          </cell>
        </row>
        <row r="1159">
          <cell r="K1159" t="str">
            <v>LAF2926</v>
          </cell>
          <cell r="L1159" t="str">
            <v>HD</v>
          </cell>
          <cell r="M1159" t="str">
            <v>x</v>
          </cell>
          <cell r="N1159" t="e">
            <v>#N/A</v>
          </cell>
          <cell r="O1159" t="str">
            <v>HD Metal-End Air Filter</v>
          </cell>
        </row>
        <row r="1160">
          <cell r="K1160" t="str">
            <v>LFH4950</v>
          </cell>
          <cell r="L1160" t="str">
            <v>HD</v>
          </cell>
          <cell r="M1160" t="str">
            <v>x</v>
          </cell>
          <cell r="N1160" t="e">
            <v>#N/A</v>
          </cell>
          <cell r="O1160" t="str">
            <v>Spin-on Hydraulic Filter</v>
          </cell>
        </row>
        <row r="1161">
          <cell r="K1161" t="str">
            <v>LAF5770</v>
          </cell>
          <cell r="L1161" t="str">
            <v>HD</v>
          </cell>
          <cell r="M1161" t="str">
            <v>x</v>
          </cell>
          <cell r="N1161" t="e">
            <v>#N/A</v>
          </cell>
          <cell r="O1161" t="str">
            <v>Radial Seal Outer Air Filter</v>
          </cell>
        </row>
        <row r="1162">
          <cell r="K1162" t="str">
            <v>LH5018</v>
          </cell>
          <cell r="L1162" t="str">
            <v>HD</v>
          </cell>
          <cell r="M1162" t="str">
            <v>x</v>
          </cell>
          <cell r="N1162" t="e">
            <v>#N/A</v>
          </cell>
          <cell r="O1162" t="str">
            <v>Cartridge Hydraulic Filter</v>
          </cell>
        </row>
        <row r="1163">
          <cell r="K1163" t="str">
            <v>LAF131</v>
          </cell>
          <cell r="L1163" t="str">
            <v>HD</v>
          </cell>
          <cell r="M1163" t="str">
            <v>x</v>
          </cell>
          <cell r="N1163" t="e">
            <v>#N/A</v>
          </cell>
          <cell r="O1163" t="str">
            <v>HD Metal-End Air Filter</v>
          </cell>
        </row>
        <row r="1164">
          <cell r="K1164" t="str">
            <v>LAF1989</v>
          </cell>
          <cell r="L1164" t="str">
            <v>HD</v>
          </cell>
          <cell r="M1164" t="str">
            <v>x</v>
          </cell>
          <cell r="N1164" t="str">
            <v>LAF1989</v>
          </cell>
          <cell r="O1164" t="str">
            <v>Round Air Filter</v>
          </cell>
        </row>
        <row r="1165">
          <cell r="K1165" t="str">
            <v>970C</v>
          </cell>
          <cell r="L1165" t="str">
            <v>HD</v>
          </cell>
          <cell r="M1165" t="str">
            <v>x</v>
          </cell>
          <cell r="N1165" t="e">
            <v>#N/A</v>
          </cell>
          <cell r="O1165" t="str">
            <v>970 housing only (Gray)</v>
          </cell>
        </row>
        <row r="1166">
          <cell r="K1166" t="str">
            <v>LFW2125</v>
          </cell>
          <cell r="L1166" t="str">
            <v>HD</v>
          </cell>
          <cell r="M1166" t="str">
            <v>x</v>
          </cell>
          <cell r="N1166" t="e">
            <v>#N/A</v>
          </cell>
          <cell r="O1166" t="str">
            <v>Controll Release Spin-on Coolant Filter</v>
          </cell>
        </row>
        <row r="1167">
          <cell r="K1167" t="str">
            <v>LFP6930</v>
          </cell>
          <cell r="L1167" t="str">
            <v>HD</v>
          </cell>
          <cell r="M1167" t="str">
            <v>x</v>
          </cell>
          <cell r="N1167" t="e">
            <v>#N/A</v>
          </cell>
          <cell r="O1167" t="str">
            <v>Spin-on Oil Filter</v>
          </cell>
        </row>
        <row r="1168">
          <cell r="K1168" t="str">
            <v>LH9264V</v>
          </cell>
          <cell r="L1168" t="str">
            <v>HD</v>
          </cell>
          <cell r="M1168" t="str">
            <v>x</v>
          </cell>
          <cell r="N1168" t="e">
            <v>#N/A</v>
          </cell>
          <cell r="O1168" t="str">
            <v>Industrial Cartridge Hydraulic Filter</v>
          </cell>
        </row>
        <row r="1169">
          <cell r="K1169" t="str">
            <v>LAF6510</v>
          </cell>
          <cell r="L1169" t="str">
            <v>HD</v>
          </cell>
          <cell r="M1169" t="str">
            <v>x</v>
          </cell>
          <cell r="N1169" t="e">
            <v>#N/A</v>
          </cell>
          <cell r="O1169" t="str">
            <v>HD Metal-End Air Filter</v>
          </cell>
        </row>
        <row r="1170">
          <cell r="K1170" t="str">
            <v>LAF1800</v>
          </cell>
          <cell r="L1170" t="str">
            <v>HD</v>
          </cell>
          <cell r="M1170" t="str">
            <v>x</v>
          </cell>
          <cell r="N1170" t="e">
            <v>#N/A</v>
          </cell>
          <cell r="O1170" t="str">
            <v>HD Metal-End Air Filter</v>
          </cell>
        </row>
        <row r="1171">
          <cell r="K1171" t="str">
            <v>LAF8630</v>
          </cell>
          <cell r="L1171" t="str">
            <v>HD</v>
          </cell>
          <cell r="M1171" t="str">
            <v>x</v>
          </cell>
          <cell r="N1171" t="e">
            <v>#N/A</v>
          </cell>
          <cell r="O1171" t="str">
            <v>Finned Vane Air Filter</v>
          </cell>
        </row>
        <row r="1172">
          <cell r="K1172" t="str">
            <v>LAF586</v>
          </cell>
          <cell r="L1172" t="str">
            <v>HD</v>
          </cell>
          <cell r="M1172" t="str">
            <v>x</v>
          </cell>
          <cell r="N1172" t="e">
            <v>#N/A</v>
          </cell>
          <cell r="O1172" t="str">
            <v>Round Air Filter</v>
          </cell>
        </row>
        <row r="1173">
          <cell r="K1173" t="str">
            <v>LFH8229</v>
          </cell>
          <cell r="L1173" t="str">
            <v>HD</v>
          </cell>
          <cell r="M1173" t="str">
            <v>x</v>
          </cell>
          <cell r="N1173" t="e">
            <v>#N/A</v>
          </cell>
          <cell r="O1173" t="str">
            <v>Spin-on Hydraulic Filter</v>
          </cell>
        </row>
        <row r="1174">
          <cell r="K1174" t="str">
            <v>LH4394</v>
          </cell>
          <cell r="L1174" t="str">
            <v>HD</v>
          </cell>
          <cell r="M1174" t="str">
            <v>x</v>
          </cell>
          <cell r="N1174" t="e">
            <v>#N/A</v>
          </cell>
          <cell r="O1174" t="str">
            <v>Cartridge Hydraulic Filter</v>
          </cell>
        </row>
        <row r="1175">
          <cell r="K1175" t="str">
            <v>LAF2514</v>
          </cell>
          <cell r="L1175" t="str">
            <v>HD</v>
          </cell>
          <cell r="M1175" t="str">
            <v>x</v>
          </cell>
          <cell r="N1175" t="e">
            <v>#N/A</v>
          </cell>
          <cell r="O1175" t="str">
            <v>HD Metal-End Air Filter</v>
          </cell>
        </row>
        <row r="1176">
          <cell r="K1176" t="str">
            <v>LAF1532</v>
          </cell>
          <cell r="L1176" t="str">
            <v>HD</v>
          </cell>
          <cell r="M1176" t="str">
            <v>x</v>
          </cell>
          <cell r="N1176" t="e">
            <v>#N/A</v>
          </cell>
          <cell r="O1176" t="str">
            <v>HD Metal-End Inner Air Filter</v>
          </cell>
        </row>
        <row r="1177">
          <cell r="K1177" t="str">
            <v>L9621F</v>
          </cell>
          <cell r="L1177" t="str">
            <v>HD</v>
          </cell>
          <cell r="M1177" t="str">
            <v>x</v>
          </cell>
          <cell r="N1177" t="e">
            <v>#N/A</v>
          </cell>
          <cell r="O1177" t="str">
            <v>Cartridge Fuel Filter</v>
          </cell>
        </row>
        <row r="1178">
          <cell r="K1178" t="str">
            <v>LFP2262</v>
          </cell>
          <cell r="L1178" t="str">
            <v>HD</v>
          </cell>
          <cell r="M1178" t="str">
            <v>x</v>
          </cell>
          <cell r="N1178" t="e">
            <v>#N/A</v>
          </cell>
          <cell r="O1178" t="str">
            <v>Spin-on By-Pass Oil Filter</v>
          </cell>
        </row>
        <row r="1179">
          <cell r="K1179" t="str">
            <v>LAF1889</v>
          </cell>
          <cell r="L1179" t="str">
            <v>HD</v>
          </cell>
          <cell r="M1179" t="str">
            <v>x</v>
          </cell>
          <cell r="N1179" t="e">
            <v>#N/A</v>
          </cell>
          <cell r="O1179" t="str">
            <v>HD Metal-End Air Filter</v>
          </cell>
        </row>
        <row r="1180">
          <cell r="K1180" t="str">
            <v>LAF5733</v>
          </cell>
          <cell r="L1180" t="str">
            <v>HD</v>
          </cell>
          <cell r="M1180" t="str">
            <v>x</v>
          </cell>
          <cell r="N1180" t="e">
            <v>#N/A</v>
          </cell>
          <cell r="O1180" t="str">
            <v>Radial Seal Outer Air Filter</v>
          </cell>
        </row>
        <row r="1181">
          <cell r="K1181" t="str">
            <v>LFP8416</v>
          </cell>
          <cell r="L1181" t="str">
            <v>HD</v>
          </cell>
          <cell r="M1181" t="str">
            <v>x</v>
          </cell>
          <cell r="N1181" t="e">
            <v>#N/A</v>
          </cell>
          <cell r="O1181" t="str">
            <v>Spin-on Oil Filter</v>
          </cell>
        </row>
        <row r="1182">
          <cell r="K1182" t="str">
            <v>LAF3716</v>
          </cell>
          <cell r="L1182" t="str">
            <v>HD</v>
          </cell>
          <cell r="M1182" t="str">
            <v>x</v>
          </cell>
          <cell r="N1182" t="e">
            <v>#N/A</v>
          </cell>
          <cell r="O1182" t="str">
            <v>HD Metal-End Air Filter</v>
          </cell>
        </row>
        <row r="1183">
          <cell r="K1183" t="str">
            <v>CAF12000XL</v>
          </cell>
          <cell r="L1183" t="str">
            <v>HD</v>
          </cell>
          <cell r="M1183" t="str">
            <v>x</v>
          </cell>
          <cell r="N1183" t="e">
            <v>#N/A</v>
          </cell>
          <cell r="O1183" t="str">
            <v>Cabin Air Filter (Carbon) Extreme Clean</v>
          </cell>
        </row>
        <row r="1184">
          <cell r="K1184" t="str">
            <v>LAF1909</v>
          </cell>
          <cell r="L1184" t="str">
            <v>HD</v>
          </cell>
          <cell r="M1184" t="str">
            <v>x</v>
          </cell>
          <cell r="N1184" t="e">
            <v>#N/A</v>
          </cell>
          <cell r="O1184" t="str">
            <v>Round Air Filter</v>
          </cell>
        </row>
        <row r="1185">
          <cell r="K1185" t="str">
            <v>LFP3200C</v>
          </cell>
          <cell r="L1185" t="str">
            <v>HD</v>
          </cell>
          <cell r="M1185" t="str">
            <v>x</v>
          </cell>
          <cell r="N1185" t="e">
            <v>#N/A</v>
          </cell>
          <cell r="O1185" t="str">
            <v>Spin-on Fuel Filter</v>
          </cell>
        </row>
        <row r="1186">
          <cell r="K1186">
            <v>3967</v>
          </cell>
          <cell r="L1186" t="str">
            <v>HD</v>
          </cell>
          <cell r="M1186" t="str">
            <v>x</v>
          </cell>
          <cell r="N1186" t="e">
            <v>#N/A</v>
          </cell>
          <cell r="O1186" t="str">
            <v>Gasket, Cummins Applied</v>
          </cell>
        </row>
        <row r="1187">
          <cell r="K1187" t="str">
            <v>L624FP</v>
          </cell>
          <cell r="L1187" t="str">
            <v>HD</v>
          </cell>
          <cell r="M1187" t="str">
            <v>x</v>
          </cell>
          <cell r="N1187" t="e">
            <v>#N/A</v>
          </cell>
          <cell r="O1187" t="str">
            <v>Cartridge Fuel Filter</v>
          </cell>
        </row>
        <row r="1188">
          <cell r="K1188" t="str">
            <v>FF2D-30</v>
          </cell>
          <cell r="L1188" t="str">
            <v>HD</v>
          </cell>
          <cell r="M1188" t="str">
            <v>x</v>
          </cell>
          <cell r="N1188" t="e">
            <v>#N/A</v>
          </cell>
          <cell r="O1188" t="str">
            <v>30 Micron Fuel Dispensing Filter</v>
          </cell>
        </row>
        <row r="1189">
          <cell r="K1189" t="str">
            <v>LAF6115</v>
          </cell>
          <cell r="L1189" t="str">
            <v>HD</v>
          </cell>
          <cell r="M1189" t="str">
            <v>x</v>
          </cell>
          <cell r="N1189" t="e">
            <v>#N/A</v>
          </cell>
          <cell r="O1189" t="str">
            <v>Radial Seal Inner Air Filter</v>
          </cell>
        </row>
        <row r="1190">
          <cell r="K1190">
            <v>750</v>
          </cell>
          <cell r="L1190" t="str">
            <v>HD</v>
          </cell>
          <cell r="M1190" t="str">
            <v>x</v>
          </cell>
          <cell r="N1190" t="e">
            <v>#N/A</v>
          </cell>
          <cell r="O1190" t="str">
            <v xml:space="preserve">Refining Filter Pack /750-C, 2C &amp; 3C, Hydraulic &amp; Mineral Oil </v>
          </cell>
        </row>
        <row r="1191">
          <cell r="K1191" t="str">
            <v>L3528F</v>
          </cell>
          <cell r="L1191" t="str">
            <v>HD</v>
          </cell>
          <cell r="M1191" t="str">
            <v>x</v>
          </cell>
          <cell r="N1191" t="e">
            <v>#N/A</v>
          </cell>
          <cell r="O1191" t="str">
            <v>Cartridge Fuel Filter</v>
          </cell>
        </row>
        <row r="1192">
          <cell r="K1192" t="str">
            <v>L541F</v>
          </cell>
          <cell r="L1192" t="str">
            <v>HD</v>
          </cell>
          <cell r="M1192" t="str">
            <v>x</v>
          </cell>
          <cell r="N1192" t="e">
            <v>#N/A</v>
          </cell>
          <cell r="O1192" t="str">
            <v>Cartridge Fuel Filter</v>
          </cell>
        </row>
        <row r="1193">
          <cell r="K1193" t="str">
            <v>LAF5813</v>
          </cell>
          <cell r="L1193" t="str">
            <v>HD</v>
          </cell>
          <cell r="M1193" t="str">
            <v>x</v>
          </cell>
          <cell r="N1193" t="e">
            <v>#N/A</v>
          </cell>
          <cell r="O1193" t="str">
            <v>Round Air Filter</v>
          </cell>
        </row>
        <row r="1194">
          <cell r="K1194" t="str">
            <v>FW7HD</v>
          </cell>
          <cell r="L1194" t="str">
            <v>HD</v>
          </cell>
          <cell r="M1194" t="str">
            <v>x</v>
          </cell>
          <cell r="N1194" t="e">
            <v>#N/A</v>
          </cell>
          <cell r="O1194" t="str">
            <v>Heavy Duty Band Wrench requires 1/2" drive tool. Used on 5 5/32" to 5 21/32" diameter filters.</v>
          </cell>
        </row>
        <row r="1195">
          <cell r="K1195" t="str">
            <v>LP213</v>
          </cell>
          <cell r="L1195" t="str">
            <v>HD</v>
          </cell>
          <cell r="M1195" t="str">
            <v>x</v>
          </cell>
          <cell r="N1195" t="e">
            <v>#N/A</v>
          </cell>
          <cell r="O1195" t="str">
            <v>Cartridge Hydraulic Filter</v>
          </cell>
        </row>
        <row r="1196">
          <cell r="K1196" t="str">
            <v>LAF6918D</v>
          </cell>
          <cell r="L1196" t="str">
            <v>HD</v>
          </cell>
          <cell r="M1196" t="str">
            <v>x</v>
          </cell>
          <cell r="N1196" t="e">
            <v>#N/A</v>
          </cell>
          <cell r="O1196" t="str">
            <v>HD Metal-End Air Filter</v>
          </cell>
        </row>
        <row r="1197">
          <cell r="K1197" t="str">
            <v>LAF936</v>
          </cell>
          <cell r="L1197" t="str">
            <v>HD</v>
          </cell>
          <cell r="M1197" t="str">
            <v>x</v>
          </cell>
          <cell r="N1197" t="e">
            <v>#N/A</v>
          </cell>
          <cell r="O1197" t="str">
            <v>HD Round Air Filter with Attached Boot</v>
          </cell>
        </row>
        <row r="1198">
          <cell r="K1198" t="str">
            <v>LFF9737U</v>
          </cell>
          <cell r="L1198" t="str">
            <v>HD</v>
          </cell>
          <cell r="M1198" t="str">
            <v>x</v>
          </cell>
          <cell r="N1198" t="e">
            <v>#N/A</v>
          </cell>
          <cell r="O1198" t="str">
            <v>Bowless Fuel Water Separator Filter</v>
          </cell>
        </row>
        <row r="1199">
          <cell r="K1199" t="str">
            <v>LH8094</v>
          </cell>
          <cell r="L1199" t="str">
            <v>HD</v>
          </cell>
          <cell r="M1199" t="str">
            <v>x</v>
          </cell>
          <cell r="N1199" t="e">
            <v>#N/A</v>
          </cell>
          <cell r="O1199" t="str">
            <v>Cartridge Hydraulic Filter</v>
          </cell>
        </row>
        <row r="1200">
          <cell r="K1200" t="str">
            <v>LH4174</v>
          </cell>
          <cell r="L1200" t="str">
            <v>HD</v>
          </cell>
          <cell r="M1200" t="str">
            <v>x</v>
          </cell>
          <cell r="N1200" t="e">
            <v>#N/A</v>
          </cell>
          <cell r="O1200" t="str">
            <v>Cartridge Hydraulic Filter</v>
          </cell>
        </row>
        <row r="1201">
          <cell r="K1201" t="str">
            <v>LAF1913</v>
          </cell>
          <cell r="L1201" t="str">
            <v>HD</v>
          </cell>
          <cell r="M1201" t="str">
            <v>x</v>
          </cell>
          <cell r="N1201" t="str">
            <v>LAF1913</v>
          </cell>
          <cell r="O1201" t="str">
            <v>Round Air Filter</v>
          </cell>
        </row>
        <row r="1202">
          <cell r="K1202" t="str">
            <v>LFH9393</v>
          </cell>
          <cell r="L1202" t="str">
            <v>HD</v>
          </cell>
          <cell r="M1202" t="str">
            <v>x</v>
          </cell>
          <cell r="N1202" t="e">
            <v>#N/A</v>
          </cell>
          <cell r="O1202" t="str">
            <v>Spin-on Hydraulic Filter</v>
          </cell>
        </row>
        <row r="1203">
          <cell r="K1203" t="str">
            <v>LFH5079G</v>
          </cell>
          <cell r="L1203" t="str">
            <v>HD</v>
          </cell>
          <cell r="M1203" t="str">
            <v>x</v>
          </cell>
          <cell r="N1203" t="e">
            <v>#N/A</v>
          </cell>
          <cell r="O1203" t="str">
            <v>Spin-on Hydraulic Filter</v>
          </cell>
        </row>
        <row r="1204">
          <cell r="K1204" t="str">
            <v>LFP2430</v>
          </cell>
          <cell r="L1204" t="str">
            <v>HD</v>
          </cell>
          <cell r="M1204" t="str">
            <v>x</v>
          </cell>
          <cell r="N1204" t="e">
            <v>#N/A</v>
          </cell>
          <cell r="O1204" t="str">
            <v>Spin-on Oil Filter</v>
          </cell>
        </row>
        <row r="1205">
          <cell r="K1205" t="str">
            <v>LAF2069</v>
          </cell>
          <cell r="L1205" t="str">
            <v>HD</v>
          </cell>
          <cell r="M1205" t="str">
            <v>x</v>
          </cell>
          <cell r="N1205" t="e">
            <v>#N/A</v>
          </cell>
          <cell r="O1205" t="str">
            <v>Metal-End Air Filter with Closed Top End Cap</v>
          </cell>
        </row>
        <row r="1206">
          <cell r="K1206" t="str">
            <v>LAF2</v>
          </cell>
          <cell r="L1206" t="str">
            <v>HD</v>
          </cell>
          <cell r="M1206" t="str">
            <v>x</v>
          </cell>
          <cell r="N1206" t="e">
            <v>#N/A</v>
          </cell>
          <cell r="O1206" t="str">
            <v>Round Air Filter</v>
          </cell>
        </row>
        <row r="1207">
          <cell r="K1207" t="str">
            <v>LAF5771</v>
          </cell>
          <cell r="L1207" t="str">
            <v>HD</v>
          </cell>
          <cell r="M1207" t="str">
            <v>x</v>
          </cell>
          <cell r="N1207" t="e">
            <v>#N/A</v>
          </cell>
          <cell r="O1207" t="str">
            <v>Radial Seal Air Filter Outer</v>
          </cell>
        </row>
        <row r="1208">
          <cell r="K1208" t="str">
            <v>LAF2052</v>
          </cell>
          <cell r="L1208" t="str">
            <v>HD</v>
          </cell>
          <cell r="M1208" t="str">
            <v>x</v>
          </cell>
          <cell r="N1208" t="e">
            <v>#N/A</v>
          </cell>
          <cell r="O1208" t="str">
            <v>HD Metal-End Air Filter</v>
          </cell>
        </row>
        <row r="1209">
          <cell r="K1209" t="str">
            <v>LAF3710</v>
          </cell>
          <cell r="L1209" t="str">
            <v>HD</v>
          </cell>
          <cell r="M1209" t="str">
            <v>x</v>
          </cell>
          <cell r="N1209" t="e">
            <v>#N/A</v>
          </cell>
          <cell r="O1209" t="str">
            <v>HD Metal-End Air Filter-Inner</v>
          </cell>
        </row>
        <row r="1210">
          <cell r="K1210" t="str">
            <v>LAF48</v>
          </cell>
          <cell r="L1210" t="str">
            <v>HD</v>
          </cell>
          <cell r="M1210" t="str">
            <v>x</v>
          </cell>
          <cell r="N1210" t="e">
            <v>#N/A</v>
          </cell>
          <cell r="O1210" t="str">
            <v>Round Inner Air Filter with Flanged Endcap</v>
          </cell>
        </row>
        <row r="1211">
          <cell r="K1211" t="str">
            <v>LAF1040</v>
          </cell>
          <cell r="L1211" t="str">
            <v>HD</v>
          </cell>
          <cell r="M1211" t="str">
            <v>x</v>
          </cell>
          <cell r="N1211" t="e">
            <v>#N/A</v>
          </cell>
          <cell r="O1211" t="str">
            <v>HD Metal-End Air Filter</v>
          </cell>
        </row>
        <row r="1212">
          <cell r="K1212" t="str">
            <v>LH4939</v>
          </cell>
          <cell r="L1212" t="str">
            <v>HD</v>
          </cell>
          <cell r="M1212" t="str">
            <v>x</v>
          </cell>
          <cell r="N1212" t="e">
            <v>#N/A</v>
          </cell>
          <cell r="O1212" t="str">
            <v>Cartridge Hydraulic Filter</v>
          </cell>
        </row>
        <row r="1213">
          <cell r="K1213" t="str">
            <v>FW8HD</v>
          </cell>
          <cell r="L1213" t="str">
            <v>HD</v>
          </cell>
          <cell r="M1213" t="str">
            <v>x</v>
          </cell>
          <cell r="N1213" t="e">
            <v>#N/A</v>
          </cell>
          <cell r="O1213" t="str">
            <v>Nylon Strap Wrench for up to 6 inch Diameter Filters. Requires 1/2 drive tool.</v>
          </cell>
        </row>
        <row r="1214">
          <cell r="K1214" t="str">
            <v>LH9167</v>
          </cell>
          <cell r="L1214" t="str">
            <v>HD</v>
          </cell>
          <cell r="M1214" t="str">
            <v>x</v>
          </cell>
          <cell r="N1214" t="e">
            <v>#N/A</v>
          </cell>
          <cell r="O1214" t="str">
            <v>Cartridge hydraulic filter</v>
          </cell>
        </row>
        <row r="1215">
          <cell r="K1215" t="str">
            <v>LFF906</v>
          </cell>
          <cell r="L1215" t="str">
            <v>HD</v>
          </cell>
          <cell r="M1215" t="str">
            <v>x</v>
          </cell>
          <cell r="N1215" t="e">
            <v>#N/A</v>
          </cell>
          <cell r="O1215" t="str">
            <v>Bowl Style Fuel Water Separator Filter</v>
          </cell>
        </row>
        <row r="1216">
          <cell r="K1216" t="str">
            <v>LFF3509</v>
          </cell>
          <cell r="L1216" t="str">
            <v>HD</v>
          </cell>
          <cell r="M1216" t="str">
            <v>x</v>
          </cell>
          <cell r="N1216" t="e">
            <v>#N/A</v>
          </cell>
          <cell r="O1216" t="str">
            <v>Cartridge Fuel Filter</v>
          </cell>
        </row>
        <row r="1217">
          <cell r="K1217" t="str">
            <v>LFP2213</v>
          </cell>
          <cell r="L1217" t="str">
            <v>HD</v>
          </cell>
          <cell r="M1217" t="str">
            <v>x</v>
          </cell>
          <cell r="N1217" t="e">
            <v>#N/A</v>
          </cell>
          <cell r="O1217" t="str">
            <v>Spin-on Oil Filter</v>
          </cell>
        </row>
        <row r="1218">
          <cell r="K1218" t="str">
            <v>LFH22043</v>
          </cell>
          <cell r="L1218" t="str">
            <v>HD</v>
          </cell>
          <cell r="M1218" t="str">
            <v>x</v>
          </cell>
          <cell r="N1218" t="e">
            <v>#N/A</v>
          </cell>
          <cell r="O1218" t="str">
            <v>Spin-on Hydraulic Filter</v>
          </cell>
        </row>
        <row r="1219">
          <cell r="K1219" t="str">
            <v>L22008F</v>
          </cell>
          <cell r="L1219" t="str">
            <v>HD</v>
          </cell>
          <cell r="M1219" t="str">
            <v>x</v>
          </cell>
          <cell r="N1219" t="e">
            <v>#N/A</v>
          </cell>
          <cell r="O1219" t="str">
            <v>Fuel/Water Coalescer Cartridge Filter</v>
          </cell>
        </row>
        <row r="1220">
          <cell r="K1220" t="str">
            <v>LFF4294</v>
          </cell>
          <cell r="L1220" t="str">
            <v>HD</v>
          </cell>
          <cell r="M1220" t="str">
            <v>x</v>
          </cell>
          <cell r="N1220" t="e">
            <v>#N/A</v>
          </cell>
          <cell r="O1220" t="str">
            <v>Spin-on Fuel Water Separator Filter</v>
          </cell>
        </row>
        <row r="1221">
          <cell r="K1221" t="str">
            <v>LAF1917</v>
          </cell>
          <cell r="L1221" t="str">
            <v>HD</v>
          </cell>
          <cell r="M1221" t="str">
            <v>x</v>
          </cell>
          <cell r="N1221" t="e">
            <v>#N/A</v>
          </cell>
          <cell r="O1221" t="str">
            <v>HD Metal-End Air Filter</v>
          </cell>
        </row>
        <row r="1222">
          <cell r="K1222" t="str">
            <v>LAF8225</v>
          </cell>
          <cell r="L1222" t="str">
            <v>HD</v>
          </cell>
          <cell r="M1222" t="str">
            <v>x</v>
          </cell>
          <cell r="N1222" t="e">
            <v>#N/A</v>
          </cell>
          <cell r="O1222" t="str">
            <v>Finned Vane Air Filter</v>
          </cell>
        </row>
        <row r="1223">
          <cell r="K1223" t="str">
            <v>BAGGED</v>
          </cell>
          <cell r="L1223" t="str">
            <v>HD</v>
          </cell>
          <cell r="M1223" t="str">
            <v>x</v>
          </cell>
          <cell r="N1223" t="e">
            <v>#N/A</v>
          </cell>
          <cell r="O1223" t="str">
            <v>No. 4 Orifice Opening size is .062 ; Flow rate is .6 GPM</v>
          </cell>
        </row>
        <row r="1224">
          <cell r="K1224" t="str">
            <v>LH22033</v>
          </cell>
          <cell r="L1224" t="str">
            <v>HD</v>
          </cell>
          <cell r="M1224" t="str">
            <v>x</v>
          </cell>
          <cell r="N1224" t="e">
            <v>#N/A</v>
          </cell>
          <cell r="O1224" t="str">
            <v>Cartridge Hydraulic Filter</v>
          </cell>
        </row>
        <row r="1225">
          <cell r="K1225" t="str">
            <v>L8105F</v>
          </cell>
          <cell r="L1225" t="str">
            <v>HD</v>
          </cell>
          <cell r="M1225" t="str">
            <v>x</v>
          </cell>
          <cell r="N1225" t="e">
            <v>#N/A</v>
          </cell>
          <cell r="O1225" t="str">
            <v>Cartridge Fuel Filter</v>
          </cell>
        </row>
        <row r="1226">
          <cell r="K1226" t="str">
            <v>LAF8549</v>
          </cell>
          <cell r="L1226" t="str">
            <v>HD</v>
          </cell>
          <cell r="M1226" t="str">
            <v>x</v>
          </cell>
          <cell r="N1226" t="e">
            <v>#N/A</v>
          </cell>
          <cell r="O1226" t="str">
            <v>HD Metal-End Inner Air Filter</v>
          </cell>
        </row>
        <row r="1227">
          <cell r="K1227" t="str">
            <v>LAF8085</v>
          </cell>
          <cell r="L1227" t="str">
            <v>HD</v>
          </cell>
          <cell r="M1227" t="str">
            <v>x</v>
          </cell>
          <cell r="N1227" t="e">
            <v>#N/A</v>
          </cell>
          <cell r="O1227" t="str">
            <v>Radial Seal Air Filter (Primary)</v>
          </cell>
        </row>
        <row r="1228">
          <cell r="K1228" t="str">
            <v>LAF5783</v>
          </cell>
          <cell r="L1228" t="str">
            <v>HD</v>
          </cell>
          <cell r="M1228" t="str">
            <v>x</v>
          </cell>
          <cell r="N1228" t="e">
            <v>#N/A</v>
          </cell>
          <cell r="O1228" t="str">
            <v>Radial Seal Outer Air Filter</v>
          </cell>
        </row>
        <row r="1229">
          <cell r="K1229" t="str">
            <v>LFF9011</v>
          </cell>
          <cell r="L1229" t="str">
            <v>HD</v>
          </cell>
          <cell r="M1229" t="str">
            <v>x</v>
          </cell>
          <cell r="N1229" t="e">
            <v>#N/A</v>
          </cell>
          <cell r="O1229" t="str">
            <v>Bowl Style Fuel Water Separator Filter</v>
          </cell>
        </row>
        <row r="1230">
          <cell r="K1230" t="str">
            <v>LAF1734</v>
          </cell>
          <cell r="L1230" t="str">
            <v>HD</v>
          </cell>
          <cell r="M1230" t="str">
            <v>x</v>
          </cell>
          <cell r="N1230" t="e">
            <v>#N/A</v>
          </cell>
          <cell r="O1230" t="str">
            <v>Finned Vane Air Filter</v>
          </cell>
        </row>
        <row r="1231">
          <cell r="K1231" t="str">
            <v>LFF5950</v>
          </cell>
          <cell r="L1231" t="str">
            <v>HD</v>
          </cell>
          <cell r="M1231" t="str">
            <v>x</v>
          </cell>
          <cell r="N1231" t="e">
            <v>#N/A</v>
          </cell>
          <cell r="O1231" t="str">
            <v>Spin-on Fuel Water Separator Filter</v>
          </cell>
        </row>
        <row r="1232">
          <cell r="K1232" t="str">
            <v>LAF9092</v>
          </cell>
          <cell r="L1232" t="str">
            <v>HD</v>
          </cell>
          <cell r="M1232" t="str">
            <v>x</v>
          </cell>
          <cell r="N1232" t="e">
            <v>#N/A</v>
          </cell>
          <cell r="O1232" t="str">
            <v>Panel Air Filter Metal Framed</v>
          </cell>
        </row>
        <row r="1233">
          <cell r="K1233" t="str">
            <v>LH4905</v>
          </cell>
          <cell r="L1233" t="str">
            <v>HD</v>
          </cell>
          <cell r="M1233" t="str">
            <v>x</v>
          </cell>
          <cell r="N1233" t="e">
            <v>#N/A</v>
          </cell>
          <cell r="O1233" t="str">
            <v>Cartridge Hydraulic Filter</v>
          </cell>
        </row>
        <row r="1234">
          <cell r="K1234" t="str">
            <v>LFP7075</v>
          </cell>
          <cell r="L1234" t="str">
            <v>HD</v>
          </cell>
          <cell r="M1234" t="str">
            <v>x</v>
          </cell>
          <cell r="N1234" t="e">
            <v>#N/A</v>
          </cell>
          <cell r="O1234" t="str">
            <v>Spin-on Oil Filter</v>
          </cell>
        </row>
        <row r="1235">
          <cell r="K1235" t="str">
            <v>LAF8392</v>
          </cell>
          <cell r="L1235" t="str">
            <v>HD</v>
          </cell>
          <cell r="M1235" t="str">
            <v>x</v>
          </cell>
          <cell r="N1235" t="e">
            <v>#N/A</v>
          </cell>
          <cell r="O1235" t="str">
            <v>HD Metal-End Inner Air Filter</v>
          </cell>
        </row>
        <row r="1236">
          <cell r="K1236" t="str">
            <v>LH8489G</v>
          </cell>
          <cell r="L1236" t="str">
            <v>HD</v>
          </cell>
          <cell r="M1236" t="str">
            <v>x</v>
          </cell>
          <cell r="N1236" t="e">
            <v>#N/A</v>
          </cell>
          <cell r="O1236" t="str">
            <v>Cartridge Hydraulic Filter</v>
          </cell>
        </row>
        <row r="1237">
          <cell r="K1237" t="str">
            <v>LAF1924</v>
          </cell>
          <cell r="L1237" t="str">
            <v>HD</v>
          </cell>
          <cell r="M1237" t="str">
            <v>x</v>
          </cell>
          <cell r="N1237" t="e">
            <v>#N/A</v>
          </cell>
          <cell r="O1237" t="str">
            <v>Finned Vane Air Filter</v>
          </cell>
        </row>
        <row r="1238">
          <cell r="K1238" t="str">
            <v>LH4931</v>
          </cell>
          <cell r="L1238" t="str">
            <v>HD</v>
          </cell>
          <cell r="M1238" t="str">
            <v>x</v>
          </cell>
          <cell r="N1238" t="e">
            <v>#N/A</v>
          </cell>
          <cell r="O1238" t="str">
            <v>Cartridge Hydraulic Filter</v>
          </cell>
        </row>
        <row r="1239">
          <cell r="K1239" t="str">
            <v>LAF8625</v>
          </cell>
          <cell r="L1239" t="str">
            <v>HD</v>
          </cell>
          <cell r="M1239" t="str">
            <v>x</v>
          </cell>
          <cell r="N1239" t="str">
            <v>LAF8625</v>
          </cell>
          <cell r="O1239" t="str">
            <v>Round Air Filter</v>
          </cell>
        </row>
        <row r="1240">
          <cell r="K1240" t="str">
            <v>LAF5516</v>
          </cell>
          <cell r="L1240" t="str">
            <v>HD</v>
          </cell>
          <cell r="M1240" t="str">
            <v>x</v>
          </cell>
          <cell r="N1240" t="e">
            <v>#N/A</v>
          </cell>
          <cell r="O1240" t="str">
            <v>HD Metal-End Air Filter</v>
          </cell>
        </row>
        <row r="1241">
          <cell r="K1241" t="str">
            <v>LAF2612</v>
          </cell>
          <cell r="L1241" t="str">
            <v>HD</v>
          </cell>
          <cell r="M1241" t="str">
            <v>x</v>
          </cell>
          <cell r="N1241" t="e">
            <v>#N/A</v>
          </cell>
          <cell r="O1241" t="str">
            <v>HD Metal-End Air Filter</v>
          </cell>
        </row>
        <row r="1242">
          <cell r="K1242" t="str">
            <v>LFP2230</v>
          </cell>
          <cell r="L1242" t="str">
            <v>HD</v>
          </cell>
          <cell r="M1242" t="str">
            <v>x</v>
          </cell>
          <cell r="N1242" t="e">
            <v>#N/A</v>
          </cell>
          <cell r="O1242" t="str">
            <v>Spin-on Oil Filter</v>
          </cell>
        </row>
        <row r="1243">
          <cell r="K1243" t="str">
            <v>LFH4407</v>
          </cell>
          <cell r="L1243" t="str">
            <v>HD</v>
          </cell>
          <cell r="M1243" t="str">
            <v>x</v>
          </cell>
          <cell r="N1243" t="e">
            <v>#N/A</v>
          </cell>
          <cell r="O1243" t="str">
            <v>Spin-on Hydraulic Filter</v>
          </cell>
        </row>
        <row r="1244">
          <cell r="K1244" t="str">
            <v>LFF9002</v>
          </cell>
          <cell r="L1244" t="str">
            <v>HD</v>
          </cell>
          <cell r="M1244" t="str">
            <v>x</v>
          </cell>
          <cell r="N1244" t="e">
            <v>#N/A</v>
          </cell>
          <cell r="O1244" t="str">
            <v>Bowl Style Fuel Water Separator Filter</v>
          </cell>
        </row>
        <row r="1245">
          <cell r="K1245" t="str">
            <v>LK1MA</v>
          </cell>
          <cell r="L1245" t="str">
            <v>HD</v>
          </cell>
          <cell r="M1245" t="str">
            <v>x</v>
          </cell>
          <cell r="N1245" t="e">
            <v>#N/A</v>
          </cell>
          <cell r="O1245" t="str">
            <v>Mack Engine Maintenance Kit</v>
          </cell>
        </row>
        <row r="1246">
          <cell r="K1246" t="str">
            <v>LAF1591</v>
          </cell>
          <cell r="L1246" t="str">
            <v>HD</v>
          </cell>
          <cell r="M1246" t="str">
            <v>x</v>
          </cell>
          <cell r="N1246" t="e">
            <v>#N/A</v>
          </cell>
          <cell r="O1246" t="str">
            <v>Metal-End Air Filter with Closed Top End Cap</v>
          </cell>
        </row>
        <row r="1247">
          <cell r="K1247" t="str">
            <v>LFH4210</v>
          </cell>
          <cell r="L1247" t="str">
            <v>HD</v>
          </cell>
          <cell r="M1247" t="str">
            <v>x</v>
          </cell>
          <cell r="N1247" t="e">
            <v>#N/A</v>
          </cell>
          <cell r="O1247" t="str">
            <v>Spin-on Hydraulic Filter</v>
          </cell>
        </row>
        <row r="1248">
          <cell r="K1248" t="str">
            <v>LFH6197</v>
          </cell>
          <cell r="L1248" t="str">
            <v>HD</v>
          </cell>
          <cell r="M1248" t="str">
            <v>x</v>
          </cell>
          <cell r="N1248" t="e">
            <v>#N/A</v>
          </cell>
          <cell r="O1248" t="str">
            <v>Spin-on Hydraulic Filter</v>
          </cell>
        </row>
        <row r="1249">
          <cell r="K1249" t="str">
            <v>LFH8204</v>
          </cell>
          <cell r="L1249" t="str">
            <v>HD</v>
          </cell>
          <cell r="M1249" t="str">
            <v>x</v>
          </cell>
          <cell r="N1249" t="e">
            <v>#N/A</v>
          </cell>
          <cell r="O1249" t="str">
            <v>Spin-on Hydraulic Filter</v>
          </cell>
        </row>
        <row r="1250">
          <cell r="K1250" t="str">
            <v>LAF1811</v>
          </cell>
          <cell r="L1250" t="str">
            <v>HD</v>
          </cell>
          <cell r="M1250" t="str">
            <v>x</v>
          </cell>
          <cell r="N1250" t="e">
            <v>#N/A</v>
          </cell>
          <cell r="O1250" t="str">
            <v>HD Round Air Filter with Attached Boot</v>
          </cell>
        </row>
        <row r="1251">
          <cell r="K1251" t="str">
            <v>LAF7313</v>
          </cell>
          <cell r="L1251" t="str">
            <v>HD</v>
          </cell>
          <cell r="M1251" t="str">
            <v>x</v>
          </cell>
          <cell r="N1251" t="e">
            <v>#N/A</v>
          </cell>
          <cell r="O1251" t="str">
            <v>HD Metal-End Inner Air Filter</v>
          </cell>
        </row>
        <row r="1252">
          <cell r="K1252" t="str">
            <v>LH5953</v>
          </cell>
          <cell r="L1252" t="str">
            <v>HD</v>
          </cell>
          <cell r="M1252" t="str">
            <v>x</v>
          </cell>
          <cell r="N1252" t="e">
            <v>#N/A</v>
          </cell>
          <cell r="O1252" t="str">
            <v>Cartridge Hydraulic Filter</v>
          </cell>
        </row>
        <row r="1253">
          <cell r="K1253" t="str">
            <v>LFP8925</v>
          </cell>
          <cell r="L1253" t="str">
            <v>HD</v>
          </cell>
          <cell r="M1253" t="str">
            <v>x</v>
          </cell>
          <cell r="N1253" t="e">
            <v>#N/A</v>
          </cell>
          <cell r="O1253" t="str">
            <v>Spin-on Oil Filter</v>
          </cell>
        </row>
        <row r="1254">
          <cell r="K1254" t="str">
            <v>LAF3717</v>
          </cell>
          <cell r="L1254" t="str">
            <v>HD</v>
          </cell>
          <cell r="M1254" t="str">
            <v>x</v>
          </cell>
          <cell r="N1254" t="e">
            <v>#N/A</v>
          </cell>
          <cell r="O1254" t="str">
            <v>HD Round Air Filter with Attached Boot</v>
          </cell>
        </row>
        <row r="1255">
          <cell r="K1255" t="str">
            <v>LFH5323</v>
          </cell>
          <cell r="L1255" t="str">
            <v>HD</v>
          </cell>
          <cell r="M1255" t="str">
            <v>x</v>
          </cell>
          <cell r="N1255" t="e">
            <v>#N/A</v>
          </cell>
          <cell r="O1255" t="str">
            <v>Spin-on Hydraulic Filter</v>
          </cell>
        </row>
        <row r="1256">
          <cell r="K1256" t="str">
            <v>LFF5926</v>
          </cell>
          <cell r="L1256" t="str">
            <v>HD</v>
          </cell>
          <cell r="M1256" t="str">
            <v>x</v>
          </cell>
          <cell r="N1256" t="e">
            <v>#N/A</v>
          </cell>
          <cell r="O1256" t="str">
            <v>Spin-on Fuel Water Separator Filter</v>
          </cell>
        </row>
        <row r="1257">
          <cell r="K1257" t="str">
            <v>LH22019</v>
          </cell>
          <cell r="L1257" t="str">
            <v>HD</v>
          </cell>
          <cell r="M1257" t="str">
            <v>x</v>
          </cell>
          <cell r="N1257" t="e">
            <v>#N/A</v>
          </cell>
          <cell r="O1257" t="str">
            <v>Cartridge Hydraulic Filter</v>
          </cell>
        </row>
        <row r="1258">
          <cell r="K1258" t="str">
            <v>LAF1714</v>
          </cell>
          <cell r="L1258" t="str">
            <v>HD</v>
          </cell>
          <cell r="M1258" t="str">
            <v>x</v>
          </cell>
          <cell r="N1258" t="e">
            <v>#N/A</v>
          </cell>
          <cell r="O1258" t="str">
            <v>HD Metal-End Air Filter</v>
          </cell>
        </row>
        <row r="1259">
          <cell r="K1259" t="str">
            <v>LAF1864</v>
          </cell>
          <cell r="L1259" t="str">
            <v>HD</v>
          </cell>
          <cell r="M1259" t="str">
            <v>x</v>
          </cell>
          <cell r="N1259" t="e">
            <v>#N/A</v>
          </cell>
          <cell r="O1259" t="str">
            <v>HD Metal-End Air Filter</v>
          </cell>
        </row>
        <row r="1260">
          <cell r="K1260" t="str">
            <v>LAF2671</v>
          </cell>
          <cell r="L1260" t="str">
            <v>HD</v>
          </cell>
          <cell r="M1260" t="str">
            <v>x</v>
          </cell>
          <cell r="N1260" t="e">
            <v>#N/A</v>
          </cell>
          <cell r="O1260" t="str">
            <v>Panel Air Filter Metal Framed</v>
          </cell>
        </row>
        <row r="1261">
          <cell r="K1261" t="str">
            <v>LAF1723</v>
          </cell>
          <cell r="L1261" t="str">
            <v>HD</v>
          </cell>
          <cell r="M1261" t="str">
            <v>x</v>
          </cell>
          <cell r="N1261" t="e">
            <v>#N/A</v>
          </cell>
          <cell r="O1261" t="str">
            <v>HD Metal-End Air Filter-Inner</v>
          </cell>
        </row>
        <row r="1262">
          <cell r="K1262" t="str">
            <v>LAF5154</v>
          </cell>
          <cell r="L1262" t="str">
            <v>HD</v>
          </cell>
          <cell r="M1262" t="str">
            <v>x</v>
          </cell>
          <cell r="N1262" t="e">
            <v>#N/A</v>
          </cell>
          <cell r="O1262" t="str">
            <v>Panel Air Filter Metal Framed</v>
          </cell>
        </row>
        <row r="1263">
          <cell r="K1263">
            <v>4666</v>
          </cell>
          <cell r="L1263" t="str">
            <v>HD</v>
          </cell>
          <cell r="M1263" t="str">
            <v>x</v>
          </cell>
          <cell r="N1263" t="e">
            <v>#N/A</v>
          </cell>
          <cell r="O1263" t="str">
            <v>F170 with fuel/water separator paper element Filter</v>
          </cell>
        </row>
        <row r="1264">
          <cell r="K1264" t="str">
            <v>LAF8688</v>
          </cell>
          <cell r="L1264" t="str">
            <v>HD</v>
          </cell>
          <cell r="M1264" t="str">
            <v>x</v>
          </cell>
          <cell r="N1264" t="e">
            <v>#N/A</v>
          </cell>
          <cell r="O1264" t="str">
            <v>Radial Seal Inner Air Filter</v>
          </cell>
        </row>
        <row r="1265">
          <cell r="K1265" t="str">
            <v>LP816</v>
          </cell>
          <cell r="L1265" t="str">
            <v>HD</v>
          </cell>
          <cell r="M1265" t="str">
            <v>x</v>
          </cell>
          <cell r="N1265" t="e">
            <v>#N/A</v>
          </cell>
          <cell r="O1265" t="str">
            <v>Cartridge Oil Filter</v>
          </cell>
        </row>
        <row r="1266">
          <cell r="K1266" t="str">
            <v>LAF3498</v>
          </cell>
          <cell r="L1266" t="str">
            <v>HD</v>
          </cell>
          <cell r="M1266" t="str">
            <v>x</v>
          </cell>
          <cell r="N1266" t="e">
            <v>#N/A</v>
          </cell>
          <cell r="O1266" t="str">
            <v>Inner Air Filter</v>
          </cell>
        </row>
        <row r="1267">
          <cell r="K1267" t="str">
            <v>LFP2241</v>
          </cell>
          <cell r="L1267" t="str">
            <v>HD</v>
          </cell>
          <cell r="M1267" t="str">
            <v>x</v>
          </cell>
          <cell r="N1267" t="e">
            <v>#N/A</v>
          </cell>
          <cell r="O1267" t="str">
            <v>Spin-on Oil Filter</v>
          </cell>
        </row>
        <row r="1268">
          <cell r="K1268" t="str">
            <v>LH4914</v>
          </cell>
          <cell r="L1268" t="str">
            <v>HD</v>
          </cell>
          <cell r="M1268" t="str">
            <v>x</v>
          </cell>
          <cell r="N1268" t="e">
            <v>#N/A</v>
          </cell>
          <cell r="O1268" t="str">
            <v>Cartridge Hydraulic Filter</v>
          </cell>
        </row>
        <row r="1269">
          <cell r="K1269" t="str">
            <v>LAF8583</v>
          </cell>
          <cell r="L1269" t="str">
            <v>HD</v>
          </cell>
          <cell r="M1269" t="str">
            <v>x</v>
          </cell>
          <cell r="N1269" t="e">
            <v>#N/A</v>
          </cell>
          <cell r="O1269" t="str">
            <v>Finned Vane Air Filter With Attached Lid</v>
          </cell>
        </row>
        <row r="1270">
          <cell r="K1270" t="str">
            <v>LAF65</v>
          </cell>
          <cell r="L1270" t="str">
            <v>HD</v>
          </cell>
          <cell r="M1270" t="str">
            <v>x</v>
          </cell>
          <cell r="N1270" t="e">
            <v>#N/A</v>
          </cell>
          <cell r="O1270" t="str">
            <v>Round Plastisol Air Filter</v>
          </cell>
        </row>
        <row r="1271">
          <cell r="K1271" t="str">
            <v>LAFV140A</v>
          </cell>
          <cell r="L1271" t="str">
            <v>HD</v>
          </cell>
          <cell r="M1271" t="str">
            <v>x</v>
          </cell>
          <cell r="N1271" t="e">
            <v>#N/A</v>
          </cell>
          <cell r="O1271" t="str">
            <v>HD Metal-End Air Filter</v>
          </cell>
        </row>
        <row r="1272">
          <cell r="K1272" t="str">
            <v>.75N1-12A</v>
          </cell>
          <cell r="L1272" t="str">
            <v>HD</v>
          </cell>
          <cell r="M1272" t="str">
            <v>x</v>
          </cell>
          <cell r="N1272" t="e">
            <v>#N/A</v>
          </cell>
          <cell r="O1272" t="str">
            <v xml:space="preserve"> HYDRAULIC BASE</v>
          </cell>
        </row>
        <row r="1273">
          <cell r="K1273" t="str">
            <v>750-C</v>
          </cell>
          <cell r="L1273" t="str">
            <v>HD</v>
          </cell>
          <cell r="M1273" t="str">
            <v>x</v>
          </cell>
          <cell r="N1273" t="e">
            <v>#N/A</v>
          </cell>
          <cell r="O1273" t="str">
            <v>Refining Unit For Fuel Filtration w/Filter Pack/750-C, CT</v>
          </cell>
        </row>
        <row r="1274">
          <cell r="K1274" t="str">
            <v>LAF2342</v>
          </cell>
          <cell r="L1274" t="str">
            <v>HD</v>
          </cell>
          <cell r="M1274" t="str">
            <v>x</v>
          </cell>
          <cell r="N1274" t="e">
            <v>#N/A</v>
          </cell>
          <cell r="O1274" t="str">
            <v>Radial Seal Outer Air Filter</v>
          </cell>
        </row>
        <row r="1275">
          <cell r="K1275" t="str">
            <v>LAF7360</v>
          </cell>
          <cell r="L1275" t="str">
            <v>HD</v>
          </cell>
          <cell r="M1275" t="str">
            <v>x</v>
          </cell>
          <cell r="N1275" t="e">
            <v>#N/A</v>
          </cell>
          <cell r="O1275" t="str">
            <v>Round Inner Air Filter with Flanged Endcap</v>
          </cell>
        </row>
        <row r="1276">
          <cell r="K1276" t="str">
            <v>L3515F</v>
          </cell>
          <cell r="L1276" t="str">
            <v>HD</v>
          </cell>
          <cell r="M1276" t="str">
            <v>x</v>
          </cell>
          <cell r="N1276" t="e">
            <v>#N/A</v>
          </cell>
          <cell r="O1276" t="str">
            <v>Cartridge Fuel Filter</v>
          </cell>
        </row>
        <row r="1277">
          <cell r="K1277" t="str">
            <v>LAF7358</v>
          </cell>
          <cell r="L1277" t="str">
            <v>HD</v>
          </cell>
          <cell r="M1277" t="str">
            <v>x</v>
          </cell>
          <cell r="N1277" t="e">
            <v>#N/A</v>
          </cell>
          <cell r="O1277" t="str">
            <v>Rigid Panel Air Filter</v>
          </cell>
        </row>
        <row r="1278">
          <cell r="K1278" t="str">
            <v>LWC22155</v>
          </cell>
          <cell r="L1278" t="str">
            <v>HD</v>
          </cell>
          <cell r="M1278" t="str">
            <v>x</v>
          </cell>
          <cell r="N1278" t="e">
            <v>#N/A</v>
          </cell>
          <cell r="O1278" t="str">
            <v>Air Dryer Filter</v>
          </cell>
        </row>
        <row r="1279">
          <cell r="K1279" t="str">
            <v>LAF22106</v>
          </cell>
          <cell r="L1279" t="str">
            <v>HD</v>
          </cell>
          <cell r="M1279" t="str">
            <v>x</v>
          </cell>
          <cell r="N1279" t="e">
            <v>#N/A</v>
          </cell>
          <cell r="O1279" t="str">
            <v>HD Metal-End Air Filter</v>
          </cell>
        </row>
        <row r="1280">
          <cell r="K1280" t="str">
            <v>LFP8507</v>
          </cell>
          <cell r="L1280" t="str">
            <v>HD</v>
          </cell>
          <cell r="M1280" t="str">
            <v>x</v>
          </cell>
          <cell r="N1280" t="e">
            <v>#N/A</v>
          </cell>
          <cell r="O1280" t="str">
            <v>Spin-on Oil Filter</v>
          </cell>
        </row>
        <row r="1281">
          <cell r="K1281" t="str">
            <v>LAF5803</v>
          </cell>
          <cell r="L1281" t="str">
            <v>HD</v>
          </cell>
          <cell r="M1281" t="str">
            <v>x</v>
          </cell>
          <cell r="N1281" t="e">
            <v>#N/A</v>
          </cell>
          <cell r="O1281" t="str">
            <v>Round Plastisol Air Filter</v>
          </cell>
        </row>
        <row r="1282">
          <cell r="K1282" t="str">
            <v>LAF1915</v>
          </cell>
          <cell r="L1282" t="str">
            <v>HD</v>
          </cell>
          <cell r="M1282" t="str">
            <v>x</v>
          </cell>
          <cell r="N1282" t="str">
            <v>LAF1915</v>
          </cell>
          <cell r="O1282" t="str">
            <v>Round Plastisol Air Filter</v>
          </cell>
        </row>
        <row r="1283">
          <cell r="K1283" t="str">
            <v>LFP8462</v>
          </cell>
          <cell r="L1283" t="str">
            <v>HD</v>
          </cell>
          <cell r="M1283" t="str">
            <v>x</v>
          </cell>
          <cell r="N1283" t="e">
            <v>#N/A</v>
          </cell>
          <cell r="O1283" t="str">
            <v>Spin-on Oil Filter</v>
          </cell>
        </row>
        <row r="1284">
          <cell r="K1284" t="str">
            <v>LK170M</v>
          </cell>
          <cell r="L1284" t="str">
            <v>HD</v>
          </cell>
          <cell r="M1284" t="str">
            <v>x</v>
          </cell>
          <cell r="N1284" t="e">
            <v>#N/A</v>
          </cell>
          <cell r="O1284" t="str">
            <v>Mack Engine Maintenance Kit</v>
          </cell>
        </row>
        <row r="1285">
          <cell r="K1285" t="str">
            <v>LK351M</v>
          </cell>
          <cell r="L1285" t="str">
            <v>HD</v>
          </cell>
          <cell r="M1285" t="str">
            <v>x</v>
          </cell>
          <cell r="N1285" t="e">
            <v>#N/A</v>
          </cell>
          <cell r="O1285" t="str">
            <v>Mack Engine Maintenance Kit</v>
          </cell>
        </row>
        <row r="1286">
          <cell r="K1286" t="str">
            <v>LH11007</v>
          </cell>
          <cell r="L1286" t="str">
            <v>HD</v>
          </cell>
          <cell r="M1286" t="str">
            <v>x</v>
          </cell>
          <cell r="N1286" t="e">
            <v>#N/A</v>
          </cell>
          <cell r="O1286" t="str">
            <v>Industrial Cartridge Hydraulic Filter</v>
          </cell>
        </row>
        <row r="1287">
          <cell r="K1287" t="str">
            <v>CAF24001XL</v>
          </cell>
          <cell r="L1287" t="str">
            <v>HD</v>
          </cell>
          <cell r="M1287" t="str">
            <v>x</v>
          </cell>
          <cell r="N1287" t="e">
            <v>#N/A</v>
          </cell>
          <cell r="O1287" t="str">
            <v>Cabin Air Filter (Carbon) Extreme Clean</v>
          </cell>
        </row>
        <row r="1288">
          <cell r="K1288" t="str">
            <v>LFH4944</v>
          </cell>
          <cell r="L1288" t="str">
            <v>HD</v>
          </cell>
          <cell r="M1288" t="str">
            <v>x</v>
          </cell>
          <cell r="N1288" t="e">
            <v>#N/A</v>
          </cell>
          <cell r="O1288" t="str">
            <v>Spin-on Hydraulic Filter</v>
          </cell>
        </row>
        <row r="1289">
          <cell r="K1289" t="str">
            <v>LAF4497</v>
          </cell>
          <cell r="L1289" t="str">
            <v>HD</v>
          </cell>
          <cell r="M1289" t="str">
            <v>x</v>
          </cell>
          <cell r="N1289" t="e">
            <v>#N/A</v>
          </cell>
          <cell r="O1289" t="str">
            <v>Radial Seal Outer Air Filter</v>
          </cell>
        </row>
        <row r="1290">
          <cell r="K1290" t="str">
            <v>LAF1922</v>
          </cell>
          <cell r="L1290" t="str">
            <v>HD</v>
          </cell>
          <cell r="M1290" t="str">
            <v>x</v>
          </cell>
          <cell r="N1290" t="e">
            <v>#N/A</v>
          </cell>
          <cell r="O1290" t="str">
            <v>HD Metal-End Inner Air Filter</v>
          </cell>
        </row>
        <row r="1291">
          <cell r="K1291" t="str">
            <v>LFH4929</v>
          </cell>
          <cell r="L1291" t="str">
            <v>HD</v>
          </cell>
          <cell r="M1291" t="str">
            <v>x</v>
          </cell>
          <cell r="N1291" t="e">
            <v>#N/A</v>
          </cell>
          <cell r="O1291" t="str">
            <v>Spin-on Hydraulic Filter</v>
          </cell>
        </row>
        <row r="1292">
          <cell r="K1292" t="str">
            <v>LAF8121</v>
          </cell>
          <cell r="L1292" t="str">
            <v>HD</v>
          </cell>
          <cell r="M1292" t="str">
            <v>x</v>
          </cell>
          <cell r="N1292" t="e">
            <v>#N/A</v>
          </cell>
          <cell r="O1292" t="str">
            <v>Round Air Filter</v>
          </cell>
        </row>
        <row r="1293">
          <cell r="K1293" t="str">
            <v>GASKET</v>
          </cell>
          <cell r="L1293" t="str">
            <v>HD</v>
          </cell>
          <cell r="M1293" t="str">
            <v>x</v>
          </cell>
          <cell r="N1293" t="e">
            <v>#N/A</v>
          </cell>
          <cell r="O1293" t="str">
            <v>Cover Gasket for Low Temperature Applications/500-C, 750-C, CT, 2C, 3C, 970-C</v>
          </cell>
        </row>
        <row r="1294">
          <cell r="K1294" t="str">
            <v>CAF24001</v>
          </cell>
          <cell r="L1294" t="str">
            <v>HD</v>
          </cell>
          <cell r="M1294" t="str">
            <v>x</v>
          </cell>
          <cell r="N1294" t="e">
            <v>#N/A</v>
          </cell>
          <cell r="O1294" t="str">
            <v>Cabin Air Filter</v>
          </cell>
        </row>
        <row r="1295">
          <cell r="K1295" t="str">
            <v>LAF1733</v>
          </cell>
          <cell r="L1295" t="str">
            <v>HD</v>
          </cell>
          <cell r="M1295" t="str">
            <v>x</v>
          </cell>
          <cell r="N1295" t="e">
            <v>#N/A</v>
          </cell>
          <cell r="O1295" t="str">
            <v>HD Metal-End Air Filter</v>
          </cell>
        </row>
        <row r="1296">
          <cell r="K1296" t="str">
            <v>LAF4508</v>
          </cell>
          <cell r="L1296" t="str">
            <v>HD</v>
          </cell>
          <cell r="M1296" t="str">
            <v>x</v>
          </cell>
          <cell r="N1296" t="e">
            <v>#N/A</v>
          </cell>
          <cell r="O1296" t="str">
            <v>Radial Seal Inner Air Filter</v>
          </cell>
        </row>
        <row r="1297">
          <cell r="K1297" t="str">
            <v>LFP7164</v>
          </cell>
          <cell r="L1297" t="str">
            <v>HD</v>
          </cell>
          <cell r="M1297" t="str">
            <v>x</v>
          </cell>
          <cell r="N1297" t="e">
            <v>#N/A</v>
          </cell>
          <cell r="O1297" t="str">
            <v>Spin-on By-Pass Oil Filter</v>
          </cell>
        </row>
        <row r="1298">
          <cell r="K1298" t="str">
            <v>LAF5070</v>
          </cell>
          <cell r="L1298" t="str">
            <v>HD</v>
          </cell>
          <cell r="M1298" t="str">
            <v>x</v>
          </cell>
          <cell r="N1298" t="e">
            <v>#N/A</v>
          </cell>
          <cell r="O1298" t="str">
            <v>HD Metal-End Air Filter</v>
          </cell>
        </row>
        <row r="1299">
          <cell r="K1299" t="str">
            <v>LAF916</v>
          </cell>
          <cell r="L1299" t="str">
            <v>HD</v>
          </cell>
          <cell r="M1299" t="str">
            <v>x</v>
          </cell>
          <cell r="N1299" t="e">
            <v>#N/A</v>
          </cell>
          <cell r="O1299" t="str">
            <v>Metal-End Air Filter with Closed Top End Cap</v>
          </cell>
        </row>
        <row r="1300">
          <cell r="K1300" t="str">
            <v>LP4373</v>
          </cell>
          <cell r="L1300" t="str">
            <v>HD</v>
          </cell>
          <cell r="M1300" t="str">
            <v>x</v>
          </cell>
          <cell r="N1300" t="e">
            <v>#N/A</v>
          </cell>
          <cell r="O1300" t="str">
            <v>Cartridge hydraulic filter</v>
          </cell>
        </row>
        <row r="1301">
          <cell r="K1301" t="str">
            <v>L624F</v>
          </cell>
          <cell r="L1301" t="str">
            <v>HD</v>
          </cell>
          <cell r="M1301" t="str">
            <v>x</v>
          </cell>
          <cell r="N1301" t="e">
            <v>#N/A</v>
          </cell>
          <cell r="O1301" t="str">
            <v>Cartridge Fuel Filter</v>
          </cell>
        </row>
        <row r="1302">
          <cell r="K1302" t="str">
            <v>L3921F</v>
          </cell>
          <cell r="L1302" t="str">
            <v>HD</v>
          </cell>
          <cell r="M1302" t="str">
            <v>x</v>
          </cell>
          <cell r="N1302" t="e">
            <v>#N/A</v>
          </cell>
          <cell r="O1302" t="str">
            <v>Snap-Lock Fuel Filter</v>
          </cell>
        </row>
        <row r="1303">
          <cell r="K1303" t="str">
            <v>LAF320</v>
          </cell>
          <cell r="L1303" t="str">
            <v>HD</v>
          </cell>
          <cell r="M1303" t="str">
            <v>x</v>
          </cell>
          <cell r="N1303" t="e">
            <v>#N/A</v>
          </cell>
          <cell r="O1303" t="str">
            <v>Tube Type Air Filter</v>
          </cell>
        </row>
        <row r="1304">
          <cell r="K1304" t="str">
            <v>LAF1628</v>
          </cell>
          <cell r="L1304" t="str">
            <v>HD</v>
          </cell>
          <cell r="M1304" t="str">
            <v>x</v>
          </cell>
          <cell r="N1304" t="str">
            <v>LAF1628</v>
          </cell>
          <cell r="O1304" t="str">
            <v>Tube Type Air Filter</v>
          </cell>
        </row>
        <row r="1305">
          <cell r="K1305" t="str">
            <v>LH11021V</v>
          </cell>
          <cell r="L1305" t="str">
            <v>HD</v>
          </cell>
          <cell r="M1305" t="str">
            <v>x</v>
          </cell>
          <cell r="N1305" t="e">
            <v>#N/A</v>
          </cell>
          <cell r="O1305" t="str">
            <v>Industrial Cartridge Hydraulic Filter</v>
          </cell>
        </row>
        <row r="1306">
          <cell r="K1306" t="str">
            <v>LAF1936</v>
          </cell>
          <cell r="L1306" t="str">
            <v>HD</v>
          </cell>
          <cell r="M1306" t="str">
            <v>x</v>
          </cell>
          <cell r="N1306" t="e">
            <v>#N/A</v>
          </cell>
          <cell r="O1306" t="str">
            <v>HD Metal-End Air Filter</v>
          </cell>
        </row>
        <row r="1307">
          <cell r="K1307" t="str">
            <v>LAF2550</v>
          </cell>
          <cell r="L1307" t="str">
            <v>HD</v>
          </cell>
          <cell r="M1307" t="str">
            <v>x</v>
          </cell>
          <cell r="N1307" t="e">
            <v>#N/A</v>
          </cell>
          <cell r="O1307" t="str">
            <v>HD Metal-End Air Filter</v>
          </cell>
        </row>
        <row r="1308">
          <cell r="K1308" t="str">
            <v>LH11033V</v>
          </cell>
          <cell r="L1308" t="str">
            <v>HD</v>
          </cell>
          <cell r="M1308" t="str">
            <v>x</v>
          </cell>
          <cell r="N1308" t="e">
            <v>#N/A</v>
          </cell>
          <cell r="O1308" t="str">
            <v>Industrial Cartridge Hydraulic Filter</v>
          </cell>
        </row>
        <row r="1309">
          <cell r="K1309" t="str">
            <v>LAF7752</v>
          </cell>
          <cell r="L1309" t="str">
            <v>HD</v>
          </cell>
          <cell r="M1309" t="str">
            <v>x</v>
          </cell>
          <cell r="N1309" t="e">
            <v>#N/A</v>
          </cell>
          <cell r="O1309" t="str">
            <v>HD Metal-End Air Filter</v>
          </cell>
        </row>
        <row r="1310">
          <cell r="K1310" t="str">
            <v>FW6HD</v>
          </cell>
          <cell r="L1310" t="str">
            <v>HD</v>
          </cell>
          <cell r="M1310" t="str">
            <v>x</v>
          </cell>
          <cell r="N1310" t="e">
            <v>#N/A</v>
          </cell>
          <cell r="O1310" t="str">
            <v>Heavy Duty Band Wrench requires 1/2" drive tool. Used on 4 1/4" to 4 3/4" diamter filters.</v>
          </cell>
        </row>
        <row r="1311">
          <cell r="K1311" t="str">
            <v>LAF15F</v>
          </cell>
          <cell r="L1311" t="str">
            <v>HD</v>
          </cell>
          <cell r="M1311" t="str">
            <v>x</v>
          </cell>
          <cell r="N1311" t="e">
            <v>#N/A</v>
          </cell>
          <cell r="O1311" t="str">
            <v>Foam Wrap Air Filter</v>
          </cell>
        </row>
        <row r="1312">
          <cell r="K1312" t="str">
            <v>LFH4431</v>
          </cell>
          <cell r="L1312" t="str">
            <v>HD</v>
          </cell>
          <cell r="M1312" t="str">
            <v>x</v>
          </cell>
          <cell r="N1312" t="e">
            <v>#N/A</v>
          </cell>
          <cell r="O1312" t="str">
            <v>Spin-on Hydraulic Filter</v>
          </cell>
        </row>
        <row r="1313">
          <cell r="K1313" t="str">
            <v>LAF8476</v>
          </cell>
          <cell r="L1313" t="str">
            <v>HD</v>
          </cell>
          <cell r="M1313" t="str">
            <v>x</v>
          </cell>
          <cell r="N1313" t="e">
            <v>#N/A</v>
          </cell>
          <cell r="O1313" t="str">
            <v>Round Air Filter</v>
          </cell>
        </row>
        <row r="1314">
          <cell r="K1314" t="str">
            <v>LFH4427</v>
          </cell>
          <cell r="L1314" t="str">
            <v>HD</v>
          </cell>
          <cell r="M1314" t="str">
            <v>x</v>
          </cell>
          <cell r="N1314" t="e">
            <v>#N/A</v>
          </cell>
          <cell r="O1314" t="str">
            <v>Spin-on Hydraulic Filter</v>
          </cell>
        </row>
        <row r="1315">
          <cell r="K1315" t="str">
            <v>L900B</v>
          </cell>
          <cell r="L1315" t="str">
            <v>HD</v>
          </cell>
          <cell r="M1315" t="str">
            <v>x</v>
          </cell>
          <cell r="N1315" t="e">
            <v>#N/A</v>
          </cell>
          <cell r="O1315" t="str">
            <v>Glass Bowl</v>
          </cell>
        </row>
        <row r="1316">
          <cell r="K1316" t="str">
            <v>LAF5974</v>
          </cell>
          <cell r="L1316" t="str">
            <v>HD</v>
          </cell>
          <cell r="M1316" t="str">
            <v>x</v>
          </cell>
          <cell r="N1316" t="e">
            <v>#N/A</v>
          </cell>
          <cell r="O1316" t="str">
            <v>Radial Seal Inner Air Filter</v>
          </cell>
        </row>
        <row r="1317">
          <cell r="K1317" t="str">
            <v>LH8541</v>
          </cell>
          <cell r="L1317" t="str">
            <v>HD</v>
          </cell>
          <cell r="M1317" t="str">
            <v>x</v>
          </cell>
          <cell r="N1317" t="e">
            <v>#N/A</v>
          </cell>
          <cell r="O1317" t="str">
            <v>Cartridge Hydraulic Filter</v>
          </cell>
        </row>
        <row r="1318">
          <cell r="K1318" t="str">
            <v>LFH8395G</v>
          </cell>
          <cell r="L1318" t="str">
            <v>HD</v>
          </cell>
          <cell r="M1318" t="str">
            <v>x</v>
          </cell>
          <cell r="N1318" t="e">
            <v>#N/A</v>
          </cell>
          <cell r="O1318" t="str">
            <v>Spin-on Hydraulic Filter</v>
          </cell>
        </row>
        <row r="1319">
          <cell r="K1319" t="str">
            <v>LAF8086</v>
          </cell>
          <cell r="L1319" t="str">
            <v>HD</v>
          </cell>
          <cell r="M1319" t="str">
            <v>x</v>
          </cell>
          <cell r="N1319" t="e">
            <v>#N/A</v>
          </cell>
          <cell r="O1319" t="str">
            <v>Radial Seal Inner Air Filter Inner</v>
          </cell>
        </row>
        <row r="1320">
          <cell r="K1320" t="str">
            <v>LAF4514</v>
          </cell>
          <cell r="L1320" t="str">
            <v>HD</v>
          </cell>
          <cell r="M1320" t="str">
            <v>x</v>
          </cell>
          <cell r="N1320" t="e">
            <v>#N/A</v>
          </cell>
          <cell r="O1320" t="str">
            <v>HD Metal-End Air Filter with Attached Lid</v>
          </cell>
        </row>
        <row r="1321">
          <cell r="K1321" t="str">
            <v>LAF1910</v>
          </cell>
          <cell r="L1321" t="str">
            <v>HD</v>
          </cell>
          <cell r="M1321" t="str">
            <v>x</v>
          </cell>
          <cell r="N1321" t="str">
            <v>LAF1910</v>
          </cell>
          <cell r="O1321" t="str">
            <v>HD Metal-End Air Filter</v>
          </cell>
        </row>
        <row r="1322">
          <cell r="K1322" t="str">
            <v>LFH4961</v>
          </cell>
          <cell r="L1322" t="str">
            <v>HD</v>
          </cell>
          <cell r="M1322" t="str">
            <v>x</v>
          </cell>
          <cell r="N1322" t="e">
            <v>#N/A</v>
          </cell>
          <cell r="O1322" t="str">
            <v>Spin-on Hydraulic Filter</v>
          </cell>
        </row>
        <row r="1323">
          <cell r="K1323" t="str">
            <v>750</v>
          </cell>
          <cell r="L1323" t="str">
            <v>HD</v>
          </cell>
          <cell r="M1323" t="str">
            <v>x</v>
          </cell>
          <cell r="N1323" t="e">
            <v>#N/A</v>
          </cell>
          <cell r="O1323" t="str">
            <v>Luber-finer 750 housing, microcell extremely fine micronic filtration of aircraft &amp; missile hydraulic fluids</v>
          </cell>
        </row>
        <row r="1324">
          <cell r="K1324" t="str">
            <v>LAF4621</v>
          </cell>
          <cell r="L1324" t="str">
            <v>HD</v>
          </cell>
          <cell r="M1324" t="str">
            <v>x</v>
          </cell>
          <cell r="N1324" t="e">
            <v>#N/A</v>
          </cell>
          <cell r="O1324" t="str">
            <v>Radial Seal Inner Air Filter</v>
          </cell>
        </row>
        <row r="1325">
          <cell r="K1325" t="str">
            <v>LFW6501</v>
          </cell>
          <cell r="L1325" t="str">
            <v>HD</v>
          </cell>
          <cell r="M1325" t="str">
            <v>x</v>
          </cell>
          <cell r="N1325" t="e">
            <v>#N/A</v>
          </cell>
          <cell r="O1325" t="str">
            <v>Controll Release Spin-on Coolant Filter</v>
          </cell>
        </row>
        <row r="1326">
          <cell r="K1326" t="str">
            <v>L5085F</v>
          </cell>
          <cell r="L1326" t="str">
            <v>HD</v>
          </cell>
          <cell r="M1326" t="str">
            <v>x</v>
          </cell>
          <cell r="N1326" t="e">
            <v>#N/A</v>
          </cell>
          <cell r="O1326" t="str">
            <v>Cartridge Fuel Filter</v>
          </cell>
        </row>
        <row r="1327">
          <cell r="K1327" t="str">
            <v>LP2017</v>
          </cell>
          <cell r="L1327" t="str">
            <v>HD</v>
          </cell>
          <cell r="M1327" t="str">
            <v>x</v>
          </cell>
          <cell r="N1327" t="e">
            <v>#N/A</v>
          </cell>
          <cell r="O1327" t="str">
            <v>26-35768 O-RING RED VITON Gasket</v>
          </cell>
        </row>
        <row r="1328">
          <cell r="K1328" t="str">
            <v>LP2256</v>
          </cell>
          <cell r="L1328" t="str">
            <v>HD</v>
          </cell>
          <cell r="M1328" t="str">
            <v>x</v>
          </cell>
          <cell r="N1328" t="e">
            <v>#N/A</v>
          </cell>
          <cell r="O1328" t="str">
            <v>Cartridge Oil Filter</v>
          </cell>
        </row>
        <row r="1329">
          <cell r="K1329" t="str">
            <v>LAF851</v>
          </cell>
          <cell r="L1329" t="str">
            <v>HD</v>
          </cell>
          <cell r="M1329" t="str">
            <v>x</v>
          </cell>
          <cell r="N1329" t="e">
            <v>#N/A</v>
          </cell>
          <cell r="O1329" t="str">
            <v>HD Metal-End Air Filter</v>
          </cell>
        </row>
        <row r="1330">
          <cell r="K1330" t="str">
            <v>LAF1841</v>
          </cell>
          <cell r="L1330" t="str">
            <v>HD</v>
          </cell>
          <cell r="M1330" t="str">
            <v>x</v>
          </cell>
          <cell r="N1330" t="e">
            <v>#N/A</v>
          </cell>
          <cell r="O1330" t="str">
            <v>HD Metal-End Air Filter</v>
          </cell>
        </row>
        <row r="1331">
          <cell r="K1331" t="str">
            <v>LAF636</v>
          </cell>
          <cell r="L1331" t="str">
            <v>HD</v>
          </cell>
          <cell r="M1331" t="str">
            <v>x</v>
          </cell>
          <cell r="N1331" t="e">
            <v>#N/A</v>
          </cell>
          <cell r="O1331" t="str">
            <v>HD Metal-End Inner Air Filter</v>
          </cell>
        </row>
        <row r="1332">
          <cell r="K1332" t="str">
            <v>LAF2534</v>
          </cell>
          <cell r="L1332" t="str">
            <v>HD</v>
          </cell>
          <cell r="M1332" t="str">
            <v>x</v>
          </cell>
          <cell r="N1332" t="str">
            <v>LAF2534</v>
          </cell>
          <cell r="O1332" t="str">
            <v>Disposible Housing Air Filter</v>
          </cell>
        </row>
        <row r="1333">
          <cell r="K1333" t="str">
            <v>LAF5732</v>
          </cell>
          <cell r="L1333" t="str">
            <v>HD</v>
          </cell>
          <cell r="M1333" t="str">
            <v>x</v>
          </cell>
          <cell r="N1333" t="e">
            <v>#N/A</v>
          </cell>
          <cell r="O1333" t="str">
            <v>Radial Seal Inner Air Filter</v>
          </cell>
        </row>
        <row r="1334">
          <cell r="K1334" t="str">
            <v>LAF2519</v>
          </cell>
          <cell r="L1334" t="str">
            <v>HD</v>
          </cell>
          <cell r="M1334" t="str">
            <v>x</v>
          </cell>
          <cell r="N1334" t="e">
            <v>#N/A</v>
          </cell>
          <cell r="O1334" t="str">
            <v>Round Inner Air Filter with Flanged Endcap</v>
          </cell>
        </row>
        <row r="1335">
          <cell r="K1335" t="str">
            <v>LAF1965</v>
          </cell>
          <cell r="L1335" t="str">
            <v>HD</v>
          </cell>
          <cell r="M1335" t="str">
            <v>x</v>
          </cell>
          <cell r="N1335" t="e">
            <v>#N/A</v>
          </cell>
          <cell r="O1335" t="str">
            <v>Finned Vane Air Filter</v>
          </cell>
        </row>
        <row r="1336">
          <cell r="K1336" t="str">
            <v>LOSK-5D</v>
          </cell>
          <cell r="L1336" t="str">
            <v>HD</v>
          </cell>
          <cell r="M1336" t="str">
            <v>x</v>
          </cell>
          <cell r="N1336" t="e">
            <v>#N/A</v>
          </cell>
          <cell r="O1336" t="str">
            <v>Oil Analysis Test Kit</v>
          </cell>
        </row>
        <row r="1337">
          <cell r="K1337" t="str">
            <v>LAF1469</v>
          </cell>
          <cell r="L1337" t="str">
            <v>HD</v>
          </cell>
          <cell r="M1337" t="str">
            <v>x</v>
          </cell>
          <cell r="N1337" t="e">
            <v>#N/A</v>
          </cell>
          <cell r="O1337" t="str">
            <v>HD Metal-End Air Filter</v>
          </cell>
        </row>
        <row r="1338">
          <cell r="K1338" t="str">
            <v>LAF528D</v>
          </cell>
          <cell r="L1338" t="str">
            <v>HD</v>
          </cell>
          <cell r="M1338" t="str">
            <v>x</v>
          </cell>
          <cell r="N1338" t="e">
            <v>#N/A</v>
          </cell>
          <cell r="O1338" t="str">
            <v>HD Rigid Panel Air Filter</v>
          </cell>
        </row>
        <row r="1339">
          <cell r="K1339" t="str">
            <v>LAF2343</v>
          </cell>
          <cell r="L1339" t="str">
            <v>HD</v>
          </cell>
          <cell r="M1339" t="str">
            <v>x</v>
          </cell>
          <cell r="N1339" t="e">
            <v>#N/A</v>
          </cell>
          <cell r="O1339" t="str">
            <v>Radial Seal Inner Air Filter</v>
          </cell>
        </row>
        <row r="1340">
          <cell r="K1340" t="str">
            <v>LAF8750</v>
          </cell>
          <cell r="L1340" t="str">
            <v>HD</v>
          </cell>
          <cell r="M1340" t="str">
            <v>x</v>
          </cell>
          <cell r="N1340" t="e">
            <v>#N/A</v>
          </cell>
          <cell r="O1340" t="str">
            <v>Radial Seal Inner Air Filter</v>
          </cell>
        </row>
        <row r="1341">
          <cell r="K1341" t="str">
            <v>LAF5026</v>
          </cell>
          <cell r="L1341" t="str">
            <v>HD</v>
          </cell>
          <cell r="M1341" t="str">
            <v>x</v>
          </cell>
          <cell r="N1341" t="e">
            <v>#N/A</v>
          </cell>
          <cell r="O1341" t="str">
            <v>Panel Air Filter Metal Framed</v>
          </cell>
        </row>
        <row r="1342">
          <cell r="K1342" t="str">
            <v>LH22126</v>
          </cell>
          <cell r="L1342" t="str">
            <v>HD</v>
          </cell>
          <cell r="M1342" t="str">
            <v>x</v>
          </cell>
          <cell r="N1342" t="e">
            <v>#N/A</v>
          </cell>
          <cell r="O1342" t="str">
            <v>Cartridge Hydraulic Filter</v>
          </cell>
        </row>
        <row r="1343">
          <cell r="K1343" t="str">
            <v>LAF5562</v>
          </cell>
          <cell r="L1343" t="str">
            <v>HD</v>
          </cell>
          <cell r="M1343" t="str">
            <v>x</v>
          </cell>
          <cell r="N1343" t="e">
            <v>#N/A</v>
          </cell>
          <cell r="O1343" t="str">
            <v>HD Metal-End Inner Air Filter</v>
          </cell>
        </row>
        <row r="1344">
          <cell r="K1344" t="str">
            <v>L6916F</v>
          </cell>
          <cell r="L1344" t="str">
            <v>HD</v>
          </cell>
          <cell r="M1344" t="str">
            <v>x</v>
          </cell>
          <cell r="N1344" t="e">
            <v>#N/A</v>
          </cell>
          <cell r="O1344" t="str">
            <v>Cartridge Fuel Filter</v>
          </cell>
        </row>
        <row r="1345">
          <cell r="K1345" t="str">
            <v>LAF3496</v>
          </cell>
          <cell r="L1345" t="str">
            <v>HD</v>
          </cell>
          <cell r="M1345" t="str">
            <v>x</v>
          </cell>
          <cell r="N1345" t="e">
            <v>#N/A</v>
          </cell>
          <cell r="O1345" t="str">
            <v>HD Round Air Filter with Attached Boot</v>
          </cell>
        </row>
        <row r="1346">
          <cell r="K1346" t="str">
            <v>LAF5300</v>
          </cell>
          <cell r="L1346" t="str">
            <v>HD</v>
          </cell>
          <cell r="M1346" t="str">
            <v>x</v>
          </cell>
          <cell r="N1346" t="e">
            <v>#N/A</v>
          </cell>
          <cell r="O1346" t="str">
            <v>Cabin Air Filter</v>
          </cell>
        </row>
        <row r="1347">
          <cell r="K1347" t="str">
            <v>LAF1823</v>
          </cell>
          <cell r="L1347" t="str">
            <v>HD</v>
          </cell>
          <cell r="M1347" t="str">
            <v>x</v>
          </cell>
          <cell r="N1347" t="e">
            <v>#N/A</v>
          </cell>
          <cell r="O1347" t="str">
            <v>HD Metal-End Air Filter-Inner</v>
          </cell>
        </row>
        <row r="1348">
          <cell r="K1348" t="str">
            <v>LH4903</v>
          </cell>
          <cell r="L1348" t="str">
            <v>HD</v>
          </cell>
          <cell r="M1348" t="str">
            <v>x</v>
          </cell>
          <cell r="N1348" t="e">
            <v>#N/A</v>
          </cell>
          <cell r="O1348" t="str">
            <v>Cartridge Hydraulic Filter</v>
          </cell>
        </row>
        <row r="1349">
          <cell r="K1349" t="str">
            <v>LAF8548</v>
          </cell>
          <cell r="L1349" t="str">
            <v>HD</v>
          </cell>
          <cell r="M1349" t="str">
            <v>x</v>
          </cell>
          <cell r="N1349" t="e">
            <v>#N/A</v>
          </cell>
          <cell r="O1349" t="str">
            <v>HD Metal-End Air Filter</v>
          </cell>
        </row>
        <row r="1350">
          <cell r="K1350" t="str">
            <v>LP2315</v>
          </cell>
          <cell r="L1350" t="str">
            <v>HD</v>
          </cell>
          <cell r="M1350" t="str">
            <v>x</v>
          </cell>
          <cell r="N1350" t="e">
            <v>#N/A</v>
          </cell>
          <cell r="O1350" t="str">
            <v>Cartridge Oil Filter</v>
          </cell>
        </row>
        <row r="1351">
          <cell r="K1351" t="str">
            <v>LAF3704</v>
          </cell>
          <cell r="L1351" t="str">
            <v>HD</v>
          </cell>
          <cell r="M1351" t="str">
            <v>x</v>
          </cell>
          <cell r="N1351" t="e">
            <v>#N/A</v>
          </cell>
          <cell r="O1351" t="str">
            <v>HD Metal-End Air Filter</v>
          </cell>
        </row>
        <row r="1352">
          <cell r="K1352" t="str">
            <v>LP2320</v>
          </cell>
          <cell r="L1352" t="str">
            <v>HD</v>
          </cell>
          <cell r="M1352" t="str">
            <v>x</v>
          </cell>
          <cell r="N1352" t="e">
            <v>#N/A</v>
          </cell>
          <cell r="O1352" t="str">
            <v>Cartridge Hydraulic Filter</v>
          </cell>
        </row>
        <row r="1353">
          <cell r="K1353" t="str">
            <v>LAF5474</v>
          </cell>
          <cell r="L1353" t="str">
            <v>HD</v>
          </cell>
          <cell r="M1353" t="str">
            <v>x</v>
          </cell>
          <cell r="N1353" t="e">
            <v>#N/A</v>
          </cell>
          <cell r="O1353" t="str">
            <v>Radial Seal Outer Air Filter</v>
          </cell>
        </row>
        <row r="1354">
          <cell r="K1354" t="str">
            <v>LAF8390</v>
          </cell>
          <cell r="L1354" t="str">
            <v>HD</v>
          </cell>
          <cell r="M1354" t="str">
            <v>x</v>
          </cell>
          <cell r="N1354" t="e">
            <v>#N/A</v>
          </cell>
          <cell r="O1354" t="str">
            <v>Round Inner Air Filter with Flanged Endcap</v>
          </cell>
        </row>
        <row r="1355">
          <cell r="K1355" t="str">
            <v>LAF8648</v>
          </cell>
          <cell r="L1355" t="str">
            <v>HD</v>
          </cell>
          <cell r="M1355" t="str">
            <v>x</v>
          </cell>
          <cell r="N1355" t="e">
            <v>#N/A</v>
          </cell>
          <cell r="O1355" t="str">
            <v>HD Metal-End Inner Air Filter</v>
          </cell>
        </row>
        <row r="1356">
          <cell r="K1356" t="str">
            <v>LFH8398</v>
          </cell>
          <cell r="L1356" t="str">
            <v>HD</v>
          </cell>
          <cell r="M1356" t="str">
            <v>x</v>
          </cell>
          <cell r="N1356" t="e">
            <v>#N/A</v>
          </cell>
          <cell r="O1356" t="str">
            <v>Hydraulic Spin-on Filter</v>
          </cell>
        </row>
        <row r="1357">
          <cell r="K1357" t="str">
            <v>LH8785</v>
          </cell>
          <cell r="L1357" t="str">
            <v>HD</v>
          </cell>
          <cell r="M1357" t="str">
            <v>x</v>
          </cell>
          <cell r="N1357" t="e">
            <v>#N/A</v>
          </cell>
          <cell r="O1357" t="str">
            <v>Cartridge Hydraulic Filter</v>
          </cell>
        </row>
        <row r="1358">
          <cell r="K1358" t="str">
            <v>LH4170</v>
          </cell>
          <cell r="L1358" t="str">
            <v>HD</v>
          </cell>
          <cell r="M1358" t="str">
            <v>x</v>
          </cell>
          <cell r="N1358" t="e">
            <v>#N/A</v>
          </cell>
          <cell r="O1358" t="str">
            <v>Cartridge Hydraulic Filter</v>
          </cell>
        </row>
        <row r="1359">
          <cell r="K1359" t="str">
            <v>LH22125</v>
          </cell>
          <cell r="L1359" t="str">
            <v>HD</v>
          </cell>
          <cell r="M1359" t="str">
            <v>x</v>
          </cell>
          <cell r="N1359" t="e">
            <v>#N/A</v>
          </cell>
          <cell r="O1359" t="str">
            <v>Cartridge Hydraulic Filter</v>
          </cell>
        </row>
        <row r="1360">
          <cell r="K1360" t="str">
            <v>LH4369</v>
          </cell>
          <cell r="L1360" t="str">
            <v>HD</v>
          </cell>
          <cell r="M1360" t="str">
            <v>x</v>
          </cell>
          <cell r="N1360" t="e">
            <v>#N/A</v>
          </cell>
          <cell r="O1360" t="str">
            <v>Cartridge Hydraulic Filter</v>
          </cell>
        </row>
        <row r="1361">
          <cell r="K1361" t="str">
            <v>LFH4447</v>
          </cell>
          <cell r="L1361" t="str">
            <v>HD</v>
          </cell>
          <cell r="M1361" t="str">
            <v>x</v>
          </cell>
          <cell r="N1361" t="e">
            <v>#N/A</v>
          </cell>
          <cell r="O1361" t="str">
            <v>Spin-on Hydraulic Filter</v>
          </cell>
        </row>
        <row r="1362">
          <cell r="K1362" t="str">
            <v>LH4985</v>
          </cell>
          <cell r="L1362" t="str">
            <v>HD</v>
          </cell>
          <cell r="M1362" t="str">
            <v>x</v>
          </cell>
          <cell r="N1362" t="e">
            <v>#N/A</v>
          </cell>
          <cell r="O1362" t="str">
            <v>Cartridge Hydraulic Filter</v>
          </cell>
        </row>
        <row r="1363">
          <cell r="K1363" t="str">
            <v>LAF122</v>
          </cell>
          <cell r="L1363" t="str">
            <v>HD</v>
          </cell>
          <cell r="M1363" t="str">
            <v>x</v>
          </cell>
          <cell r="N1363" t="e">
            <v>#N/A</v>
          </cell>
          <cell r="O1363" t="str">
            <v>Round Air Filter</v>
          </cell>
        </row>
        <row r="1364">
          <cell r="K1364" t="str">
            <v>LAF2515</v>
          </cell>
          <cell r="L1364" t="str">
            <v>HD</v>
          </cell>
          <cell r="M1364" t="str">
            <v>x</v>
          </cell>
          <cell r="N1364" t="e">
            <v>#N/A</v>
          </cell>
          <cell r="O1364" t="str">
            <v>HD Metal-End Air Filter</v>
          </cell>
        </row>
        <row r="1365">
          <cell r="K1365" t="str">
            <v>LP468</v>
          </cell>
          <cell r="L1365" t="str">
            <v>HD</v>
          </cell>
          <cell r="M1365" t="str">
            <v>x</v>
          </cell>
          <cell r="N1365" t="e">
            <v>#N/A</v>
          </cell>
          <cell r="O1365" t="str">
            <v>Cartridge Hydraulic Filter</v>
          </cell>
        </row>
        <row r="1366">
          <cell r="K1366" t="str">
            <v>4069</v>
          </cell>
          <cell r="L1366" t="str">
            <v>HD</v>
          </cell>
          <cell r="M1366" t="str">
            <v>x</v>
          </cell>
          <cell r="N1366" t="e">
            <v>#N/A</v>
          </cell>
          <cell r="O1366" t="str">
            <v>Gasket, Replaces Cummins 164159</v>
          </cell>
        </row>
        <row r="1367">
          <cell r="K1367">
            <v>363</v>
          </cell>
          <cell r="L1367" t="str">
            <v>HD</v>
          </cell>
          <cell r="M1367" t="str">
            <v>x</v>
          </cell>
          <cell r="N1367" t="e">
            <v>#N/A</v>
          </cell>
          <cell r="O1367" t="str">
            <v>Luber-finer 363 diesel pak element filter (opt. applications) detergent type lube oil</v>
          </cell>
        </row>
        <row r="1368">
          <cell r="K1368" t="str">
            <v>970C</v>
          </cell>
          <cell r="L1368" t="str">
            <v>HD</v>
          </cell>
          <cell r="M1368" t="str">
            <v>x</v>
          </cell>
          <cell r="N1368" t="e">
            <v>#N/A</v>
          </cell>
          <cell r="O1368" t="str">
            <v>Industrial Full-flow Unit w/LP970-5 Element/970-C Filter</v>
          </cell>
        </row>
        <row r="1369">
          <cell r="K1369" t="str">
            <v>LAF8200</v>
          </cell>
          <cell r="L1369" t="str">
            <v>HD</v>
          </cell>
          <cell r="M1369" t="str">
            <v>x</v>
          </cell>
          <cell r="N1369" t="str">
            <v>LAF8200</v>
          </cell>
          <cell r="O1369" t="str">
            <v>Round Air Filter</v>
          </cell>
        </row>
        <row r="1370">
          <cell r="K1370" t="str">
            <v>LAF880</v>
          </cell>
          <cell r="L1370" t="str">
            <v>HD</v>
          </cell>
          <cell r="M1370" t="str">
            <v>x</v>
          </cell>
          <cell r="N1370" t="e">
            <v>#N/A</v>
          </cell>
          <cell r="O1370" t="str">
            <v>HD Round Air Filter with Attached Boot</v>
          </cell>
        </row>
        <row r="1371">
          <cell r="K1371" t="str">
            <v>LAF1863</v>
          </cell>
          <cell r="L1371" t="str">
            <v>HD</v>
          </cell>
          <cell r="M1371" t="str">
            <v>x</v>
          </cell>
          <cell r="N1371" t="e">
            <v>#N/A</v>
          </cell>
          <cell r="O1371" t="str">
            <v>HD Metal-End Air Filter</v>
          </cell>
        </row>
        <row r="1372">
          <cell r="K1372" t="str">
            <v>LK291D</v>
          </cell>
          <cell r="L1372" t="str">
            <v>HD</v>
          </cell>
          <cell r="M1372" t="str">
            <v>x</v>
          </cell>
          <cell r="N1372" t="e">
            <v>#N/A</v>
          </cell>
          <cell r="O1372" t="str">
            <v>Detroit Diesel Engine Maintenance Kit</v>
          </cell>
        </row>
        <row r="1373">
          <cell r="K1373" t="str">
            <v>L3514F</v>
          </cell>
          <cell r="L1373" t="str">
            <v>HD</v>
          </cell>
          <cell r="M1373" t="str">
            <v>x</v>
          </cell>
          <cell r="N1373" t="e">
            <v>#N/A</v>
          </cell>
          <cell r="O1373" t="str">
            <v>Cartridge Fuel Filter</v>
          </cell>
        </row>
        <row r="1374">
          <cell r="K1374" t="str">
            <v>LFH8177</v>
          </cell>
          <cell r="L1374" t="str">
            <v>HD</v>
          </cell>
          <cell r="M1374" t="str">
            <v>x</v>
          </cell>
          <cell r="N1374" t="e">
            <v>#N/A</v>
          </cell>
          <cell r="O1374" t="str">
            <v>Spin-on Hydraulic Filter</v>
          </cell>
        </row>
        <row r="1375">
          <cell r="K1375" t="str">
            <v>LAF8151</v>
          </cell>
          <cell r="L1375" t="str">
            <v>HD</v>
          </cell>
          <cell r="M1375" t="str">
            <v>x</v>
          </cell>
          <cell r="N1375" t="e">
            <v>#N/A</v>
          </cell>
          <cell r="O1375" t="str">
            <v>Radial Seal Outer Air Filter</v>
          </cell>
        </row>
        <row r="1376">
          <cell r="K1376" t="str">
            <v>LAF8513</v>
          </cell>
          <cell r="L1376" t="str">
            <v>HD</v>
          </cell>
          <cell r="M1376" t="str">
            <v>x</v>
          </cell>
          <cell r="N1376" t="e">
            <v>#N/A</v>
          </cell>
          <cell r="O1376" t="str">
            <v>HD Metal-End Inner Air Filter</v>
          </cell>
        </row>
        <row r="1377">
          <cell r="K1377" t="str">
            <v>LMB2000</v>
          </cell>
          <cell r="L1377" t="str">
            <v>HD</v>
          </cell>
          <cell r="M1377" t="str">
            <v>x</v>
          </cell>
          <cell r="N1377" t="e">
            <v>#N/A</v>
          </cell>
          <cell r="O1377" t="str">
            <v>Coalescer Filter Base Base used with LFP2000C, LFP2100C, LFP2200C, LFP3100C and LFP3200C</v>
          </cell>
        </row>
        <row r="1378">
          <cell r="K1378" t="str">
            <v>LAF512</v>
          </cell>
          <cell r="L1378" t="str">
            <v>HD</v>
          </cell>
          <cell r="M1378" t="str">
            <v>x</v>
          </cell>
          <cell r="N1378" t="e">
            <v>#N/A</v>
          </cell>
          <cell r="O1378" t="str">
            <v>Rigid Panel Air Filter</v>
          </cell>
        </row>
        <row r="1379">
          <cell r="K1379" t="str">
            <v>LAF4040</v>
          </cell>
          <cell r="L1379" t="str">
            <v>HD</v>
          </cell>
          <cell r="M1379" t="str">
            <v>x</v>
          </cell>
          <cell r="N1379" t="e">
            <v>#N/A</v>
          </cell>
          <cell r="O1379" t="str">
            <v>Tube Type Air Filter</v>
          </cell>
        </row>
        <row r="1380">
          <cell r="K1380" t="str">
            <v>LAF6453MXM</v>
          </cell>
          <cell r="L1380" t="str">
            <v>HD</v>
          </cell>
          <cell r="M1380" t="str">
            <v>x</v>
          </cell>
          <cell r="N1380" t="e">
            <v>#N/A</v>
          </cell>
          <cell r="O1380" t="str">
            <v>Nano Tech Air Filter w/Attached boot</v>
          </cell>
        </row>
        <row r="1381">
          <cell r="K1381" t="str">
            <v>LAF5765</v>
          </cell>
          <cell r="L1381" t="str">
            <v>HD</v>
          </cell>
          <cell r="M1381" t="str">
            <v>x</v>
          </cell>
          <cell r="N1381" t="e">
            <v>#N/A</v>
          </cell>
          <cell r="O1381" t="str">
            <v>Radial Seal Outer Air Filter</v>
          </cell>
        </row>
        <row r="1382">
          <cell r="K1382" t="str">
            <v>LFP5015G</v>
          </cell>
          <cell r="L1382" t="str">
            <v>HD</v>
          </cell>
          <cell r="M1382" t="str">
            <v>x</v>
          </cell>
          <cell r="N1382" t="e">
            <v>#N/A</v>
          </cell>
          <cell r="O1382" t="str">
            <v>Spin-on Hydraulic Filter</v>
          </cell>
        </row>
        <row r="1383">
          <cell r="K1383" t="str">
            <v>L9890F</v>
          </cell>
          <cell r="L1383" t="str">
            <v>HD</v>
          </cell>
          <cell r="M1383" t="str">
            <v>x</v>
          </cell>
          <cell r="N1383" t="e">
            <v>#N/A</v>
          </cell>
          <cell r="O1383" t="str">
            <v>Cartridge Fuel Filter</v>
          </cell>
        </row>
        <row r="1384">
          <cell r="K1384" t="str">
            <v>LAF2020</v>
          </cell>
          <cell r="L1384" t="str">
            <v>HD</v>
          </cell>
          <cell r="M1384" t="str">
            <v>x</v>
          </cell>
          <cell r="N1384" t="e">
            <v>#N/A</v>
          </cell>
          <cell r="O1384" t="str">
            <v>Tube Type Air Filter</v>
          </cell>
        </row>
        <row r="1385">
          <cell r="K1385" t="str">
            <v>LAF3705</v>
          </cell>
          <cell r="L1385" t="str">
            <v>HD</v>
          </cell>
          <cell r="M1385" t="str">
            <v>x</v>
          </cell>
          <cell r="N1385" t="e">
            <v>#N/A</v>
          </cell>
          <cell r="O1385" t="str">
            <v>HD Metal-End Air Filter with Attached Lid</v>
          </cell>
        </row>
        <row r="1386">
          <cell r="K1386" t="str">
            <v>LAF1959</v>
          </cell>
          <cell r="L1386" t="str">
            <v>HD</v>
          </cell>
          <cell r="M1386" t="str">
            <v>x</v>
          </cell>
          <cell r="N1386" t="e">
            <v>#N/A</v>
          </cell>
          <cell r="O1386" t="str">
            <v>HD Metal-End Air Filter</v>
          </cell>
        </row>
        <row r="1387">
          <cell r="K1387" t="str">
            <v>LAF4364</v>
          </cell>
          <cell r="L1387" t="str">
            <v>HD</v>
          </cell>
          <cell r="M1387" t="str">
            <v>x</v>
          </cell>
          <cell r="N1387" t="e">
            <v>#N/A</v>
          </cell>
          <cell r="O1387" t="str">
            <v>Foam Cabin Air Filter</v>
          </cell>
        </row>
        <row r="1388">
          <cell r="K1388" t="str">
            <v>LAF8778</v>
          </cell>
          <cell r="L1388" t="str">
            <v>HD</v>
          </cell>
          <cell r="M1388" t="str">
            <v>x</v>
          </cell>
          <cell r="N1388" t="e">
            <v>#N/A</v>
          </cell>
          <cell r="O1388" t="str">
            <v>Panel Air Filter Metal Framed</v>
          </cell>
        </row>
        <row r="1389">
          <cell r="K1389" t="str">
            <v>LAF6401</v>
          </cell>
          <cell r="L1389" t="str">
            <v>HD</v>
          </cell>
          <cell r="M1389" t="str">
            <v>x</v>
          </cell>
          <cell r="N1389" t="e">
            <v>#N/A</v>
          </cell>
          <cell r="O1389" t="str">
            <v>HD Metal-End Air Filter-Inner</v>
          </cell>
        </row>
        <row r="1390">
          <cell r="K1390" t="str">
            <v>PH6714</v>
          </cell>
          <cell r="L1390" t="str">
            <v>HD</v>
          </cell>
          <cell r="N1390" t="e">
            <v>#N/A</v>
          </cell>
          <cell r="O1390" t="str">
            <v>Spin-on Oil Filter</v>
          </cell>
        </row>
        <row r="1391">
          <cell r="K1391" t="str">
            <v>LAF2746</v>
          </cell>
          <cell r="L1391" t="str">
            <v>HD</v>
          </cell>
          <cell r="M1391" t="str">
            <v>x</v>
          </cell>
          <cell r="N1391" t="e">
            <v>#N/A</v>
          </cell>
          <cell r="O1391" t="str">
            <v>HD Metal-End Air Filter-Inner</v>
          </cell>
        </row>
        <row r="1392">
          <cell r="K1392" t="str">
            <v>LFF8981</v>
          </cell>
          <cell r="L1392" t="str">
            <v>HD</v>
          </cell>
          <cell r="M1392" t="str">
            <v>x</v>
          </cell>
          <cell r="N1392" t="e">
            <v>#N/A</v>
          </cell>
          <cell r="O1392" t="str">
            <v>Spin-on Fuel Water Separator Filter</v>
          </cell>
        </row>
        <row r="1393">
          <cell r="K1393" t="str">
            <v>750CT</v>
          </cell>
          <cell r="L1393" t="str">
            <v>HD</v>
          </cell>
          <cell r="M1393" t="str">
            <v>x</v>
          </cell>
          <cell r="N1393" t="e">
            <v>#N/A</v>
          </cell>
          <cell r="O1393" t="str">
            <v>Unit Universal Mount 750-CT</v>
          </cell>
        </row>
        <row r="1394">
          <cell r="K1394" t="str">
            <v>LAF4504</v>
          </cell>
          <cell r="L1394" t="str">
            <v>HD</v>
          </cell>
          <cell r="M1394" t="str">
            <v>x</v>
          </cell>
          <cell r="N1394" t="e">
            <v>#N/A</v>
          </cell>
          <cell r="O1394" t="str">
            <v>Radial Seal Inner Air Filter</v>
          </cell>
        </row>
        <row r="1395">
          <cell r="K1395" t="str">
            <v>LAF3048</v>
          </cell>
          <cell r="L1395" t="str">
            <v>HD</v>
          </cell>
          <cell r="M1395" t="str">
            <v>x</v>
          </cell>
          <cell r="N1395" t="e">
            <v>#N/A</v>
          </cell>
          <cell r="O1395" t="str">
            <v>Round Inner Air Filter with Flanged Endcap</v>
          </cell>
        </row>
        <row r="1396">
          <cell r="K1396" t="str">
            <v>LAF8483</v>
          </cell>
          <cell r="L1396" t="str">
            <v>HD</v>
          </cell>
          <cell r="M1396" t="str">
            <v>x</v>
          </cell>
          <cell r="N1396" t="e">
            <v>#N/A</v>
          </cell>
          <cell r="O1396" t="str">
            <v>HD Metal-End Air Filter</v>
          </cell>
        </row>
        <row r="1397">
          <cell r="K1397" t="str">
            <v>L60F</v>
          </cell>
          <cell r="L1397" t="str">
            <v>HD</v>
          </cell>
          <cell r="M1397" t="str">
            <v>x</v>
          </cell>
          <cell r="N1397" t="e">
            <v>#N/A</v>
          </cell>
          <cell r="O1397" t="str">
            <v>Cartridge Fuel Filter</v>
          </cell>
        </row>
        <row r="1398">
          <cell r="K1398" t="str">
            <v>LP135</v>
          </cell>
          <cell r="L1398" t="str">
            <v>HD</v>
          </cell>
          <cell r="M1398" t="str">
            <v>x</v>
          </cell>
          <cell r="N1398" t="e">
            <v>#N/A</v>
          </cell>
          <cell r="O1398" t="str">
            <v>Cartridge Oil Filter</v>
          </cell>
        </row>
        <row r="1399">
          <cell r="K1399" t="str">
            <v>LH4942</v>
          </cell>
          <cell r="L1399" t="str">
            <v>HD</v>
          </cell>
          <cell r="M1399" t="str">
            <v>x</v>
          </cell>
          <cell r="N1399" t="e">
            <v>#N/A</v>
          </cell>
          <cell r="O1399" t="str">
            <v>Cartridge Hydraulic Filter</v>
          </cell>
        </row>
        <row r="1400">
          <cell r="K1400" t="str">
            <v>LAF2438</v>
          </cell>
          <cell r="L1400" t="str">
            <v>HD</v>
          </cell>
          <cell r="M1400" t="str">
            <v>x</v>
          </cell>
          <cell r="N1400" t="e">
            <v>#N/A</v>
          </cell>
          <cell r="O1400" t="str">
            <v>Tube Type Air Filter</v>
          </cell>
        </row>
        <row r="1401">
          <cell r="K1401" t="str">
            <v>LAF879</v>
          </cell>
          <cell r="L1401" t="str">
            <v>HD</v>
          </cell>
          <cell r="M1401" t="str">
            <v>x</v>
          </cell>
          <cell r="N1401" t="e">
            <v>#N/A</v>
          </cell>
          <cell r="O1401" t="str">
            <v>HD Metal-End Inner Air Filter</v>
          </cell>
        </row>
        <row r="1402">
          <cell r="K1402" t="str">
            <v>LH4932G</v>
          </cell>
          <cell r="L1402" t="str">
            <v>HD</v>
          </cell>
          <cell r="M1402" t="str">
            <v>x</v>
          </cell>
          <cell r="N1402" t="e">
            <v>#N/A</v>
          </cell>
          <cell r="O1402" t="str">
            <v>Cartridge Hydraulic Filter</v>
          </cell>
        </row>
        <row r="1403">
          <cell r="K1403" t="str">
            <v>LH9187</v>
          </cell>
          <cell r="L1403" t="str">
            <v>HD</v>
          </cell>
          <cell r="M1403" t="str">
            <v>x</v>
          </cell>
          <cell r="N1403" t="e">
            <v>#N/A</v>
          </cell>
          <cell r="O1403" t="str">
            <v>Cartridge Hydraulic Filter</v>
          </cell>
        </row>
        <row r="1404">
          <cell r="K1404" t="str">
            <v>LAF9726</v>
          </cell>
          <cell r="L1404" t="str">
            <v>HD</v>
          </cell>
          <cell r="M1404" t="str">
            <v>x</v>
          </cell>
          <cell r="N1404" t="e">
            <v>#N/A</v>
          </cell>
          <cell r="O1404" t="str">
            <v>HD Metal-End Air Filter</v>
          </cell>
        </row>
        <row r="1405">
          <cell r="K1405" t="str">
            <v>LAF5819</v>
          </cell>
          <cell r="L1405" t="str">
            <v>HD</v>
          </cell>
          <cell r="M1405" t="str">
            <v>x</v>
          </cell>
          <cell r="N1405" t="e">
            <v>#N/A</v>
          </cell>
          <cell r="O1405" t="str">
            <v>Rigid Panel Air Filter</v>
          </cell>
        </row>
        <row r="1406">
          <cell r="K1406" t="str">
            <v>LAF1907</v>
          </cell>
          <cell r="L1406" t="str">
            <v>HD</v>
          </cell>
          <cell r="M1406" t="str">
            <v>x</v>
          </cell>
          <cell r="N1406" t="e">
            <v>#N/A</v>
          </cell>
          <cell r="O1406" t="str">
            <v>Finned Vane Air Filter</v>
          </cell>
        </row>
        <row r="1407">
          <cell r="K1407" t="str">
            <v>LAF3532</v>
          </cell>
          <cell r="L1407" t="str">
            <v>HD</v>
          </cell>
          <cell r="M1407" t="str">
            <v>x</v>
          </cell>
          <cell r="N1407" t="e">
            <v>#N/A</v>
          </cell>
          <cell r="O1407" t="str">
            <v>Radial Seal Outer Air Filter</v>
          </cell>
        </row>
        <row r="1408">
          <cell r="K1408" t="str">
            <v>LAF1484</v>
          </cell>
          <cell r="L1408" t="str">
            <v>HD</v>
          </cell>
          <cell r="M1408" t="str">
            <v>x</v>
          </cell>
          <cell r="N1408" t="e">
            <v>#N/A</v>
          </cell>
          <cell r="O1408" t="str">
            <v>Panel Air Filter Irregular Shaped</v>
          </cell>
        </row>
        <row r="1409">
          <cell r="K1409" t="str">
            <v>LH3879</v>
          </cell>
          <cell r="L1409" t="str">
            <v>HD</v>
          </cell>
          <cell r="M1409" t="str">
            <v>x</v>
          </cell>
          <cell r="N1409" t="e">
            <v>#N/A</v>
          </cell>
          <cell r="O1409" t="str">
            <v>Cartridge Hydraulic Filter</v>
          </cell>
        </row>
        <row r="1410">
          <cell r="K1410" t="str">
            <v>LH4233</v>
          </cell>
          <cell r="L1410" t="str">
            <v>HD</v>
          </cell>
          <cell r="M1410" t="str">
            <v>x</v>
          </cell>
          <cell r="N1410" t="e">
            <v>#N/A</v>
          </cell>
          <cell r="O1410" t="str">
            <v>Cartridge Hydraulic Filter</v>
          </cell>
        </row>
        <row r="1411">
          <cell r="K1411" t="str">
            <v>LP5905</v>
          </cell>
          <cell r="L1411" t="str">
            <v>HD</v>
          </cell>
          <cell r="M1411" t="str">
            <v>x</v>
          </cell>
          <cell r="N1411" t="e">
            <v>#N/A</v>
          </cell>
          <cell r="O1411" t="str">
            <v>Cartridge Oil Filter</v>
          </cell>
        </row>
        <row r="1412">
          <cell r="K1412" t="str">
            <v>LAF1735</v>
          </cell>
          <cell r="L1412" t="str">
            <v>HD</v>
          </cell>
          <cell r="M1412" t="str">
            <v>x</v>
          </cell>
          <cell r="N1412" t="e">
            <v>#N/A</v>
          </cell>
          <cell r="O1412" t="str">
            <v>HD Metal-End Air Filter-Inner</v>
          </cell>
        </row>
        <row r="1413">
          <cell r="K1413" t="str">
            <v>LAF8620</v>
          </cell>
          <cell r="L1413" t="str">
            <v>HD</v>
          </cell>
          <cell r="M1413" t="str">
            <v>x</v>
          </cell>
          <cell r="N1413" t="e">
            <v>#N/A</v>
          </cell>
          <cell r="O1413" t="str">
            <v>HD Round Finned Air Filter with Attached Lid</v>
          </cell>
        </row>
        <row r="1414">
          <cell r="K1414" t="str">
            <v>LAF8599</v>
          </cell>
          <cell r="L1414" t="str">
            <v>HD</v>
          </cell>
          <cell r="M1414" t="str">
            <v>x</v>
          </cell>
          <cell r="N1414" t="str">
            <v>LAF8599</v>
          </cell>
          <cell r="O1414" t="str">
            <v>Round Air Filter</v>
          </cell>
        </row>
        <row r="1415">
          <cell r="K1415" t="str">
            <v>LAF1871</v>
          </cell>
          <cell r="L1415" t="str">
            <v>HD</v>
          </cell>
          <cell r="M1415" t="str">
            <v>x</v>
          </cell>
          <cell r="N1415" t="e">
            <v>#N/A</v>
          </cell>
          <cell r="O1415" t="str">
            <v>Flexible Panel Air Filter</v>
          </cell>
        </row>
        <row r="1416">
          <cell r="K1416" t="str">
            <v>970C</v>
          </cell>
          <cell r="L1416" t="str">
            <v>HD</v>
          </cell>
          <cell r="M1416" t="str">
            <v>x</v>
          </cell>
          <cell r="N1416" t="e">
            <v>#N/A</v>
          </cell>
          <cell r="O1416" t="str">
            <v>Industrial Full-flow Unit w/LP970-10 Element Filter</v>
          </cell>
        </row>
        <row r="1417">
          <cell r="K1417" t="str">
            <v>LFH4204XL</v>
          </cell>
          <cell r="L1417" t="str">
            <v>HD</v>
          </cell>
          <cell r="M1417" t="str">
            <v>x</v>
          </cell>
          <cell r="N1417" t="e">
            <v>#N/A</v>
          </cell>
          <cell r="O1417" t="str">
            <v>Extended Life Hydraulic Spin-on Filter</v>
          </cell>
        </row>
        <row r="1418">
          <cell r="K1418" t="str">
            <v>LAF8083</v>
          </cell>
          <cell r="L1418" t="str">
            <v>HD</v>
          </cell>
          <cell r="M1418" t="str">
            <v>x</v>
          </cell>
          <cell r="N1418" t="e">
            <v>#N/A</v>
          </cell>
          <cell r="O1418" t="str">
            <v>HD Round Air Filter with Attached Boot</v>
          </cell>
        </row>
        <row r="1419">
          <cell r="K1419" t="str">
            <v>LAF8657</v>
          </cell>
          <cell r="L1419" t="str">
            <v>HD</v>
          </cell>
          <cell r="M1419" t="str">
            <v>x</v>
          </cell>
          <cell r="N1419" t="e">
            <v>#N/A</v>
          </cell>
          <cell r="O1419" t="str">
            <v>HD Metal-End Air Filter</v>
          </cell>
        </row>
        <row r="1420">
          <cell r="K1420" t="str">
            <v>LP2279</v>
          </cell>
          <cell r="L1420" t="str">
            <v>HD</v>
          </cell>
          <cell r="M1420" t="str">
            <v>x</v>
          </cell>
          <cell r="N1420" t="e">
            <v>#N/A</v>
          </cell>
          <cell r="O1420" t="str">
            <v>Cartridge Oil Filter</v>
          </cell>
        </row>
        <row r="1421">
          <cell r="K1421" t="str">
            <v>LFH22150</v>
          </cell>
          <cell r="L1421" t="str">
            <v>HD</v>
          </cell>
          <cell r="M1421" t="str">
            <v>x</v>
          </cell>
          <cell r="N1421" t="e">
            <v>#N/A</v>
          </cell>
          <cell r="O1421" t="str">
            <v>Spin-on Hydraulic Filter</v>
          </cell>
        </row>
        <row r="1422">
          <cell r="K1422" t="str">
            <v>LFH9499</v>
          </cell>
          <cell r="L1422" t="str">
            <v>HD</v>
          </cell>
          <cell r="M1422" t="str">
            <v>x</v>
          </cell>
          <cell r="N1422" t="e">
            <v>#N/A</v>
          </cell>
          <cell r="O1422" t="str">
            <v>Spin-on Hydraulic Filter</v>
          </cell>
        </row>
        <row r="1423">
          <cell r="K1423" t="str">
            <v>FP887F</v>
          </cell>
          <cell r="L1423" t="str">
            <v>HD</v>
          </cell>
          <cell r="M1423" t="str">
            <v>x</v>
          </cell>
          <cell r="N1423" t="e">
            <v>#N/A</v>
          </cell>
          <cell r="O1423" t="str">
            <v>Spin-on Fuel Water Separator Filter</v>
          </cell>
        </row>
        <row r="1424">
          <cell r="K1424" t="str">
            <v>LFF8101</v>
          </cell>
          <cell r="L1424" t="str">
            <v>HD</v>
          </cell>
          <cell r="M1424" t="str">
            <v>x</v>
          </cell>
          <cell r="N1424" t="e">
            <v>#N/A</v>
          </cell>
          <cell r="O1424" t="str">
            <v>Spin-on Fuel Filter</v>
          </cell>
        </row>
        <row r="1425">
          <cell r="K1425" t="str">
            <v>LK303M</v>
          </cell>
          <cell r="L1425" t="str">
            <v>HD</v>
          </cell>
          <cell r="M1425" t="str">
            <v>x</v>
          </cell>
          <cell r="N1425" t="e">
            <v>#N/A</v>
          </cell>
          <cell r="O1425" t="str">
            <v>Mack Engine Maintenance Kit</v>
          </cell>
        </row>
        <row r="1426">
          <cell r="K1426" t="str">
            <v>LAF1831</v>
          </cell>
          <cell r="L1426" t="str">
            <v>HD</v>
          </cell>
          <cell r="M1426" t="str">
            <v>x</v>
          </cell>
          <cell r="N1426" t="e">
            <v>#N/A</v>
          </cell>
          <cell r="O1426" t="str">
            <v>HD Metal-End Inner Air Filter</v>
          </cell>
        </row>
        <row r="1427">
          <cell r="K1427" t="str">
            <v>LAF1227</v>
          </cell>
          <cell r="L1427" t="str">
            <v>HD</v>
          </cell>
          <cell r="M1427" t="str">
            <v>x</v>
          </cell>
          <cell r="N1427" t="e">
            <v>#N/A</v>
          </cell>
          <cell r="O1427" t="str">
            <v>HD Metal-End Air Filter</v>
          </cell>
        </row>
        <row r="1428">
          <cell r="K1428" t="str">
            <v>LFP777G</v>
          </cell>
          <cell r="L1428" t="str">
            <v>HD</v>
          </cell>
          <cell r="M1428" t="str">
            <v>x</v>
          </cell>
          <cell r="N1428" t="e">
            <v>#N/A</v>
          </cell>
          <cell r="O1428" t="str">
            <v>Extended Life Spin-on By-Pass Oil Filter</v>
          </cell>
        </row>
        <row r="1429">
          <cell r="K1429" t="str">
            <v>L3539F</v>
          </cell>
          <cell r="L1429" t="str">
            <v>HD</v>
          </cell>
          <cell r="M1429" t="str">
            <v>x</v>
          </cell>
          <cell r="N1429" t="e">
            <v>#N/A</v>
          </cell>
          <cell r="O1429" t="str">
            <v>Cartridge Fuel Filter</v>
          </cell>
        </row>
        <row r="1430">
          <cell r="K1430" t="str">
            <v>LFF9006</v>
          </cell>
          <cell r="L1430" t="str">
            <v>HD</v>
          </cell>
          <cell r="M1430" t="str">
            <v>x</v>
          </cell>
          <cell r="N1430" t="e">
            <v>#N/A</v>
          </cell>
          <cell r="O1430" t="str">
            <v>Bowl Style Fuel Water Separator Filter</v>
          </cell>
        </row>
        <row r="1431">
          <cell r="K1431" t="str">
            <v>LFP2258</v>
          </cell>
          <cell r="L1431" t="str">
            <v>HD</v>
          </cell>
          <cell r="M1431" t="str">
            <v>x</v>
          </cell>
          <cell r="N1431" t="e">
            <v>#N/A</v>
          </cell>
          <cell r="O1431" t="str">
            <v>Spin-on Oil Filter</v>
          </cell>
        </row>
        <row r="1432">
          <cell r="K1432" t="str">
            <v>LAF1818MXM</v>
          </cell>
          <cell r="L1432" t="str">
            <v>HD</v>
          </cell>
          <cell r="M1432" t="str">
            <v>x</v>
          </cell>
          <cell r="N1432" t="e">
            <v>#N/A</v>
          </cell>
          <cell r="O1432" t="str">
            <v>Nano Tech w/Attached boot Air Filter</v>
          </cell>
        </row>
        <row r="1433">
          <cell r="K1433" t="str">
            <v>LFP4005TRT</v>
          </cell>
          <cell r="L1433" t="str">
            <v>HD</v>
          </cell>
          <cell r="M1433" t="str">
            <v>x</v>
          </cell>
          <cell r="N1433" t="e">
            <v>#N/A</v>
          </cell>
          <cell r="O1433" t="str">
            <v>Spin-on Oil Filter</v>
          </cell>
        </row>
        <row r="1434">
          <cell r="K1434" t="str">
            <v>LAF1455</v>
          </cell>
          <cell r="L1434" t="str">
            <v>HD</v>
          </cell>
          <cell r="M1434" t="str">
            <v>x</v>
          </cell>
          <cell r="N1434" t="e">
            <v>#N/A</v>
          </cell>
          <cell r="O1434" t="str">
            <v>Finned Vane Air Filter</v>
          </cell>
        </row>
        <row r="1435">
          <cell r="K1435" t="str">
            <v>LAF7414</v>
          </cell>
          <cell r="L1435" t="str">
            <v>HD</v>
          </cell>
          <cell r="M1435" t="str">
            <v>x</v>
          </cell>
          <cell r="N1435" t="e">
            <v>#N/A</v>
          </cell>
          <cell r="O1435" t="str">
            <v>HD Metal-End Inner Air Filter</v>
          </cell>
        </row>
        <row r="1436">
          <cell r="K1436" t="str">
            <v>LH8245</v>
          </cell>
          <cell r="L1436" t="str">
            <v>HD</v>
          </cell>
          <cell r="M1436" t="str">
            <v>x</v>
          </cell>
          <cell r="N1436" t="e">
            <v>#N/A</v>
          </cell>
          <cell r="O1436" t="str">
            <v>Cartridge Hydraulic Filter</v>
          </cell>
        </row>
        <row r="1437">
          <cell r="K1437" t="str">
            <v>LAF1888</v>
          </cell>
          <cell r="L1437" t="str">
            <v>HD</v>
          </cell>
          <cell r="M1437" t="str">
            <v>x</v>
          </cell>
          <cell r="N1437" t="e">
            <v>#N/A</v>
          </cell>
          <cell r="O1437" t="str">
            <v>HD Metal-End Air Filter</v>
          </cell>
        </row>
        <row r="1438">
          <cell r="K1438" t="str">
            <v>LAF8375</v>
          </cell>
          <cell r="L1438" t="str">
            <v>HD</v>
          </cell>
          <cell r="M1438" t="str">
            <v>x</v>
          </cell>
          <cell r="N1438" t="e">
            <v>#N/A</v>
          </cell>
          <cell r="O1438" t="str">
            <v>Round Air Filter with Foam Wrap</v>
          </cell>
        </row>
        <row r="1439">
          <cell r="K1439" t="str">
            <v>LAF8673</v>
          </cell>
          <cell r="L1439" t="str">
            <v>HD</v>
          </cell>
          <cell r="M1439" t="str">
            <v>x</v>
          </cell>
          <cell r="N1439" t="e">
            <v>#N/A</v>
          </cell>
          <cell r="O1439" t="str">
            <v>Radial Seal Outer Air Filter</v>
          </cell>
        </row>
        <row r="1440">
          <cell r="K1440" t="str">
            <v>LAF6966</v>
          </cell>
          <cell r="L1440" t="str">
            <v>HD</v>
          </cell>
          <cell r="M1440" t="str">
            <v>x</v>
          </cell>
          <cell r="N1440" t="e">
            <v>#N/A</v>
          </cell>
          <cell r="O1440" t="str">
            <v>HD Metal-End Air Filter</v>
          </cell>
        </row>
        <row r="1441">
          <cell r="K1441" t="str">
            <v>LFP8176</v>
          </cell>
          <cell r="L1441" t="str">
            <v>HD</v>
          </cell>
          <cell r="M1441" t="str">
            <v>x</v>
          </cell>
          <cell r="N1441" t="e">
            <v>#N/A</v>
          </cell>
          <cell r="O1441" t="str">
            <v>Spin-on Oil Filter</v>
          </cell>
        </row>
        <row r="1442">
          <cell r="K1442">
            <v>1142</v>
          </cell>
          <cell r="L1442" t="str">
            <v>HD</v>
          </cell>
          <cell r="M1442" t="str">
            <v>x</v>
          </cell>
          <cell r="N1442" t="e">
            <v>#N/A</v>
          </cell>
          <cell r="O1442" t="str">
            <v>Winslow 296G, Gasket used with L1874T</v>
          </cell>
        </row>
        <row r="1443">
          <cell r="K1443" t="str">
            <v>LAF5475</v>
          </cell>
          <cell r="L1443" t="str">
            <v>HD</v>
          </cell>
          <cell r="M1443" t="str">
            <v>x</v>
          </cell>
          <cell r="N1443" t="e">
            <v>#N/A</v>
          </cell>
          <cell r="O1443" t="str">
            <v>Radial Seal Inner Air Filter</v>
          </cell>
        </row>
        <row r="1444">
          <cell r="K1444" t="str">
            <v>LFF3403</v>
          </cell>
          <cell r="L1444" t="str">
            <v>HD</v>
          </cell>
          <cell r="M1444" t="str">
            <v>x</v>
          </cell>
          <cell r="N1444" t="e">
            <v>#N/A</v>
          </cell>
          <cell r="O1444" t="str">
            <v>Cartridge Fuel Filter</v>
          </cell>
        </row>
        <row r="1445">
          <cell r="K1445" t="str">
            <v>LH22002</v>
          </cell>
          <cell r="L1445" t="str">
            <v>HD</v>
          </cell>
          <cell r="M1445" t="str">
            <v>x</v>
          </cell>
          <cell r="N1445" t="e">
            <v>#N/A</v>
          </cell>
          <cell r="O1445" t="str">
            <v>Cartridge Hydraulic Filter</v>
          </cell>
        </row>
        <row r="1446">
          <cell r="K1446" t="str">
            <v>LAF6101</v>
          </cell>
          <cell r="L1446" t="str">
            <v>HD</v>
          </cell>
          <cell r="M1446" t="str">
            <v>x</v>
          </cell>
          <cell r="N1446" t="e">
            <v>#N/A</v>
          </cell>
          <cell r="O1446" t="str">
            <v>Radial Seal Air Filter (Primary)</v>
          </cell>
        </row>
        <row r="1447">
          <cell r="K1447" t="str">
            <v>LH8446</v>
          </cell>
          <cell r="L1447" t="str">
            <v>HD</v>
          </cell>
          <cell r="M1447" t="str">
            <v>x</v>
          </cell>
          <cell r="N1447" t="e">
            <v>#N/A</v>
          </cell>
          <cell r="O1447" t="str">
            <v>Cartridge hydraulic filter</v>
          </cell>
        </row>
        <row r="1448">
          <cell r="K1448" t="str">
            <v>LAF5354</v>
          </cell>
          <cell r="L1448" t="str">
            <v>HD</v>
          </cell>
          <cell r="M1448" t="str">
            <v>x</v>
          </cell>
          <cell r="N1448" t="e">
            <v>#N/A</v>
          </cell>
          <cell r="O1448" t="str">
            <v>Radial Seal Air Filter Outer</v>
          </cell>
        </row>
        <row r="1449">
          <cell r="K1449" t="str">
            <v>LAF1873</v>
          </cell>
          <cell r="L1449" t="str">
            <v>HD</v>
          </cell>
          <cell r="M1449" t="str">
            <v>x</v>
          </cell>
          <cell r="N1449" t="e">
            <v>#N/A</v>
          </cell>
          <cell r="O1449" t="str">
            <v>Flexible Panel Air Filter</v>
          </cell>
        </row>
        <row r="1450">
          <cell r="K1450" t="str">
            <v>LAF8803</v>
          </cell>
          <cell r="L1450" t="str">
            <v>HD</v>
          </cell>
          <cell r="M1450" t="str">
            <v>x</v>
          </cell>
          <cell r="N1450" t="e">
            <v>#N/A</v>
          </cell>
          <cell r="O1450" t="str">
            <v>HD Metal-End Air Filter-Inner</v>
          </cell>
        </row>
        <row r="1451">
          <cell r="K1451" t="str">
            <v>LAF5054A</v>
          </cell>
          <cell r="L1451" t="str">
            <v>HD</v>
          </cell>
          <cell r="M1451" t="str">
            <v>x</v>
          </cell>
          <cell r="N1451" t="e">
            <v>#N/A</v>
          </cell>
          <cell r="O1451" t="str">
            <v>Finned Vane Air Filter</v>
          </cell>
        </row>
        <row r="1452">
          <cell r="K1452" t="str">
            <v>L664F</v>
          </cell>
          <cell r="L1452" t="str">
            <v>HD</v>
          </cell>
          <cell r="M1452" t="str">
            <v>x</v>
          </cell>
          <cell r="N1452" t="e">
            <v>#N/A</v>
          </cell>
          <cell r="O1452" t="str">
            <v>Cartridge Fuel Filter</v>
          </cell>
        </row>
        <row r="1453">
          <cell r="K1453" t="str">
            <v>LAF7455</v>
          </cell>
          <cell r="L1453" t="str">
            <v>HD</v>
          </cell>
          <cell r="M1453" t="str">
            <v>x</v>
          </cell>
          <cell r="N1453" t="e">
            <v>#N/A</v>
          </cell>
          <cell r="O1453" t="str">
            <v>Disposible Housing Air Filter</v>
          </cell>
        </row>
        <row r="1454">
          <cell r="K1454" t="str">
            <v>LFH4936</v>
          </cell>
          <cell r="L1454" t="str">
            <v>HD</v>
          </cell>
          <cell r="M1454" t="str">
            <v>x</v>
          </cell>
          <cell r="N1454" t="e">
            <v>#N/A</v>
          </cell>
          <cell r="O1454" t="str">
            <v>Spin-on Hydraulic Filter</v>
          </cell>
        </row>
        <row r="1455">
          <cell r="K1455" t="str">
            <v>LAF506</v>
          </cell>
          <cell r="L1455" t="str">
            <v>HD</v>
          </cell>
          <cell r="M1455" t="str">
            <v>x</v>
          </cell>
          <cell r="N1455" t="e">
            <v>#N/A</v>
          </cell>
          <cell r="O1455" t="str">
            <v>Finned Vane Air Filter</v>
          </cell>
        </row>
        <row r="1456">
          <cell r="K1456" t="str">
            <v>LFP8244</v>
          </cell>
          <cell r="L1456" t="str">
            <v>HD</v>
          </cell>
          <cell r="M1456" t="str">
            <v>x</v>
          </cell>
          <cell r="N1456" t="e">
            <v>#N/A</v>
          </cell>
          <cell r="O1456" t="str">
            <v>Spin-on Oil Filter</v>
          </cell>
        </row>
        <row r="1457">
          <cell r="K1457" t="str">
            <v>LP2277</v>
          </cell>
          <cell r="L1457" t="str">
            <v>HD</v>
          </cell>
          <cell r="M1457" t="str">
            <v>x</v>
          </cell>
          <cell r="N1457" t="e">
            <v>#N/A</v>
          </cell>
          <cell r="O1457" t="str">
            <v>Cartridge Oil Filter</v>
          </cell>
        </row>
        <row r="1458">
          <cell r="K1458" t="str">
            <v>LAF22</v>
          </cell>
          <cell r="L1458" t="str">
            <v>HD</v>
          </cell>
          <cell r="M1458" t="str">
            <v>x</v>
          </cell>
          <cell r="N1458" t="e">
            <v>#N/A</v>
          </cell>
          <cell r="O1458" t="str">
            <v>Round Air Filter with Foam Wrap</v>
          </cell>
        </row>
        <row r="1459">
          <cell r="K1459">
            <v>3564</v>
          </cell>
          <cell r="L1459" t="str">
            <v>HD</v>
          </cell>
          <cell r="M1459" t="str">
            <v>x</v>
          </cell>
          <cell r="N1459" t="e">
            <v>#N/A</v>
          </cell>
          <cell r="O1459" t="str">
            <v>Replacement Clamp Screw For A 3566 Ring</v>
          </cell>
        </row>
        <row r="1460">
          <cell r="K1460" t="str">
            <v>HANDLE</v>
          </cell>
          <cell r="L1460" t="str">
            <v>HD</v>
          </cell>
          <cell r="M1460" t="str">
            <v>x</v>
          </cell>
          <cell r="N1460" t="e">
            <v>#N/A</v>
          </cell>
          <cell r="O1460" t="str">
            <v>Pack Hold Down Handle/500-C, 750-C, CT, 2C, 3C, 970-C</v>
          </cell>
        </row>
        <row r="1461">
          <cell r="K1461" t="str">
            <v>LAF8116</v>
          </cell>
          <cell r="L1461" t="str">
            <v>HD</v>
          </cell>
          <cell r="M1461" t="str">
            <v>x</v>
          </cell>
          <cell r="N1461" t="e">
            <v>#N/A</v>
          </cell>
          <cell r="O1461" t="str">
            <v>Nano Tech HD Metal End Air Filter</v>
          </cell>
        </row>
        <row r="1462">
          <cell r="K1462" t="str">
            <v>LAF6108</v>
          </cell>
          <cell r="L1462" t="str">
            <v>HD</v>
          </cell>
          <cell r="M1462" t="str">
            <v>x</v>
          </cell>
          <cell r="N1462" t="e">
            <v>#N/A</v>
          </cell>
          <cell r="O1462" t="str">
            <v>HD Metal-End Air Filter</v>
          </cell>
        </row>
        <row r="1463">
          <cell r="K1463" t="str">
            <v>LAF8212</v>
          </cell>
          <cell r="L1463" t="str">
            <v>HD</v>
          </cell>
          <cell r="M1463" t="str">
            <v>x</v>
          </cell>
          <cell r="N1463" t="e">
            <v>#N/A</v>
          </cell>
          <cell r="O1463" t="str">
            <v>Finned Vane Air Filter</v>
          </cell>
        </row>
        <row r="1464">
          <cell r="K1464" t="str">
            <v>LFP5760</v>
          </cell>
          <cell r="L1464" t="str">
            <v>HD</v>
          </cell>
          <cell r="M1464" t="str">
            <v>x</v>
          </cell>
          <cell r="N1464" t="e">
            <v>#N/A</v>
          </cell>
          <cell r="O1464" t="str">
            <v>Spin-on Oil Filter</v>
          </cell>
        </row>
        <row r="1465">
          <cell r="K1465" t="str">
            <v>LAF4360</v>
          </cell>
          <cell r="L1465" t="str">
            <v>HD</v>
          </cell>
          <cell r="M1465" t="str">
            <v>x</v>
          </cell>
          <cell r="N1465" t="e">
            <v>#N/A</v>
          </cell>
          <cell r="O1465" t="str">
            <v>Cone Shaped Conical Air Filter</v>
          </cell>
        </row>
        <row r="1466">
          <cell r="K1466" t="str">
            <v>LP2212</v>
          </cell>
          <cell r="L1466" t="str">
            <v>HD</v>
          </cell>
          <cell r="M1466" t="str">
            <v>x</v>
          </cell>
          <cell r="N1466" t="e">
            <v>#N/A</v>
          </cell>
          <cell r="O1466" t="str">
            <v>Cartridge Oil Filter</v>
          </cell>
        </row>
        <row r="1467">
          <cell r="K1467" t="str">
            <v>LFF8065</v>
          </cell>
          <cell r="L1467" t="str">
            <v>HD</v>
          </cell>
          <cell r="M1467" t="str">
            <v>x</v>
          </cell>
          <cell r="N1467" t="e">
            <v>#N/A</v>
          </cell>
          <cell r="O1467" t="str">
            <v>Spin-on Fuel Filter</v>
          </cell>
        </row>
        <row r="1468">
          <cell r="K1468" t="str">
            <v>LAF8770</v>
          </cell>
          <cell r="L1468" t="str">
            <v>HD</v>
          </cell>
          <cell r="M1468" t="str">
            <v>x</v>
          </cell>
          <cell r="N1468" t="str">
            <v>LAF8770</v>
          </cell>
          <cell r="O1468" t="str">
            <v>Radial Seal Inner Air Filter</v>
          </cell>
        </row>
        <row r="1469">
          <cell r="K1469" t="str">
            <v>LH11012V</v>
          </cell>
          <cell r="L1469" t="str">
            <v>HD</v>
          </cell>
          <cell r="M1469" t="str">
            <v>x</v>
          </cell>
          <cell r="N1469" t="e">
            <v>#N/A</v>
          </cell>
          <cell r="O1469" t="str">
            <v>Industrial Cartridge Hydraulic Filter</v>
          </cell>
        </row>
        <row r="1470">
          <cell r="K1470" t="str">
            <v>LAF1456</v>
          </cell>
          <cell r="L1470" t="str">
            <v>HD</v>
          </cell>
          <cell r="M1470" t="str">
            <v>x</v>
          </cell>
          <cell r="N1470" t="e">
            <v>#N/A</v>
          </cell>
          <cell r="O1470" t="str">
            <v>HD Metal-End Inner Air Filter</v>
          </cell>
        </row>
        <row r="1471">
          <cell r="K1471" t="str">
            <v>LAF5756</v>
          </cell>
          <cell r="L1471" t="str">
            <v>HD</v>
          </cell>
          <cell r="M1471" t="str">
            <v>x</v>
          </cell>
          <cell r="N1471" t="e">
            <v>#N/A</v>
          </cell>
          <cell r="O1471" t="str">
            <v>HD Cabin Air Filter</v>
          </cell>
        </row>
        <row r="1472">
          <cell r="K1472" t="str">
            <v>LFP5954</v>
          </cell>
          <cell r="L1472" t="str">
            <v>HD</v>
          </cell>
          <cell r="M1472" t="str">
            <v>x</v>
          </cell>
          <cell r="N1472" t="e">
            <v>#N/A</v>
          </cell>
          <cell r="O1472" t="str">
            <v>Spin-on Oil Filter</v>
          </cell>
        </row>
        <row r="1473">
          <cell r="K1473" t="str">
            <v>LAF5891</v>
          </cell>
          <cell r="L1473" t="str">
            <v>HD</v>
          </cell>
          <cell r="M1473" t="str">
            <v>x</v>
          </cell>
          <cell r="N1473" t="e">
            <v>#N/A</v>
          </cell>
          <cell r="O1473" t="str">
            <v>HD Round Finned Air Filter with Attached Lid</v>
          </cell>
        </row>
        <row r="1474">
          <cell r="K1474" t="str">
            <v>LAF5749</v>
          </cell>
          <cell r="L1474" t="str">
            <v>HD</v>
          </cell>
          <cell r="M1474" t="str">
            <v>x</v>
          </cell>
          <cell r="N1474" t="e">
            <v>#N/A</v>
          </cell>
          <cell r="O1474" t="str">
            <v>Radial Seal Inner Air Filter (Europe Only)</v>
          </cell>
        </row>
        <row r="1475">
          <cell r="K1475" t="str">
            <v>LAF1780</v>
          </cell>
          <cell r="L1475" t="str">
            <v>HD</v>
          </cell>
          <cell r="M1475" t="str">
            <v>x</v>
          </cell>
          <cell r="N1475" t="e">
            <v>#N/A</v>
          </cell>
          <cell r="O1475" t="str">
            <v>HD Metal-End Inner Air Filter</v>
          </cell>
        </row>
        <row r="1476">
          <cell r="K1476" t="str">
            <v>LAF1931</v>
          </cell>
          <cell r="L1476" t="str">
            <v>HD</v>
          </cell>
          <cell r="M1476" t="str">
            <v>x</v>
          </cell>
          <cell r="N1476" t="e">
            <v>#N/A</v>
          </cell>
          <cell r="O1476" t="str">
            <v>HD Metal-End Inner Air Filter</v>
          </cell>
        </row>
        <row r="1477">
          <cell r="K1477" t="str">
            <v>LAF9334</v>
          </cell>
          <cell r="L1477" t="str">
            <v>HD</v>
          </cell>
          <cell r="M1477" t="str">
            <v>x</v>
          </cell>
          <cell r="N1477" t="e">
            <v>#N/A</v>
          </cell>
          <cell r="O1477" t="str">
            <v>Corrugated Media Air Filter</v>
          </cell>
        </row>
        <row r="1478">
          <cell r="K1478" t="str">
            <v>LAF8091</v>
          </cell>
          <cell r="L1478" t="str">
            <v>HD</v>
          </cell>
          <cell r="M1478" t="str">
            <v>x</v>
          </cell>
          <cell r="N1478" t="e">
            <v>#N/A</v>
          </cell>
          <cell r="O1478" t="str">
            <v>HD Metal-End Air Filter with Attached Lid</v>
          </cell>
        </row>
        <row r="1479">
          <cell r="K1479" t="str">
            <v>LAF5807</v>
          </cell>
          <cell r="L1479" t="str">
            <v>HD</v>
          </cell>
          <cell r="M1479" t="str">
            <v>x</v>
          </cell>
          <cell r="N1479" t="e">
            <v>#N/A</v>
          </cell>
          <cell r="O1479" t="str">
            <v>Disposible Housing Air Filter</v>
          </cell>
        </row>
        <row r="1480">
          <cell r="K1480" t="str">
            <v>LAF1986</v>
          </cell>
          <cell r="L1480" t="str">
            <v>HD</v>
          </cell>
          <cell r="M1480" t="str">
            <v>x</v>
          </cell>
          <cell r="N1480" t="e">
            <v>#N/A</v>
          </cell>
          <cell r="O1480" t="str">
            <v>HD Metal-End Air Filter</v>
          </cell>
        </row>
        <row r="1481">
          <cell r="K1481" t="str">
            <v>LFP2255</v>
          </cell>
          <cell r="L1481" t="str">
            <v>HD</v>
          </cell>
          <cell r="M1481" t="str">
            <v>x</v>
          </cell>
          <cell r="N1481" t="e">
            <v>#N/A</v>
          </cell>
          <cell r="O1481" t="str">
            <v>Spin-on Oil Filter</v>
          </cell>
        </row>
        <row r="1482">
          <cell r="K1482" t="str">
            <v>LFF3507</v>
          </cell>
          <cell r="L1482" t="str">
            <v>HD</v>
          </cell>
          <cell r="M1482" t="str">
            <v>x</v>
          </cell>
          <cell r="N1482" t="e">
            <v>#N/A</v>
          </cell>
          <cell r="O1482" t="str">
            <v>Cartridge Fuel Filter</v>
          </cell>
        </row>
        <row r="1483">
          <cell r="K1483" t="str">
            <v>LFP3871</v>
          </cell>
          <cell r="L1483" t="str">
            <v>HD</v>
          </cell>
          <cell r="M1483" t="str">
            <v>x</v>
          </cell>
          <cell r="N1483" t="e">
            <v>#N/A</v>
          </cell>
          <cell r="O1483" t="str">
            <v>Spin-on Oil Filter</v>
          </cell>
        </row>
        <row r="1484">
          <cell r="K1484" t="str">
            <v>ZINC</v>
          </cell>
          <cell r="L1484" t="str">
            <v>HD</v>
          </cell>
          <cell r="M1484" t="str">
            <v>x</v>
          </cell>
          <cell r="N1484" t="e">
            <v>#N/A</v>
          </cell>
          <cell r="O1484" t="str">
            <v>Inlet Check Valve Assembly/500-B &amp; C, 750-B &amp; C Check valve opening pressure 6psi at .01 GPM flow</v>
          </cell>
        </row>
        <row r="1485">
          <cell r="K1485" t="str">
            <v>LH4230</v>
          </cell>
          <cell r="L1485" t="str">
            <v>HD</v>
          </cell>
          <cell r="M1485" t="str">
            <v>x</v>
          </cell>
          <cell r="N1485" t="e">
            <v>#N/A</v>
          </cell>
          <cell r="O1485" t="str">
            <v>Cartridge Hydraulic Filter</v>
          </cell>
        </row>
        <row r="1486">
          <cell r="K1486" t="str">
            <v>LAF1963</v>
          </cell>
          <cell r="L1486" t="str">
            <v>HD</v>
          </cell>
          <cell r="M1486" t="str">
            <v>x</v>
          </cell>
          <cell r="N1486" t="e">
            <v>#N/A</v>
          </cell>
          <cell r="O1486" t="str">
            <v>Round Inner Air Filter with Flanged Endcap</v>
          </cell>
        </row>
        <row r="1487">
          <cell r="K1487" t="str">
            <v>LAF4132</v>
          </cell>
          <cell r="L1487" t="str">
            <v>HD</v>
          </cell>
          <cell r="M1487" t="str">
            <v>x</v>
          </cell>
          <cell r="N1487" t="e">
            <v>#N/A</v>
          </cell>
          <cell r="O1487" t="str">
            <v>Disposible Housing Air Filter</v>
          </cell>
        </row>
        <row r="1488">
          <cell r="K1488" t="str">
            <v>LFP912</v>
          </cell>
          <cell r="L1488" t="str">
            <v>HD</v>
          </cell>
          <cell r="M1488" t="str">
            <v>x</v>
          </cell>
          <cell r="N1488" t="e">
            <v>#N/A</v>
          </cell>
          <cell r="O1488" t="str">
            <v>Spin-on Oil Filter</v>
          </cell>
        </row>
        <row r="1489">
          <cell r="K1489" t="str">
            <v>LP4736</v>
          </cell>
          <cell r="L1489" t="str">
            <v>HD</v>
          </cell>
          <cell r="M1489" t="str">
            <v>x</v>
          </cell>
          <cell r="N1489" t="e">
            <v>#N/A</v>
          </cell>
          <cell r="O1489" t="str">
            <v>Cartridge Hydraulic Filter</v>
          </cell>
        </row>
        <row r="1490">
          <cell r="K1490" t="str">
            <v>LP2210</v>
          </cell>
          <cell r="L1490" t="str">
            <v>HD</v>
          </cell>
          <cell r="M1490" t="str">
            <v>x</v>
          </cell>
          <cell r="N1490" t="e">
            <v>#N/A</v>
          </cell>
          <cell r="O1490" t="str">
            <v>Cartridge Oil Filter</v>
          </cell>
        </row>
        <row r="1491">
          <cell r="K1491" t="str">
            <v>LH11000</v>
          </cell>
          <cell r="L1491" t="str">
            <v>HD</v>
          </cell>
          <cell r="M1491" t="str">
            <v>x</v>
          </cell>
          <cell r="N1491" t="e">
            <v>#N/A</v>
          </cell>
          <cell r="O1491" t="str">
            <v>Industrial Cartridge Hydraulic Filter</v>
          </cell>
        </row>
        <row r="1492">
          <cell r="K1492" t="str">
            <v>LAF1756</v>
          </cell>
          <cell r="L1492" t="str">
            <v>HD</v>
          </cell>
          <cell r="M1492" t="str">
            <v>x</v>
          </cell>
          <cell r="N1492" t="e">
            <v>#N/A</v>
          </cell>
          <cell r="O1492" t="str">
            <v>HD Round Air Filter with Attached Boot</v>
          </cell>
        </row>
        <row r="1493">
          <cell r="K1493" t="str">
            <v>LAF8477</v>
          </cell>
          <cell r="L1493" t="str">
            <v>HD</v>
          </cell>
          <cell r="M1493" t="str">
            <v>x</v>
          </cell>
          <cell r="N1493" t="e">
            <v>#N/A</v>
          </cell>
          <cell r="O1493" t="str">
            <v>Disposible Housing Air Filter</v>
          </cell>
        </row>
        <row r="1494">
          <cell r="K1494" t="str">
            <v>LAF1727</v>
          </cell>
          <cell r="L1494" t="str">
            <v>HD</v>
          </cell>
          <cell r="M1494" t="str">
            <v>x</v>
          </cell>
          <cell r="N1494" t="e">
            <v>#N/A</v>
          </cell>
          <cell r="O1494" t="str">
            <v>Round Inner Air Filter</v>
          </cell>
        </row>
        <row r="1495">
          <cell r="K1495" t="str">
            <v>L1656-0</v>
          </cell>
          <cell r="L1495" t="str">
            <v>HD</v>
          </cell>
          <cell r="M1495" t="str">
            <v>x</v>
          </cell>
          <cell r="N1495" t="e">
            <v>#N/A</v>
          </cell>
          <cell r="O1495" t="str">
            <v>Sock Type Oil Filter</v>
          </cell>
        </row>
        <row r="1496">
          <cell r="K1496" t="str">
            <v>LAF203</v>
          </cell>
          <cell r="L1496" t="str">
            <v>HD</v>
          </cell>
          <cell r="M1496" t="str">
            <v>x</v>
          </cell>
          <cell r="N1496" t="e">
            <v>#N/A</v>
          </cell>
          <cell r="O1496" t="str">
            <v>HD Metal-End Air Filter</v>
          </cell>
        </row>
        <row r="1497">
          <cell r="K1497" t="str">
            <v>LFF5740</v>
          </cell>
          <cell r="L1497" t="str">
            <v>HD</v>
          </cell>
          <cell r="M1497" t="str">
            <v>x</v>
          </cell>
          <cell r="N1497" t="e">
            <v>#N/A</v>
          </cell>
          <cell r="O1497" t="str">
            <v>Spin-on Fuel Water Separator Filter</v>
          </cell>
        </row>
        <row r="1498">
          <cell r="K1498" t="str">
            <v>LFF1005</v>
          </cell>
          <cell r="L1498" t="str">
            <v>HD</v>
          </cell>
          <cell r="M1498" t="str">
            <v>x</v>
          </cell>
          <cell r="N1498" t="e">
            <v>#N/A</v>
          </cell>
          <cell r="O1498" t="str">
            <v>Spin-on Fuel Filter</v>
          </cell>
        </row>
        <row r="1499">
          <cell r="K1499" t="str">
            <v>LAF8819</v>
          </cell>
          <cell r="L1499" t="str">
            <v>HD</v>
          </cell>
          <cell r="M1499" t="str">
            <v>x</v>
          </cell>
          <cell r="N1499" t="e">
            <v>#N/A</v>
          </cell>
          <cell r="O1499" t="str">
            <v>HD Metal-End Inner Air Filter</v>
          </cell>
        </row>
        <row r="1500">
          <cell r="K1500" t="str">
            <v>LAF1818</v>
          </cell>
          <cell r="L1500" t="str">
            <v>HD</v>
          </cell>
          <cell r="M1500" t="str">
            <v>x</v>
          </cell>
          <cell r="N1500" t="e">
            <v>#N/A</v>
          </cell>
          <cell r="O1500" t="str">
            <v>HD Round Air Filter with Attached Boot</v>
          </cell>
        </row>
        <row r="1501">
          <cell r="K1501" t="str">
            <v>LAF8301</v>
          </cell>
          <cell r="L1501" t="str">
            <v>HD</v>
          </cell>
          <cell r="M1501" t="str">
            <v>x</v>
          </cell>
          <cell r="N1501" t="e">
            <v>#N/A</v>
          </cell>
          <cell r="O1501" t="str">
            <v>Disposible Housing Air Filter</v>
          </cell>
        </row>
        <row r="1502">
          <cell r="K1502" t="str">
            <v>L2986F</v>
          </cell>
          <cell r="L1502" t="str">
            <v>HD</v>
          </cell>
          <cell r="M1502" t="str">
            <v>x</v>
          </cell>
          <cell r="N1502" t="e">
            <v>#N/A</v>
          </cell>
          <cell r="O1502" t="str">
            <v>Cartridge Fuel Filter</v>
          </cell>
        </row>
        <row r="1503">
          <cell r="K1503" t="str">
            <v>L274F-1</v>
          </cell>
          <cell r="L1503" t="str">
            <v>HD</v>
          </cell>
          <cell r="M1503" t="str">
            <v>x</v>
          </cell>
          <cell r="N1503" t="e">
            <v>#N/A</v>
          </cell>
          <cell r="O1503" t="str">
            <v>Sock Type Fuel Filter</v>
          </cell>
        </row>
        <row r="1504">
          <cell r="K1504" t="str">
            <v>LP70V</v>
          </cell>
          <cell r="L1504" t="str">
            <v>HD</v>
          </cell>
          <cell r="M1504" t="str">
            <v>x</v>
          </cell>
          <cell r="N1504" t="e">
            <v>#N/A</v>
          </cell>
          <cell r="O1504" t="str">
            <v>Cartridge Oil Filter</v>
          </cell>
        </row>
        <row r="1505">
          <cell r="K1505" t="str">
            <v>LAF712</v>
          </cell>
          <cell r="L1505" t="str">
            <v>HD</v>
          </cell>
          <cell r="M1505" t="str">
            <v>x</v>
          </cell>
          <cell r="N1505" t="e">
            <v>#N/A</v>
          </cell>
          <cell r="O1505" t="str">
            <v>Finned Vane Air Filter</v>
          </cell>
        </row>
        <row r="1506">
          <cell r="K1506" t="str">
            <v>LAF9909</v>
          </cell>
          <cell r="L1506" t="str">
            <v>HD</v>
          </cell>
          <cell r="M1506" t="str">
            <v>x</v>
          </cell>
          <cell r="N1506" t="e">
            <v>#N/A</v>
          </cell>
          <cell r="O1506" t="str">
            <v>HD Metal-End Air Filter</v>
          </cell>
        </row>
        <row r="1507">
          <cell r="K1507" t="str">
            <v>LP2220</v>
          </cell>
          <cell r="L1507" t="str">
            <v>HD</v>
          </cell>
          <cell r="M1507" t="str">
            <v>x</v>
          </cell>
          <cell r="N1507" t="e">
            <v>#N/A</v>
          </cell>
          <cell r="O1507" t="str">
            <v>Cartridge Oil Filter</v>
          </cell>
        </row>
        <row r="1508">
          <cell r="K1508" t="str">
            <v>LFH5937</v>
          </cell>
          <cell r="L1508" t="str">
            <v>HD</v>
          </cell>
          <cell r="M1508" t="str">
            <v>x</v>
          </cell>
          <cell r="N1508" t="e">
            <v>#N/A</v>
          </cell>
          <cell r="O1508" t="str">
            <v>Spin-on Hydraulic Filter</v>
          </cell>
        </row>
        <row r="1509">
          <cell r="K1509" t="str">
            <v>LFP2285G</v>
          </cell>
          <cell r="L1509" t="str">
            <v>HD</v>
          </cell>
          <cell r="M1509" t="str">
            <v>x</v>
          </cell>
          <cell r="N1509" t="e">
            <v>#N/A</v>
          </cell>
          <cell r="O1509" t="str">
            <v>Extended Life Spin-on Oil Filter</v>
          </cell>
        </row>
        <row r="1510">
          <cell r="K1510" t="str">
            <v>LAF3730</v>
          </cell>
          <cell r="L1510" t="str">
            <v>HD</v>
          </cell>
          <cell r="M1510" t="str">
            <v>x</v>
          </cell>
          <cell r="N1510" t="e">
            <v>#N/A</v>
          </cell>
          <cell r="O1510" t="str">
            <v>Finned Vane Air Filter</v>
          </cell>
        </row>
        <row r="1511">
          <cell r="K1511" t="str">
            <v>LAF3533</v>
          </cell>
          <cell r="L1511" t="str">
            <v>HD</v>
          </cell>
          <cell r="M1511" t="str">
            <v>x</v>
          </cell>
          <cell r="N1511" t="e">
            <v>#N/A</v>
          </cell>
          <cell r="O1511" t="str">
            <v>Radial Seal Inner Air Filter</v>
          </cell>
        </row>
        <row r="1512">
          <cell r="K1512" t="str">
            <v>LAF1616</v>
          </cell>
          <cell r="L1512" t="str">
            <v>HD</v>
          </cell>
          <cell r="M1512" t="str">
            <v>x</v>
          </cell>
          <cell r="N1512" t="e">
            <v>#N/A</v>
          </cell>
          <cell r="O1512" t="str">
            <v>Tube Type Air Filter</v>
          </cell>
        </row>
        <row r="1513">
          <cell r="K1513" t="str">
            <v>LH5931</v>
          </cell>
          <cell r="L1513" t="str">
            <v>HD</v>
          </cell>
          <cell r="M1513" t="str">
            <v>x</v>
          </cell>
          <cell r="N1513" t="e">
            <v>#N/A</v>
          </cell>
          <cell r="O1513" t="str">
            <v>Cartridge Hydraulic Filter</v>
          </cell>
        </row>
        <row r="1514">
          <cell r="K1514" t="str">
            <v>LAF727</v>
          </cell>
          <cell r="L1514" t="str">
            <v>HD</v>
          </cell>
          <cell r="M1514" t="str">
            <v>x</v>
          </cell>
          <cell r="N1514" t="e">
            <v>#N/A</v>
          </cell>
          <cell r="O1514" t="str">
            <v>HD Metal-End Inner Air Filter</v>
          </cell>
        </row>
        <row r="1515">
          <cell r="K1515" t="str">
            <v>LH4596</v>
          </cell>
          <cell r="L1515" t="str">
            <v>HD</v>
          </cell>
          <cell r="M1515" t="str">
            <v>x</v>
          </cell>
          <cell r="N1515" t="e">
            <v>#N/A</v>
          </cell>
          <cell r="O1515" t="str">
            <v>Cartridge Hydraulic Filter</v>
          </cell>
        </row>
        <row r="1516">
          <cell r="K1516" t="str">
            <v>L8512F</v>
          </cell>
          <cell r="L1516" t="str">
            <v>HD</v>
          </cell>
          <cell r="M1516" t="str">
            <v>x</v>
          </cell>
          <cell r="N1516" t="e">
            <v>#N/A</v>
          </cell>
          <cell r="O1516" t="str">
            <v>Snap-Lock Fuel Filter</v>
          </cell>
        </row>
        <row r="1517">
          <cell r="K1517" t="str">
            <v>LH8781</v>
          </cell>
          <cell r="L1517" t="str">
            <v>HD</v>
          </cell>
          <cell r="M1517" t="str">
            <v>x</v>
          </cell>
          <cell r="N1517" t="e">
            <v>#N/A</v>
          </cell>
          <cell r="O1517" t="str">
            <v>Cartridge Hydraulic Filter</v>
          </cell>
        </row>
        <row r="1518">
          <cell r="K1518" t="str">
            <v>L1149F</v>
          </cell>
          <cell r="L1518" t="str">
            <v>HD</v>
          </cell>
          <cell r="M1518" t="str">
            <v>x</v>
          </cell>
          <cell r="N1518" t="e">
            <v>#N/A</v>
          </cell>
          <cell r="O1518" t="str">
            <v>Cartridge Fuel Filter</v>
          </cell>
        </row>
        <row r="1519">
          <cell r="K1519" t="str">
            <v>LFH1700</v>
          </cell>
          <cell r="L1519" t="str">
            <v>HD</v>
          </cell>
          <cell r="M1519" t="str">
            <v>x</v>
          </cell>
          <cell r="N1519" t="e">
            <v>#N/A</v>
          </cell>
          <cell r="O1519" t="str">
            <v>Spin-on Hydraulic Filter</v>
          </cell>
        </row>
        <row r="1520">
          <cell r="K1520" t="str">
            <v>LFF8050</v>
          </cell>
          <cell r="L1520" t="str">
            <v>HD</v>
          </cell>
          <cell r="M1520" t="str">
            <v>x</v>
          </cell>
          <cell r="N1520" t="e">
            <v>#N/A</v>
          </cell>
          <cell r="O1520" t="str">
            <v>Spin-on Fuel Water Separator Filter</v>
          </cell>
        </row>
        <row r="1521">
          <cell r="K1521" t="str">
            <v>LFH8173</v>
          </cell>
          <cell r="L1521" t="str">
            <v>HD</v>
          </cell>
          <cell r="M1521" t="str">
            <v>x</v>
          </cell>
          <cell r="N1521" t="e">
            <v>#N/A</v>
          </cell>
          <cell r="O1521" t="str">
            <v>Spin-on Hydraulic Filter</v>
          </cell>
        </row>
        <row r="1522">
          <cell r="K1522" t="str">
            <v>LFH4212</v>
          </cell>
          <cell r="L1522" t="str">
            <v>HD</v>
          </cell>
          <cell r="M1522" t="str">
            <v>x</v>
          </cell>
          <cell r="N1522" t="e">
            <v>#N/A</v>
          </cell>
          <cell r="O1522" t="str">
            <v>Spin-on Hydraulic Filter</v>
          </cell>
        </row>
        <row r="1523">
          <cell r="K1523" t="str">
            <v>LAF240</v>
          </cell>
          <cell r="L1523" t="str">
            <v>HD</v>
          </cell>
          <cell r="M1523" t="str">
            <v>x</v>
          </cell>
          <cell r="N1523" t="e">
            <v>#N/A</v>
          </cell>
          <cell r="O1523" t="str">
            <v>HD Metal-End Air Filter</v>
          </cell>
        </row>
        <row r="1524">
          <cell r="K1524" t="str">
            <v>LAF3701</v>
          </cell>
          <cell r="L1524" t="str">
            <v>HD</v>
          </cell>
          <cell r="M1524" t="str">
            <v>x</v>
          </cell>
          <cell r="N1524" t="e">
            <v>#N/A</v>
          </cell>
          <cell r="O1524" t="str">
            <v>Disposible Housing Air Filter</v>
          </cell>
        </row>
        <row r="1525">
          <cell r="K1525" t="str">
            <v>CAF24010XL</v>
          </cell>
          <cell r="L1525" t="str">
            <v>HD</v>
          </cell>
          <cell r="M1525" t="str">
            <v>x</v>
          </cell>
          <cell r="N1525" t="e">
            <v>#N/A</v>
          </cell>
          <cell r="O1525" t="str">
            <v>Cabin Air Filter (Carbon) Extreme Clean</v>
          </cell>
        </row>
        <row r="1526">
          <cell r="K1526" t="str">
            <v>LAF8783</v>
          </cell>
          <cell r="L1526" t="str">
            <v>HD</v>
          </cell>
          <cell r="M1526" t="str">
            <v>x</v>
          </cell>
          <cell r="N1526" t="e">
            <v>#N/A</v>
          </cell>
          <cell r="O1526" t="str">
            <v>Cabin Air Filter</v>
          </cell>
        </row>
        <row r="1527">
          <cell r="K1527" t="str">
            <v>LFH8536</v>
          </cell>
          <cell r="L1527" t="str">
            <v>HD</v>
          </cell>
          <cell r="M1527" t="str">
            <v>x</v>
          </cell>
          <cell r="N1527" t="e">
            <v>#N/A</v>
          </cell>
          <cell r="O1527" t="str">
            <v>Spin-on Hydraulic Filter</v>
          </cell>
        </row>
        <row r="1528">
          <cell r="K1528" t="str">
            <v>LAF8660</v>
          </cell>
          <cell r="L1528" t="str">
            <v>HD</v>
          </cell>
          <cell r="M1528" t="str">
            <v>x</v>
          </cell>
          <cell r="N1528" t="e">
            <v>#N/A</v>
          </cell>
          <cell r="O1528" t="str">
            <v>HD Metal-End Air Filter</v>
          </cell>
        </row>
        <row r="1529">
          <cell r="K1529" t="str">
            <v>LFH4957</v>
          </cell>
          <cell r="L1529" t="str">
            <v>HD</v>
          </cell>
          <cell r="M1529" t="str">
            <v>x</v>
          </cell>
          <cell r="N1529" t="e">
            <v>#N/A</v>
          </cell>
          <cell r="O1529" t="str">
            <v>Spin-on Hydraulic Filter</v>
          </cell>
        </row>
        <row r="1530">
          <cell r="K1530" t="str">
            <v>LAF4306</v>
          </cell>
          <cell r="L1530" t="str">
            <v>HD</v>
          </cell>
          <cell r="M1530" t="str">
            <v>x</v>
          </cell>
          <cell r="N1530" t="e">
            <v>#N/A</v>
          </cell>
          <cell r="O1530" t="str">
            <v>HD Metal-End Air Filter</v>
          </cell>
        </row>
        <row r="1531">
          <cell r="K1531" t="str">
            <v>LAF5852</v>
          </cell>
          <cell r="L1531" t="str">
            <v>HD</v>
          </cell>
          <cell r="M1531" t="str">
            <v>x</v>
          </cell>
          <cell r="N1531" t="e">
            <v>#N/A</v>
          </cell>
          <cell r="O1531" t="str">
            <v>Finned Vane Air Filter</v>
          </cell>
        </row>
        <row r="1532">
          <cell r="K1532" t="str">
            <v>LFF9772</v>
          </cell>
          <cell r="L1532" t="str">
            <v>HD</v>
          </cell>
          <cell r="M1532" t="str">
            <v>x</v>
          </cell>
          <cell r="N1532" t="e">
            <v>#N/A</v>
          </cell>
          <cell r="O1532" t="str">
            <v>Spin-on Fuel Water Separator Filter</v>
          </cell>
        </row>
        <row r="1533">
          <cell r="K1533" t="str">
            <v>LAF8804</v>
          </cell>
          <cell r="L1533" t="str">
            <v>HD</v>
          </cell>
          <cell r="M1533" t="str">
            <v>x</v>
          </cell>
          <cell r="N1533" t="e">
            <v>#N/A</v>
          </cell>
          <cell r="O1533" t="str">
            <v>HD Round Finned Air Filter with Attached Lid</v>
          </cell>
        </row>
        <row r="1534">
          <cell r="K1534">
            <v>200</v>
          </cell>
          <cell r="L1534" t="str">
            <v>HD</v>
          </cell>
          <cell r="M1534" t="str">
            <v>x</v>
          </cell>
          <cell r="N1534" t="e">
            <v>#N/A</v>
          </cell>
          <cell r="O1534" t="str">
            <v>Microcell-Hydropack/200-S Filter</v>
          </cell>
        </row>
        <row r="1535">
          <cell r="K1535" t="str">
            <v>LAF8118</v>
          </cell>
          <cell r="L1535" t="str">
            <v>HD</v>
          </cell>
          <cell r="M1535" t="str">
            <v>x</v>
          </cell>
          <cell r="N1535" t="e">
            <v>#N/A</v>
          </cell>
          <cell r="O1535" t="str">
            <v>Finned Vane Air Filter</v>
          </cell>
        </row>
        <row r="1536">
          <cell r="K1536" t="str">
            <v>LAF4620</v>
          </cell>
          <cell r="L1536" t="str">
            <v>HD</v>
          </cell>
          <cell r="M1536" t="str">
            <v>x</v>
          </cell>
          <cell r="N1536" t="e">
            <v>#N/A</v>
          </cell>
          <cell r="O1536" t="str">
            <v>Radial Seal Outer Air Filter</v>
          </cell>
        </row>
        <row r="1537">
          <cell r="K1537" t="str">
            <v>LH7528</v>
          </cell>
          <cell r="L1537" t="str">
            <v>HD</v>
          </cell>
          <cell r="M1537" t="str">
            <v>x</v>
          </cell>
          <cell r="N1537" t="e">
            <v>#N/A</v>
          </cell>
          <cell r="O1537" t="str">
            <v>Cartridge Power Steering (Hydraulic) Filter</v>
          </cell>
        </row>
        <row r="1538">
          <cell r="K1538" t="str">
            <v>LAF8043</v>
          </cell>
          <cell r="L1538" t="str">
            <v>HD</v>
          </cell>
          <cell r="M1538" t="str">
            <v>x</v>
          </cell>
          <cell r="N1538" t="e">
            <v>#N/A</v>
          </cell>
          <cell r="O1538" t="str">
            <v>Cone Shaped Conical Air Filter</v>
          </cell>
        </row>
        <row r="1539">
          <cell r="K1539" t="str">
            <v>LH9407</v>
          </cell>
          <cell r="L1539" t="str">
            <v>HD</v>
          </cell>
          <cell r="M1539" t="str">
            <v>x</v>
          </cell>
          <cell r="N1539" t="e">
            <v>#N/A</v>
          </cell>
          <cell r="O1539" t="str">
            <v>Cartridge Hydraulic Filter</v>
          </cell>
        </row>
        <row r="1540">
          <cell r="K1540" t="str">
            <v>LAF702</v>
          </cell>
          <cell r="L1540" t="str">
            <v>HD</v>
          </cell>
          <cell r="M1540" t="str">
            <v>x</v>
          </cell>
          <cell r="N1540" t="e">
            <v>#N/A</v>
          </cell>
          <cell r="O1540" t="str">
            <v>HD Metal-End Air Filter</v>
          </cell>
        </row>
        <row r="1541">
          <cell r="K1541" t="str">
            <v>LAF5452</v>
          </cell>
          <cell r="L1541" t="str">
            <v>HD</v>
          </cell>
          <cell r="M1541" t="str">
            <v>x</v>
          </cell>
          <cell r="N1541" t="str">
            <v>LAF5452</v>
          </cell>
          <cell r="O1541" t="str">
            <v>HD Metal-End Air Filter</v>
          </cell>
        </row>
        <row r="1542">
          <cell r="K1542" t="str">
            <v>LAF8821</v>
          </cell>
          <cell r="L1542" t="str">
            <v>HD</v>
          </cell>
          <cell r="M1542" t="str">
            <v>x</v>
          </cell>
          <cell r="N1542" t="e">
            <v>#N/A</v>
          </cell>
          <cell r="O1542" t="str">
            <v>HD Metal-End Air Filter</v>
          </cell>
        </row>
        <row r="1543">
          <cell r="K1543" t="str">
            <v>LAF5228</v>
          </cell>
          <cell r="L1543" t="str">
            <v>HD</v>
          </cell>
          <cell r="M1543" t="str">
            <v>x</v>
          </cell>
          <cell r="N1543" t="e">
            <v>#N/A</v>
          </cell>
          <cell r="O1543" t="str">
            <v>HD Round Air Filter with Attached Boot</v>
          </cell>
        </row>
        <row r="1544">
          <cell r="K1544" t="str">
            <v>LH4465</v>
          </cell>
          <cell r="L1544" t="str">
            <v>HD</v>
          </cell>
          <cell r="M1544" t="str">
            <v>x</v>
          </cell>
          <cell r="N1544" t="e">
            <v>#N/A</v>
          </cell>
          <cell r="O1544" t="str">
            <v>Cartridge Hydraulic Filter</v>
          </cell>
        </row>
        <row r="1545">
          <cell r="K1545" t="str">
            <v>LFP2301</v>
          </cell>
          <cell r="L1545" t="str">
            <v>HD</v>
          </cell>
          <cell r="M1545" t="str">
            <v>x</v>
          </cell>
          <cell r="N1545" t="e">
            <v>#N/A</v>
          </cell>
          <cell r="O1545" t="str">
            <v>Spin-on Oil Filter</v>
          </cell>
        </row>
        <row r="1546">
          <cell r="K1546" t="str">
            <v>LFH8192</v>
          </cell>
          <cell r="L1546" t="str">
            <v>HD</v>
          </cell>
          <cell r="M1546" t="str">
            <v>x</v>
          </cell>
          <cell r="N1546" t="e">
            <v>#N/A</v>
          </cell>
          <cell r="O1546" t="str">
            <v>Spin-on Hydraulic Filter</v>
          </cell>
        </row>
        <row r="1547">
          <cell r="K1547" t="str">
            <v>LAF8211</v>
          </cell>
          <cell r="L1547" t="str">
            <v>HD</v>
          </cell>
          <cell r="M1547" t="str">
            <v>x</v>
          </cell>
          <cell r="N1547" t="e">
            <v>#N/A</v>
          </cell>
          <cell r="O1547" t="str">
            <v>HD Metal-End Air Filter</v>
          </cell>
        </row>
        <row r="1548">
          <cell r="K1548" t="str">
            <v>LAF1771</v>
          </cell>
          <cell r="L1548" t="str">
            <v>HD</v>
          </cell>
          <cell r="M1548" t="str">
            <v>x</v>
          </cell>
          <cell r="N1548" t="e">
            <v>#N/A</v>
          </cell>
          <cell r="O1548" t="str">
            <v>Panel Air Filter Metal Framed</v>
          </cell>
        </row>
        <row r="1549">
          <cell r="K1549" t="str">
            <v>LAF3707</v>
          </cell>
          <cell r="L1549" t="str">
            <v>HD</v>
          </cell>
          <cell r="M1549" t="str">
            <v>x</v>
          </cell>
          <cell r="N1549" t="e">
            <v>#N/A</v>
          </cell>
          <cell r="O1549" t="str">
            <v>HD Metal-End Air Filter-Inner</v>
          </cell>
        </row>
        <row r="1550">
          <cell r="K1550" t="str">
            <v>LH8498</v>
          </cell>
          <cell r="L1550" t="str">
            <v>HD</v>
          </cell>
          <cell r="M1550" t="str">
            <v>x</v>
          </cell>
          <cell r="N1550" t="e">
            <v>#N/A</v>
          </cell>
          <cell r="O1550" t="str">
            <v>Cartridge Hydraulic Filter</v>
          </cell>
        </row>
        <row r="1551">
          <cell r="K1551" t="str">
            <v>LAF2523</v>
          </cell>
          <cell r="L1551" t="str">
            <v>HD</v>
          </cell>
          <cell r="M1551" t="str">
            <v>x</v>
          </cell>
          <cell r="N1551" t="e">
            <v>#N/A</v>
          </cell>
          <cell r="O1551" t="str">
            <v>HD Metal-End Air Filter</v>
          </cell>
        </row>
        <row r="1552">
          <cell r="K1552" t="str">
            <v>LFP2286G</v>
          </cell>
          <cell r="L1552" t="str">
            <v>HD</v>
          </cell>
          <cell r="M1552" t="str">
            <v>x</v>
          </cell>
          <cell r="N1552" t="e">
            <v>#N/A</v>
          </cell>
          <cell r="O1552" t="str">
            <v>Extended Life Spin-on Oil Filter</v>
          </cell>
        </row>
        <row r="1553">
          <cell r="K1553" t="str">
            <v>L23F</v>
          </cell>
          <cell r="L1553" t="str">
            <v>HD</v>
          </cell>
          <cell r="M1553" t="str">
            <v>x</v>
          </cell>
          <cell r="N1553" t="e">
            <v>#N/A</v>
          </cell>
          <cell r="O1553" t="str">
            <v>Cartridge Fuel Filter</v>
          </cell>
        </row>
        <row r="1554">
          <cell r="K1554" t="str">
            <v>LAF8421</v>
          </cell>
          <cell r="L1554" t="str">
            <v>HD</v>
          </cell>
          <cell r="M1554" t="str">
            <v>x</v>
          </cell>
          <cell r="N1554" t="e">
            <v>#N/A</v>
          </cell>
          <cell r="O1554" t="str">
            <v>Oval Air Filter</v>
          </cell>
        </row>
        <row r="1555">
          <cell r="K1555" t="str">
            <v>LH4928</v>
          </cell>
          <cell r="L1555" t="str">
            <v>HD</v>
          </cell>
          <cell r="M1555" t="str">
            <v>x</v>
          </cell>
          <cell r="N1555" t="e">
            <v>#N/A</v>
          </cell>
          <cell r="O1555" t="str">
            <v>Cartridge Hydraulic Filter</v>
          </cell>
        </row>
        <row r="1556">
          <cell r="K1556" t="str">
            <v>LH95269V</v>
          </cell>
          <cell r="L1556" t="str">
            <v>HD</v>
          </cell>
          <cell r="M1556" t="str">
            <v>x</v>
          </cell>
          <cell r="N1556" t="e">
            <v>#N/A</v>
          </cell>
          <cell r="O1556" t="str">
            <v>Cartridge Hydraulic Filter</v>
          </cell>
        </row>
        <row r="1557">
          <cell r="K1557" t="str">
            <v>LFF4036A</v>
          </cell>
          <cell r="L1557" t="str">
            <v>HD</v>
          </cell>
          <cell r="M1557" t="str">
            <v>x</v>
          </cell>
          <cell r="N1557" t="e">
            <v>#N/A</v>
          </cell>
          <cell r="O1557" t="str">
            <v>Spin-on Fuel Filter</v>
          </cell>
        </row>
        <row r="1558">
          <cell r="K1558">
            <v>200</v>
          </cell>
          <cell r="L1558" t="str">
            <v>HD</v>
          </cell>
          <cell r="M1558" t="str">
            <v>x</v>
          </cell>
          <cell r="N1558" t="e">
            <v>#N/A</v>
          </cell>
          <cell r="O1558" t="str">
            <v>Refining Pak, LF model 200-filtering non-detergent, straight mineral oil, hydraulic fluids, fuel oils, etc.</v>
          </cell>
        </row>
        <row r="1559">
          <cell r="K1559">
            <v>500</v>
          </cell>
          <cell r="L1559" t="str">
            <v>HD</v>
          </cell>
          <cell r="M1559" t="str">
            <v>x</v>
          </cell>
          <cell r="N1559" t="e">
            <v>#N/A</v>
          </cell>
          <cell r="O1559" t="str">
            <v>Cover w/1 Plug Hole, 500-C, 750-2C</v>
          </cell>
        </row>
        <row r="1560">
          <cell r="K1560" t="str">
            <v>LFF3502</v>
          </cell>
          <cell r="L1560" t="str">
            <v>HD</v>
          </cell>
          <cell r="M1560" t="str">
            <v>x</v>
          </cell>
          <cell r="N1560" t="e">
            <v>#N/A</v>
          </cell>
          <cell r="O1560" t="str">
            <v>Spin-on Fuel Filter</v>
          </cell>
        </row>
        <row r="1561">
          <cell r="K1561" t="str">
            <v>LAF8551</v>
          </cell>
          <cell r="L1561" t="str">
            <v>HD</v>
          </cell>
          <cell r="M1561" t="str">
            <v>x</v>
          </cell>
          <cell r="N1561" t="e">
            <v>#N/A</v>
          </cell>
          <cell r="O1561" t="str">
            <v>HD Round Air Filter with Attached Boot</v>
          </cell>
        </row>
        <row r="1562">
          <cell r="K1562" t="str">
            <v>LAF8973</v>
          </cell>
          <cell r="L1562" t="str">
            <v>HD</v>
          </cell>
          <cell r="M1562" t="str">
            <v>x</v>
          </cell>
          <cell r="N1562" t="e">
            <v>#N/A</v>
          </cell>
          <cell r="O1562" t="str">
            <v>Heavy Duty Air Filter With Attached Lid</v>
          </cell>
        </row>
        <row r="1563">
          <cell r="K1563" t="str">
            <v>LH4594</v>
          </cell>
          <cell r="L1563" t="str">
            <v>HD</v>
          </cell>
          <cell r="M1563" t="str">
            <v>x</v>
          </cell>
          <cell r="N1563" t="e">
            <v>#N/A</v>
          </cell>
          <cell r="O1563" t="str">
            <v>Cartridge Hydraulic Filter</v>
          </cell>
        </row>
        <row r="1564">
          <cell r="K1564" t="str">
            <v>LFF8933</v>
          </cell>
          <cell r="L1564" t="str">
            <v>HD</v>
          </cell>
          <cell r="M1564" t="str">
            <v>x</v>
          </cell>
          <cell r="N1564" t="e">
            <v>#N/A</v>
          </cell>
          <cell r="O1564" t="str">
            <v>Spin-on Fuel Filter</v>
          </cell>
        </row>
        <row r="1565">
          <cell r="K1565" t="str">
            <v>L3575F</v>
          </cell>
          <cell r="L1565" t="str">
            <v>HD</v>
          </cell>
          <cell r="M1565" t="str">
            <v>x</v>
          </cell>
          <cell r="N1565" t="e">
            <v>#N/A</v>
          </cell>
          <cell r="O1565" t="str">
            <v>Cartridge Fuel Filter</v>
          </cell>
        </row>
        <row r="1566">
          <cell r="K1566" t="str">
            <v>LAF8157</v>
          </cell>
          <cell r="L1566" t="str">
            <v>HD</v>
          </cell>
          <cell r="M1566" t="str">
            <v>x</v>
          </cell>
          <cell r="N1566" t="e">
            <v>#N/A</v>
          </cell>
          <cell r="O1566" t="str">
            <v>Finned Vane Air Filter</v>
          </cell>
        </row>
        <row r="1567">
          <cell r="K1567" t="str">
            <v>LH4256</v>
          </cell>
          <cell r="L1567" t="str">
            <v>HD</v>
          </cell>
          <cell r="M1567" t="str">
            <v>x</v>
          </cell>
          <cell r="N1567" t="e">
            <v>#N/A</v>
          </cell>
          <cell r="O1567" t="str">
            <v>Cartridge Hydraulic Filter</v>
          </cell>
        </row>
        <row r="1568">
          <cell r="K1568" t="str">
            <v>LH9309V</v>
          </cell>
          <cell r="L1568" t="str">
            <v>HD</v>
          </cell>
          <cell r="M1568" t="str">
            <v>x</v>
          </cell>
          <cell r="N1568" t="e">
            <v>#N/A</v>
          </cell>
          <cell r="O1568" t="str">
            <v>Cartridge Hydraulic Filter</v>
          </cell>
        </row>
        <row r="1569">
          <cell r="K1569" t="str">
            <v>LK377M</v>
          </cell>
          <cell r="L1569" t="str">
            <v>HD</v>
          </cell>
          <cell r="O1569" t="str">
            <v>Maintenance Kit</v>
          </cell>
        </row>
        <row r="1570">
          <cell r="K1570" t="str">
            <v>L3420F</v>
          </cell>
          <cell r="L1570" t="str">
            <v>HD</v>
          </cell>
          <cell r="M1570" t="str">
            <v>x</v>
          </cell>
          <cell r="N1570" t="e">
            <v>#N/A</v>
          </cell>
          <cell r="O1570" t="str">
            <v>Cartridge Coalescer Filter</v>
          </cell>
        </row>
        <row r="1571">
          <cell r="K1571" t="str">
            <v>LFH3762</v>
          </cell>
          <cell r="L1571" t="str">
            <v>HD</v>
          </cell>
          <cell r="M1571" t="str">
            <v>x</v>
          </cell>
          <cell r="N1571" t="e">
            <v>#N/A</v>
          </cell>
          <cell r="O1571" t="str">
            <v>Spin-on Hydraulic Filter</v>
          </cell>
        </row>
        <row r="1572">
          <cell r="K1572" t="str">
            <v>LFF3538</v>
          </cell>
          <cell r="L1572" t="str">
            <v>HD</v>
          </cell>
          <cell r="M1572" t="str">
            <v>x</v>
          </cell>
          <cell r="N1572" t="e">
            <v>#N/A</v>
          </cell>
          <cell r="O1572" t="str">
            <v>Spin-on Fuel Filter</v>
          </cell>
        </row>
        <row r="1573">
          <cell r="K1573" t="str">
            <v>LAF1836</v>
          </cell>
          <cell r="L1573" t="str">
            <v>HD</v>
          </cell>
          <cell r="M1573" t="str">
            <v>x</v>
          </cell>
          <cell r="N1573" t="e">
            <v>#N/A</v>
          </cell>
          <cell r="O1573" t="str">
            <v>HD Metal-End Air Filter</v>
          </cell>
        </row>
        <row r="1574">
          <cell r="K1574" t="str">
            <v>LP2525</v>
          </cell>
          <cell r="L1574" t="str">
            <v>HD</v>
          </cell>
          <cell r="M1574" t="str">
            <v>x</v>
          </cell>
          <cell r="N1574" t="e">
            <v>#N/A</v>
          </cell>
          <cell r="O1574" t="str">
            <v>Cartridge Oil Filter</v>
          </cell>
        </row>
        <row r="1575">
          <cell r="K1575" t="str">
            <v>LH95345V</v>
          </cell>
          <cell r="L1575" t="str">
            <v>HD</v>
          </cell>
          <cell r="M1575" t="str">
            <v>x</v>
          </cell>
          <cell r="N1575" t="e">
            <v>#N/A</v>
          </cell>
          <cell r="O1575" t="str">
            <v>Cartridge Hydraulic Filter</v>
          </cell>
        </row>
        <row r="1576">
          <cell r="K1576" t="str">
            <v>L5947F</v>
          </cell>
          <cell r="L1576" t="str">
            <v>HD</v>
          </cell>
          <cell r="M1576" t="str">
            <v>x</v>
          </cell>
          <cell r="N1576" t="e">
            <v>#N/A</v>
          </cell>
          <cell r="O1576" t="str">
            <v>Cartridge Fuel Filter</v>
          </cell>
        </row>
        <row r="1577">
          <cell r="K1577" t="str">
            <v>LAF8482</v>
          </cell>
          <cell r="L1577" t="str">
            <v>HD</v>
          </cell>
          <cell r="M1577" t="str">
            <v>x</v>
          </cell>
          <cell r="N1577" t="e">
            <v>#N/A</v>
          </cell>
          <cell r="O1577" t="str">
            <v>Round Inner Air Filter with Flanged Endcap</v>
          </cell>
        </row>
        <row r="1578">
          <cell r="K1578" t="str">
            <v>LAF6860</v>
          </cell>
          <cell r="L1578" t="str">
            <v>HD</v>
          </cell>
          <cell r="M1578" t="str">
            <v>x</v>
          </cell>
          <cell r="N1578" t="e">
            <v>#N/A</v>
          </cell>
          <cell r="O1578" t="str">
            <v>HD Metal-End Air Filter</v>
          </cell>
        </row>
        <row r="1579">
          <cell r="K1579" t="str">
            <v>LAF8586</v>
          </cell>
          <cell r="L1579" t="str">
            <v>HD</v>
          </cell>
          <cell r="M1579" t="str">
            <v>x</v>
          </cell>
          <cell r="N1579" t="e">
            <v>#N/A</v>
          </cell>
          <cell r="O1579" t="str">
            <v>HD Metal-End Air Filter with Attached Lid</v>
          </cell>
        </row>
        <row r="1580">
          <cell r="K1580" t="str">
            <v>LAF1894</v>
          </cell>
          <cell r="L1580" t="str">
            <v>HD</v>
          </cell>
          <cell r="M1580" t="str">
            <v>x</v>
          </cell>
          <cell r="N1580" t="e">
            <v>#N/A</v>
          </cell>
          <cell r="O1580" t="str">
            <v>Nano Tech HD Metal-End Air Filter Outer</v>
          </cell>
        </row>
        <row r="1581">
          <cell r="K1581" t="str">
            <v>LAF8662</v>
          </cell>
          <cell r="L1581" t="str">
            <v>HD</v>
          </cell>
          <cell r="M1581" t="str">
            <v>x</v>
          </cell>
          <cell r="N1581" t="e">
            <v>#N/A</v>
          </cell>
          <cell r="O1581" t="str">
            <v>Finned Vane Air Filter</v>
          </cell>
        </row>
        <row r="1582">
          <cell r="K1582" t="str">
            <v>LAF5837</v>
          </cell>
          <cell r="L1582" t="str">
            <v>HD</v>
          </cell>
          <cell r="M1582" t="str">
            <v>x</v>
          </cell>
          <cell r="N1582" t="e">
            <v>#N/A</v>
          </cell>
          <cell r="O1582" t="str">
            <v>Radial Seal Air Filter, Primary</v>
          </cell>
        </row>
        <row r="1583">
          <cell r="K1583" t="str">
            <v>LH4247</v>
          </cell>
          <cell r="L1583" t="str">
            <v>HD</v>
          </cell>
          <cell r="M1583" t="str">
            <v>x</v>
          </cell>
          <cell r="N1583" t="e">
            <v>#N/A</v>
          </cell>
          <cell r="O1583" t="str">
            <v>Cartridge Hydraulic Filter</v>
          </cell>
        </row>
        <row r="1584">
          <cell r="K1584" t="str">
            <v>LAF1933</v>
          </cell>
          <cell r="L1584" t="str">
            <v>HD</v>
          </cell>
          <cell r="M1584" t="str">
            <v>x</v>
          </cell>
          <cell r="N1584" t="e">
            <v>#N/A</v>
          </cell>
          <cell r="O1584" t="str">
            <v>HD Metal-End Inner Air Filter</v>
          </cell>
        </row>
        <row r="1585">
          <cell r="K1585" t="str">
            <v>LAF1812</v>
          </cell>
          <cell r="L1585" t="str">
            <v>HD</v>
          </cell>
          <cell r="M1585" t="str">
            <v>x</v>
          </cell>
          <cell r="N1585" t="e">
            <v>#N/A</v>
          </cell>
          <cell r="O1585" t="str">
            <v>HD Round Air Filter with Attached Boot</v>
          </cell>
        </row>
        <row r="1586">
          <cell r="K1586" t="str">
            <v>LMB6926</v>
          </cell>
          <cell r="L1586" t="str">
            <v>HD</v>
          </cell>
          <cell r="M1586" t="str">
            <v>x</v>
          </cell>
          <cell r="N1586" t="e">
            <v>#N/A</v>
          </cell>
          <cell r="O1586" t="str">
            <v xml:space="preserve">Spin-on Fuel Conversion Kit for Perkins and Caterpillar engines. Use with LFF6925 fuel filter. </v>
          </cell>
        </row>
        <row r="1587">
          <cell r="K1587" t="str">
            <v>L3973F</v>
          </cell>
          <cell r="L1587" t="str">
            <v>HD</v>
          </cell>
          <cell r="M1587" t="str">
            <v>x</v>
          </cell>
          <cell r="N1587" t="e">
            <v>#N/A</v>
          </cell>
          <cell r="O1587" t="str">
            <v>In-Line Fuel Filter</v>
          </cell>
        </row>
        <row r="1588">
          <cell r="K1588" t="str">
            <v>LAF1859</v>
          </cell>
          <cell r="L1588" t="str">
            <v>HD</v>
          </cell>
          <cell r="M1588" t="str">
            <v>x</v>
          </cell>
          <cell r="N1588" t="e">
            <v>#N/A</v>
          </cell>
          <cell r="O1588" t="str">
            <v>HD Round Finned Air Filter with Attached Lid</v>
          </cell>
        </row>
        <row r="1589">
          <cell r="K1589" t="str">
            <v>LFF8714</v>
          </cell>
          <cell r="L1589" t="str">
            <v>HD</v>
          </cell>
          <cell r="M1589" t="str">
            <v>x</v>
          </cell>
          <cell r="N1589" t="e">
            <v>#N/A</v>
          </cell>
          <cell r="O1589" t="str">
            <v>Spin-on Fuel Filter</v>
          </cell>
        </row>
        <row r="1590">
          <cell r="K1590" t="str">
            <v>LH4264</v>
          </cell>
          <cell r="L1590" t="str">
            <v>HD</v>
          </cell>
          <cell r="M1590" t="str">
            <v>x</v>
          </cell>
          <cell r="N1590" t="e">
            <v>#N/A</v>
          </cell>
          <cell r="O1590" t="str">
            <v>Cartridge Hydraulic Filter</v>
          </cell>
        </row>
        <row r="1591">
          <cell r="K1591" t="str">
            <v>LAF8082</v>
          </cell>
          <cell r="L1591" t="str">
            <v>HD</v>
          </cell>
          <cell r="M1591" t="str">
            <v>x</v>
          </cell>
          <cell r="N1591" t="e">
            <v>#N/A</v>
          </cell>
          <cell r="O1591" t="str">
            <v>HD Metal-End Air Filter-Inner</v>
          </cell>
        </row>
        <row r="1592">
          <cell r="K1592" t="str">
            <v>LAF1887</v>
          </cell>
          <cell r="L1592" t="str">
            <v>HD</v>
          </cell>
          <cell r="M1592" t="str">
            <v>x</v>
          </cell>
          <cell r="N1592" t="e">
            <v>#N/A</v>
          </cell>
          <cell r="O1592" t="str">
            <v>HD Round Air Filter with Attached Boot</v>
          </cell>
        </row>
        <row r="1593">
          <cell r="K1593" t="str">
            <v>LH11041V</v>
          </cell>
          <cell r="L1593" t="str">
            <v>HD</v>
          </cell>
          <cell r="M1593" t="str">
            <v>x</v>
          </cell>
          <cell r="N1593" t="e">
            <v>#N/A</v>
          </cell>
          <cell r="O1593" t="str">
            <v>Industrial Cartridge Hydraulic Filter</v>
          </cell>
        </row>
        <row r="1594">
          <cell r="K1594" t="str">
            <v>LP2318</v>
          </cell>
          <cell r="L1594" t="str">
            <v>HD</v>
          </cell>
          <cell r="M1594" t="str">
            <v>x</v>
          </cell>
          <cell r="N1594" t="e">
            <v>#N/A</v>
          </cell>
          <cell r="O1594" t="str">
            <v>Cartridge Hydraulic Filter</v>
          </cell>
        </row>
        <row r="1595">
          <cell r="K1595" t="str">
            <v>L632F</v>
          </cell>
          <cell r="L1595" t="str">
            <v>HD</v>
          </cell>
          <cell r="M1595" t="str">
            <v>x</v>
          </cell>
          <cell r="N1595" t="e">
            <v>#N/A</v>
          </cell>
          <cell r="O1595" t="str">
            <v>Cartridge Fuel Filter</v>
          </cell>
        </row>
        <row r="1596">
          <cell r="K1596" t="str">
            <v>SPRING</v>
          </cell>
          <cell r="L1596" t="str">
            <v>HD</v>
          </cell>
          <cell r="M1596" t="str">
            <v>x</v>
          </cell>
          <cell r="N1596" t="e">
            <v>#N/A</v>
          </cell>
          <cell r="O1596" t="str">
            <v>Spring/970-C</v>
          </cell>
        </row>
        <row r="1597">
          <cell r="K1597" t="str">
            <v>DRAIN</v>
          </cell>
          <cell r="L1597" t="str">
            <v>HD</v>
          </cell>
          <cell r="M1597" t="str">
            <v>x</v>
          </cell>
          <cell r="N1597" t="e">
            <v>#N/A</v>
          </cell>
          <cell r="O1597" t="str">
            <v>Drain Cock, Standard w/o Hose Nipple/500-B, C, 750-B, C</v>
          </cell>
        </row>
        <row r="1598">
          <cell r="K1598" t="str">
            <v>L3891F</v>
          </cell>
          <cell r="L1598" t="str">
            <v>HD</v>
          </cell>
          <cell r="M1598" t="str">
            <v>x</v>
          </cell>
          <cell r="N1598" t="e">
            <v>#N/A</v>
          </cell>
          <cell r="O1598" t="str">
            <v>Snap-lock Fuel/Water Separator Filter</v>
          </cell>
        </row>
        <row r="1599">
          <cell r="K1599" t="str">
            <v>LAF1837</v>
          </cell>
          <cell r="L1599" t="str">
            <v>HD</v>
          </cell>
          <cell r="M1599" t="str">
            <v>x</v>
          </cell>
          <cell r="N1599" t="e">
            <v>#N/A</v>
          </cell>
          <cell r="O1599" t="str">
            <v>HD Metal-End Air Filter</v>
          </cell>
        </row>
        <row r="1600">
          <cell r="K1600" t="str">
            <v>LH4199</v>
          </cell>
          <cell r="L1600" t="str">
            <v>HD</v>
          </cell>
          <cell r="M1600" t="str">
            <v>x</v>
          </cell>
          <cell r="N1600" t="e">
            <v>#N/A</v>
          </cell>
          <cell r="O1600" t="str">
            <v>Cartridge Hydraulic Filter</v>
          </cell>
        </row>
        <row r="1601">
          <cell r="K1601" t="str">
            <v>LAF22095</v>
          </cell>
          <cell r="L1601" t="str">
            <v>HD</v>
          </cell>
          <cell r="M1601" t="str">
            <v>x</v>
          </cell>
          <cell r="N1601" t="e">
            <v>#N/A</v>
          </cell>
          <cell r="O1601" t="str">
            <v>Round Air Filter</v>
          </cell>
        </row>
        <row r="1602">
          <cell r="K1602" t="str">
            <v>LAF744</v>
          </cell>
          <cell r="L1602" t="str">
            <v>HD</v>
          </cell>
          <cell r="M1602" t="str">
            <v>x</v>
          </cell>
          <cell r="N1602" t="e">
            <v>#N/A</v>
          </cell>
          <cell r="O1602" t="str">
            <v>HD Metal-End Air Filter</v>
          </cell>
        </row>
        <row r="1603">
          <cell r="K1603" t="str">
            <v>LAF1720</v>
          </cell>
          <cell r="L1603" t="str">
            <v>HD</v>
          </cell>
          <cell r="M1603" t="str">
            <v>x</v>
          </cell>
          <cell r="N1603" t="e">
            <v>#N/A</v>
          </cell>
          <cell r="O1603" t="str">
            <v>Round Inner Air Filter</v>
          </cell>
        </row>
        <row r="1604">
          <cell r="K1604" t="str">
            <v>LFH8484</v>
          </cell>
          <cell r="L1604" t="str">
            <v>HD</v>
          </cell>
          <cell r="M1604" t="str">
            <v>x</v>
          </cell>
          <cell r="N1604" t="e">
            <v>#N/A</v>
          </cell>
          <cell r="O1604" t="str">
            <v>Spin-on Hydraulic Filter</v>
          </cell>
        </row>
        <row r="1605">
          <cell r="K1605" t="str">
            <v>LFP3413</v>
          </cell>
          <cell r="L1605" t="str">
            <v>HD</v>
          </cell>
          <cell r="M1605" t="str">
            <v>x</v>
          </cell>
          <cell r="N1605" t="e">
            <v>#N/A</v>
          </cell>
          <cell r="O1605" t="str">
            <v>Spin-on Oil Filter</v>
          </cell>
        </row>
        <row r="1606">
          <cell r="K1606" t="str">
            <v>LAF8621</v>
          </cell>
          <cell r="L1606" t="str">
            <v>HD</v>
          </cell>
          <cell r="M1606" t="str">
            <v>x</v>
          </cell>
          <cell r="N1606" t="e">
            <v>#N/A</v>
          </cell>
          <cell r="O1606" t="str">
            <v>HD Round Air Filter with Attached Lid</v>
          </cell>
        </row>
        <row r="1607">
          <cell r="K1607" t="str">
            <v>LH9556</v>
          </cell>
          <cell r="L1607" t="str">
            <v>HD</v>
          </cell>
          <cell r="M1607" t="str">
            <v>x</v>
          </cell>
          <cell r="N1607" t="e">
            <v>#N/A</v>
          </cell>
          <cell r="O1607" t="str">
            <v>Cartridge Hydraulic Filter</v>
          </cell>
        </row>
        <row r="1608">
          <cell r="K1608" t="str">
            <v>LAF1801</v>
          </cell>
          <cell r="L1608" t="str">
            <v>HD</v>
          </cell>
          <cell r="M1608" t="str">
            <v>x</v>
          </cell>
          <cell r="N1608" t="e">
            <v>#N/A</v>
          </cell>
          <cell r="O1608" t="str">
            <v>HD Metal-End Air Filter</v>
          </cell>
        </row>
        <row r="1609">
          <cell r="K1609" t="str">
            <v>LAF8623</v>
          </cell>
          <cell r="L1609" t="str">
            <v>HD</v>
          </cell>
          <cell r="M1609" t="str">
            <v>x</v>
          </cell>
          <cell r="N1609" t="e">
            <v>#N/A</v>
          </cell>
          <cell r="O1609" t="str">
            <v>Round Inner Air Filter</v>
          </cell>
        </row>
        <row r="1610">
          <cell r="K1610" t="str">
            <v>LAF8959</v>
          </cell>
          <cell r="L1610" t="str">
            <v>HD</v>
          </cell>
          <cell r="M1610" t="str">
            <v>x</v>
          </cell>
          <cell r="N1610" t="e">
            <v>#N/A</v>
          </cell>
          <cell r="O1610" t="str">
            <v>HD Metal-End Air Filter</v>
          </cell>
        </row>
        <row r="1611">
          <cell r="K1611" t="str">
            <v>LAF1979</v>
          </cell>
          <cell r="L1611" t="str">
            <v>HD</v>
          </cell>
          <cell r="M1611" t="str">
            <v>x</v>
          </cell>
          <cell r="N1611" t="e">
            <v>#N/A</v>
          </cell>
          <cell r="O1611" t="str">
            <v>HD Round Air Filter with Attached Boot</v>
          </cell>
        </row>
        <row r="1612">
          <cell r="K1612" t="str">
            <v>LAF8618</v>
          </cell>
          <cell r="L1612" t="str">
            <v>HD</v>
          </cell>
          <cell r="M1612" t="str">
            <v>x</v>
          </cell>
          <cell r="N1612" t="e">
            <v>#N/A</v>
          </cell>
          <cell r="O1612" t="str">
            <v>HD Metal-End Air Filter-Inner</v>
          </cell>
        </row>
        <row r="1613">
          <cell r="K1613" t="str">
            <v>LH11034</v>
          </cell>
          <cell r="L1613" t="str">
            <v>HD</v>
          </cell>
          <cell r="M1613" t="str">
            <v>x</v>
          </cell>
          <cell r="N1613" t="e">
            <v>#N/A</v>
          </cell>
          <cell r="O1613" t="str">
            <v>Industrial Cartridge Hydraulic Filter</v>
          </cell>
        </row>
        <row r="1614">
          <cell r="K1614" t="str">
            <v>LAF937</v>
          </cell>
          <cell r="L1614" t="str">
            <v>HD</v>
          </cell>
          <cell r="M1614" t="str">
            <v>x</v>
          </cell>
          <cell r="N1614" t="e">
            <v>#N/A</v>
          </cell>
          <cell r="O1614" t="str">
            <v>HD Metal-End Inner Air Filter</v>
          </cell>
        </row>
        <row r="1615">
          <cell r="K1615" t="str">
            <v>LAF22045</v>
          </cell>
          <cell r="L1615" t="str">
            <v>HD</v>
          </cell>
          <cell r="M1615" t="str">
            <v>x</v>
          </cell>
          <cell r="N1615" t="e">
            <v>#N/A</v>
          </cell>
          <cell r="O1615" t="str">
            <v>Oval Air Filter</v>
          </cell>
        </row>
        <row r="1616">
          <cell r="K1616" t="str">
            <v>LAF1878MXM</v>
          </cell>
          <cell r="L1616" t="str">
            <v>HD</v>
          </cell>
          <cell r="M1616" t="str">
            <v>x</v>
          </cell>
          <cell r="N1616" t="e">
            <v>#N/A</v>
          </cell>
          <cell r="O1616" t="str">
            <v>Nano Tech HD Metal-End Air Filter Outer</v>
          </cell>
        </row>
        <row r="1617">
          <cell r="K1617" t="str">
            <v>LAF3657</v>
          </cell>
          <cell r="L1617" t="str">
            <v>HD</v>
          </cell>
          <cell r="M1617" t="str">
            <v>x</v>
          </cell>
          <cell r="N1617" t="e">
            <v>#N/A</v>
          </cell>
          <cell r="O1617" t="str">
            <v>HD Metal-End Inner Air Filter</v>
          </cell>
        </row>
        <row r="1618">
          <cell r="K1618" t="str">
            <v>LMB451</v>
          </cell>
          <cell r="L1618" t="str">
            <v>HD</v>
          </cell>
          <cell r="M1618" t="str">
            <v>x</v>
          </cell>
          <cell r="N1618" t="e">
            <v>#N/A</v>
          </cell>
          <cell r="O1618" t="str">
            <v>Adaptor Base for LFP9750</v>
          </cell>
        </row>
        <row r="1619">
          <cell r="K1619" t="str">
            <v>LH8784G</v>
          </cell>
          <cell r="L1619" t="str">
            <v>HD</v>
          </cell>
          <cell r="M1619" t="str">
            <v>x</v>
          </cell>
          <cell r="N1619" t="e">
            <v>#N/A</v>
          </cell>
          <cell r="O1619" t="str">
            <v>Cartridge Hydraulic Filter</v>
          </cell>
        </row>
        <row r="1620">
          <cell r="K1620" t="str">
            <v>LAF8816</v>
          </cell>
          <cell r="L1620" t="str">
            <v>HD</v>
          </cell>
          <cell r="M1620" t="str">
            <v>x</v>
          </cell>
          <cell r="N1620" t="e">
            <v>#N/A</v>
          </cell>
          <cell r="O1620" t="str">
            <v>Round Inner Air Filter</v>
          </cell>
        </row>
        <row r="1621">
          <cell r="K1621" t="str">
            <v>LAF4319</v>
          </cell>
          <cell r="L1621" t="str">
            <v>HD</v>
          </cell>
          <cell r="M1621" t="str">
            <v>x</v>
          </cell>
          <cell r="N1621" t="e">
            <v>#N/A</v>
          </cell>
          <cell r="O1621" t="str">
            <v>Round Air Filter</v>
          </cell>
        </row>
        <row r="1622">
          <cell r="K1622" t="str">
            <v>L8262F</v>
          </cell>
          <cell r="L1622" t="str">
            <v>HD</v>
          </cell>
          <cell r="M1622" t="str">
            <v>x</v>
          </cell>
          <cell r="N1622" t="e">
            <v>#N/A</v>
          </cell>
          <cell r="O1622" t="str">
            <v>Cartridge Fuel Filter</v>
          </cell>
        </row>
        <row r="1623">
          <cell r="K1623" t="str">
            <v>LAF1755</v>
          </cell>
          <cell r="L1623" t="str">
            <v>HD</v>
          </cell>
          <cell r="M1623" t="str">
            <v>x</v>
          </cell>
          <cell r="N1623" t="e">
            <v>#N/A</v>
          </cell>
          <cell r="O1623" t="str">
            <v>HD Metal-End Air Filter</v>
          </cell>
        </row>
        <row r="1624">
          <cell r="K1624" t="str">
            <v>LAF6680</v>
          </cell>
          <cell r="L1624" t="str">
            <v>HD</v>
          </cell>
          <cell r="M1624" t="str">
            <v>x</v>
          </cell>
          <cell r="N1624" t="e">
            <v>#N/A</v>
          </cell>
          <cell r="O1624" t="str">
            <v>Panel Air Filter Metal Framed</v>
          </cell>
        </row>
        <row r="1625">
          <cell r="K1625" t="str">
            <v>LFH5075</v>
          </cell>
          <cell r="L1625" t="str">
            <v>HD</v>
          </cell>
          <cell r="M1625" t="str">
            <v>x</v>
          </cell>
          <cell r="N1625" t="e">
            <v>#N/A</v>
          </cell>
          <cell r="O1625" t="str">
            <v>Spin-on Hydraulic Filter</v>
          </cell>
        </row>
        <row r="1626">
          <cell r="K1626" t="str">
            <v>LP2250</v>
          </cell>
          <cell r="L1626" t="str">
            <v>HD</v>
          </cell>
          <cell r="M1626" t="str">
            <v>x</v>
          </cell>
          <cell r="N1626" t="e">
            <v>#N/A</v>
          </cell>
          <cell r="O1626" t="str">
            <v>Cartridge Oil Filter</v>
          </cell>
        </row>
        <row r="1627">
          <cell r="K1627" t="str">
            <v>LAF3655</v>
          </cell>
          <cell r="L1627" t="str">
            <v>HD</v>
          </cell>
          <cell r="M1627" t="str">
            <v>x</v>
          </cell>
          <cell r="N1627" t="e">
            <v>#N/A</v>
          </cell>
          <cell r="O1627" t="str">
            <v>HD Metal-End Air Filter</v>
          </cell>
        </row>
        <row r="1628">
          <cell r="K1628" t="str">
            <v>LAF8119</v>
          </cell>
          <cell r="L1628" t="str">
            <v>HD</v>
          </cell>
          <cell r="M1628" t="str">
            <v>x</v>
          </cell>
          <cell r="N1628" t="e">
            <v>#N/A</v>
          </cell>
          <cell r="O1628" t="str">
            <v>HD Metal-End Air Filter-Inner</v>
          </cell>
        </row>
        <row r="1629">
          <cell r="K1629" t="str">
            <v>LFP5930</v>
          </cell>
          <cell r="L1629" t="str">
            <v>HD</v>
          </cell>
          <cell r="M1629" t="str">
            <v>x</v>
          </cell>
          <cell r="N1629" t="e">
            <v>#N/A</v>
          </cell>
          <cell r="O1629" t="str">
            <v>Spin-on Oil Filter</v>
          </cell>
        </row>
        <row r="1630">
          <cell r="K1630">
            <v>750</v>
          </cell>
          <cell r="L1630" t="str">
            <v>HD</v>
          </cell>
          <cell r="M1630" t="str">
            <v>x</v>
          </cell>
          <cell r="N1630" t="e">
            <v>#N/A</v>
          </cell>
          <cell r="O1630" t="str">
            <v>Cover w/3 Plug Holes for Horizontal Mount/750-C</v>
          </cell>
        </row>
        <row r="1631">
          <cell r="K1631" t="str">
            <v>LFH8268</v>
          </cell>
          <cell r="L1631" t="str">
            <v>HD</v>
          </cell>
          <cell r="M1631" t="str">
            <v>x</v>
          </cell>
          <cell r="N1631" t="e">
            <v>#N/A</v>
          </cell>
          <cell r="O1631" t="str">
            <v>Spin-on Hydraulic Filter</v>
          </cell>
        </row>
        <row r="1632">
          <cell r="K1632" t="str">
            <v>L3925F</v>
          </cell>
          <cell r="L1632" t="str">
            <v>HD</v>
          </cell>
          <cell r="M1632" t="str">
            <v>x</v>
          </cell>
          <cell r="N1632" t="e">
            <v>#N/A</v>
          </cell>
          <cell r="O1632" t="str">
            <v>Snap-lock Fuel/Water Separator Filter</v>
          </cell>
        </row>
        <row r="1633">
          <cell r="K1633" t="str">
            <v>LAF480</v>
          </cell>
          <cell r="L1633" t="str">
            <v>HD</v>
          </cell>
          <cell r="M1633" t="str">
            <v>x</v>
          </cell>
          <cell r="N1633" t="e">
            <v>#N/A</v>
          </cell>
          <cell r="O1633" t="str">
            <v>Tube Type Air Filter</v>
          </cell>
        </row>
        <row r="1634">
          <cell r="K1634" t="str">
            <v>LH4254</v>
          </cell>
          <cell r="L1634" t="str">
            <v>HD</v>
          </cell>
          <cell r="M1634" t="str">
            <v>x</v>
          </cell>
          <cell r="N1634" t="e">
            <v>#N/A</v>
          </cell>
          <cell r="O1634" t="str">
            <v>Cartridge Hydraulic Filter</v>
          </cell>
        </row>
        <row r="1635">
          <cell r="K1635" t="str">
            <v>LH4232</v>
          </cell>
          <cell r="L1635" t="str">
            <v>HD</v>
          </cell>
          <cell r="M1635" t="str">
            <v>x</v>
          </cell>
          <cell r="N1635" t="e">
            <v>#N/A</v>
          </cell>
          <cell r="O1635" t="str">
            <v>Cartridge Hydraulic Filter</v>
          </cell>
        </row>
        <row r="1636">
          <cell r="K1636" t="str">
            <v>LFP3582</v>
          </cell>
          <cell r="L1636" t="str">
            <v>HD</v>
          </cell>
          <cell r="M1636" t="str">
            <v>x</v>
          </cell>
          <cell r="N1636" t="e">
            <v>#N/A</v>
          </cell>
          <cell r="O1636" t="str">
            <v>Spin-on Oil Filter</v>
          </cell>
        </row>
        <row r="1637">
          <cell r="K1637" t="str">
            <v>LAF2338</v>
          </cell>
          <cell r="L1637" t="str">
            <v>HD</v>
          </cell>
          <cell r="M1637" t="str">
            <v>x</v>
          </cell>
          <cell r="N1637" t="e">
            <v>#N/A</v>
          </cell>
          <cell r="O1637" t="str">
            <v>Finned Vane Air Filter</v>
          </cell>
        </row>
        <row r="1638">
          <cell r="K1638" t="str">
            <v>LAF8588</v>
          </cell>
          <cell r="L1638" t="str">
            <v>HD</v>
          </cell>
          <cell r="M1638" t="str">
            <v>x</v>
          </cell>
          <cell r="N1638" t="e">
            <v>#N/A</v>
          </cell>
          <cell r="O1638" t="str">
            <v>HD Round Finned Air Filter with Attached Lid</v>
          </cell>
        </row>
        <row r="1639">
          <cell r="K1639" t="str">
            <v>LAF8889</v>
          </cell>
          <cell r="L1639" t="str">
            <v>HD</v>
          </cell>
          <cell r="M1639" t="str">
            <v>x</v>
          </cell>
          <cell r="N1639" t="e">
            <v>#N/A</v>
          </cell>
          <cell r="O1639" t="str">
            <v>Radial Seal Outer Air Filter</v>
          </cell>
        </row>
        <row r="1640">
          <cell r="K1640" t="str">
            <v>LK9I</v>
          </cell>
          <cell r="L1640" t="str">
            <v>HD</v>
          </cell>
          <cell r="M1640" t="str">
            <v>x</v>
          </cell>
          <cell r="N1640" t="e">
            <v>#N/A</v>
          </cell>
          <cell r="O1640" t="str">
            <v>International Engine Maintenance Kit</v>
          </cell>
        </row>
        <row r="1641">
          <cell r="K1641" t="str">
            <v>LK378M</v>
          </cell>
          <cell r="L1641" t="str">
            <v>HD</v>
          </cell>
          <cell r="O1641" t="str">
            <v>Maintenance Kit</v>
          </cell>
        </row>
        <row r="1642">
          <cell r="K1642" t="str">
            <v>LH4912</v>
          </cell>
          <cell r="L1642" t="str">
            <v>HD</v>
          </cell>
          <cell r="M1642" t="str">
            <v>x</v>
          </cell>
          <cell r="N1642" t="e">
            <v>#N/A</v>
          </cell>
          <cell r="O1642" t="str">
            <v>Cartridge Hydraulic Filter</v>
          </cell>
        </row>
        <row r="1643">
          <cell r="K1643" t="str">
            <v>LAF8102</v>
          </cell>
          <cell r="L1643" t="str">
            <v>HD</v>
          </cell>
          <cell r="M1643" t="str">
            <v>x</v>
          </cell>
          <cell r="N1643" t="e">
            <v>#N/A</v>
          </cell>
          <cell r="O1643" t="str">
            <v>Radial Seal Outer Air Filter</v>
          </cell>
        </row>
        <row r="1644">
          <cell r="K1644" t="str">
            <v>LAF8152</v>
          </cell>
          <cell r="L1644" t="str">
            <v>HD</v>
          </cell>
          <cell r="M1644" t="str">
            <v>x</v>
          </cell>
          <cell r="N1644" t="e">
            <v>#N/A</v>
          </cell>
          <cell r="O1644" t="str">
            <v>Radial Seal Inner Air Filter</v>
          </cell>
        </row>
        <row r="1645">
          <cell r="K1645" t="str">
            <v>LH22143</v>
          </cell>
          <cell r="L1645" t="str">
            <v>HD</v>
          </cell>
          <cell r="M1645" t="str">
            <v>x</v>
          </cell>
          <cell r="N1645" t="e">
            <v>#N/A</v>
          </cell>
          <cell r="O1645" t="str">
            <v>Industrial Cartridge Hydraulic Filter</v>
          </cell>
        </row>
        <row r="1646">
          <cell r="K1646" t="str">
            <v>LK223D</v>
          </cell>
          <cell r="L1646" t="str">
            <v>HD</v>
          </cell>
          <cell r="M1646" t="str">
            <v>x</v>
          </cell>
          <cell r="N1646" t="e">
            <v>#N/A</v>
          </cell>
          <cell r="O1646" t="str">
            <v>Detroit Diesel Engine Maintenance Kit</v>
          </cell>
        </row>
        <row r="1647">
          <cell r="K1647" t="str">
            <v>LK338C</v>
          </cell>
          <cell r="L1647" t="str">
            <v>HD</v>
          </cell>
          <cell r="M1647" t="str">
            <v>x</v>
          </cell>
          <cell r="N1647" t="e">
            <v>#N/A</v>
          </cell>
          <cell r="O1647" t="str">
            <v>Cummins Engine Maintenance Kit</v>
          </cell>
        </row>
        <row r="1648">
          <cell r="K1648" t="str">
            <v>LP2299</v>
          </cell>
          <cell r="L1648" t="str">
            <v>HD</v>
          </cell>
          <cell r="M1648" t="str">
            <v>x</v>
          </cell>
          <cell r="N1648" t="e">
            <v>#N/A</v>
          </cell>
          <cell r="O1648" t="str">
            <v>Cartridge Oil Filter</v>
          </cell>
        </row>
        <row r="1649">
          <cell r="K1649" t="str">
            <v>LP2237</v>
          </cell>
          <cell r="L1649" t="str">
            <v>HD</v>
          </cell>
          <cell r="M1649" t="str">
            <v>x</v>
          </cell>
          <cell r="N1649" t="e">
            <v>#N/A</v>
          </cell>
          <cell r="O1649" t="str">
            <v>Cartridge Oil Filter</v>
          </cell>
        </row>
        <row r="1650">
          <cell r="K1650" t="str">
            <v>LH7035V</v>
          </cell>
          <cell r="L1650" t="str">
            <v>HD</v>
          </cell>
          <cell r="M1650" t="str">
            <v>x</v>
          </cell>
          <cell r="N1650" t="e">
            <v>#N/A</v>
          </cell>
          <cell r="O1650" t="str">
            <v>Cartridge Hydraulic Filter</v>
          </cell>
        </row>
        <row r="1651">
          <cell r="K1651" t="str">
            <v>LFH8460</v>
          </cell>
          <cell r="L1651" t="str">
            <v>HD</v>
          </cell>
          <cell r="M1651" t="str">
            <v>x</v>
          </cell>
          <cell r="N1651" t="e">
            <v>#N/A</v>
          </cell>
          <cell r="O1651" t="str">
            <v>Spin-on Hydraulic Filter</v>
          </cell>
        </row>
        <row r="1652">
          <cell r="K1652" t="str">
            <v>LAF5820</v>
          </cell>
          <cell r="L1652" t="str">
            <v>HD</v>
          </cell>
          <cell r="M1652" t="str">
            <v>x</v>
          </cell>
          <cell r="N1652" t="e">
            <v>#N/A</v>
          </cell>
          <cell r="O1652" t="str">
            <v>Rigid Panel Air Filter</v>
          </cell>
        </row>
        <row r="1653">
          <cell r="K1653" t="str">
            <v>LAF8274</v>
          </cell>
          <cell r="L1653" t="str">
            <v>HD</v>
          </cell>
          <cell r="M1653" t="str">
            <v>x</v>
          </cell>
          <cell r="N1653" t="e">
            <v>#N/A</v>
          </cell>
          <cell r="O1653" t="str">
            <v>Panel Air Filter Metal Framed</v>
          </cell>
        </row>
        <row r="1654">
          <cell r="K1654" t="str">
            <v>LAF4246</v>
          </cell>
          <cell r="L1654" t="str">
            <v>HD</v>
          </cell>
          <cell r="M1654" t="str">
            <v>x</v>
          </cell>
          <cell r="N1654" t="e">
            <v>#N/A</v>
          </cell>
          <cell r="O1654" t="str">
            <v>HD Metal-End Air Filter</v>
          </cell>
        </row>
        <row r="1655">
          <cell r="K1655" t="str">
            <v>LAF5725</v>
          </cell>
          <cell r="L1655" t="str">
            <v>HD</v>
          </cell>
          <cell r="M1655" t="str">
            <v>x</v>
          </cell>
          <cell r="N1655" t="e">
            <v>#N/A</v>
          </cell>
          <cell r="O1655" t="str">
            <v>Radial Seal Inner Air Filter</v>
          </cell>
        </row>
        <row r="1656">
          <cell r="K1656" t="str">
            <v>LP815</v>
          </cell>
          <cell r="L1656" t="str">
            <v>HD</v>
          </cell>
          <cell r="M1656" t="str">
            <v>x</v>
          </cell>
          <cell r="N1656" t="e">
            <v>#N/A</v>
          </cell>
          <cell r="O1656" t="str">
            <v>Cartridge Oil Filter</v>
          </cell>
        </row>
        <row r="1657">
          <cell r="K1657" t="str">
            <v>L663F</v>
          </cell>
          <cell r="L1657" t="str">
            <v>HD</v>
          </cell>
          <cell r="M1657" t="str">
            <v>x</v>
          </cell>
          <cell r="N1657" t="e">
            <v>#N/A</v>
          </cell>
          <cell r="O1657" t="str">
            <v>Cartridge Fuel Filter</v>
          </cell>
        </row>
        <row r="1658">
          <cell r="K1658" t="str">
            <v>LFH4951</v>
          </cell>
          <cell r="L1658" t="str">
            <v>HD</v>
          </cell>
          <cell r="M1658" t="str">
            <v>x</v>
          </cell>
          <cell r="N1658" t="e">
            <v>#N/A</v>
          </cell>
          <cell r="O1658" t="str">
            <v>Spin-on Hydraulic Filter</v>
          </cell>
        </row>
        <row r="1659">
          <cell r="K1659" t="str">
            <v>LAF1822</v>
          </cell>
          <cell r="L1659" t="str">
            <v>HD</v>
          </cell>
          <cell r="M1659" t="str">
            <v>x</v>
          </cell>
          <cell r="N1659" t="str">
            <v>LAF1822</v>
          </cell>
          <cell r="O1659" t="str">
            <v>Metal-End Air Filter with Closed Top End Cap</v>
          </cell>
        </row>
        <row r="1660">
          <cell r="K1660" t="str">
            <v>LFH8222</v>
          </cell>
          <cell r="L1660" t="str">
            <v>HD</v>
          </cell>
          <cell r="M1660" t="str">
            <v>x</v>
          </cell>
          <cell r="N1660" t="e">
            <v>#N/A</v>
          </cell>
          <cell r="O1660" t="str">
            <v>Spin-on Hydraulic Filter</v>
          </cell>
        </row>
        <row r="1661">
          <cell r="K1661" t="str">
            <v>LAF1766</v>
          </cell>
          <cell r="L1661" t="str">
            <v>HD</v>
          </cell>
          <cell r="M1661" t="str">
            <v>x</v>
          </cell>
          <cell r="N1661" t="e">
            <v>#N/A</v>
          </cell>
          <cell r="O1661" t="str">
            <v>Round Air Filter</v>
          </cell>
        </row>
        <row r="1662">
          <cell r="K1662" t="str">
            <v>LAF1851</v>
          </cell>
          <cell r="L1662" t="str">
            <v>HD</v>
          </cell>
          <cell r="M1662" t="str">
            <v>x</v>
          </cell>
          <cell r="N1662" t="e">
            <v>#N/A</v>
          </cell>
          <cell r="O1662" t="str">
            <v>HD Metal-End Air Filter</v>
          </cell>
        </row>
        <row r="1663">
          <cell r="K1663">
            <v>200</v>
          </cell>
          <cell r="L1663" t="str">
            <v>HD</v>
          </cell>
          <cell r="M1663" t="str">
            <v>x</v>
          </cell>
          <cell r="N1663" t="e">
            <v>#N/A</v>
          </cell>
          <cell r="O1663" t="str">
            <v>Luber-finer model 200S diesel pak oil filter</v>
          </cell>
        </row>
        <row r="1664">
          <cell r="K1664" t="str">
            <v>PACK</v>
          </cell>
          <cell r="L1664" t="str">
            <v>HD</v>
          </cell>
          <cell r="M1664" t="str">
            <v>x</v>
          </cell>
          <cell r="N1664" t="e">
            <v>#N/A</v>
          </cell>
          <cell r="O1664" t="str">
            <v>Hold Down Stud/750-2C, 3C, 970-C</v>
          </cell>
        </row>
        <row r="1665">
          <cell r="K1665" t="str">
            <v>LAF8567</v>
          </cell>
          <cell r="L1665" t="str">
            <v>HD</v>
          </cell>
          <cell r="M1665" t="str">
            <v>x</v>
          </cell>
          <cell r="N1665" t="e">
            <v>#N/A</v>
          </cell>
          <cell r="O1665" t="str">
            <v>HD Metal-End Air Filter</v>
          </cell>
        </row>
        <row r="1666">
          <cell r="K1666" t="str">
            <v>FP901F</v>
          </cell>
          <cell r="L1666" t="str">
            <v>HD</v>
          </cell>
          <cell r="M1666" t="str">
            <v>x</v>
          </cell>
          <cell r="N1666" t="e">
            <v>#N/A</v>
          </cell>
          <cell r="O1666" t="str">
            <v>Spin-on Fuel Filter</v>
          </cell>
        </row>
        <row r="1667">
          <cell r="K1667" t="str">
            <v>LAF1952</v>
          </cell>
          <cell r="L1667" t="str">
            <v>HD</v>
          </cell>
          <cell r="M1667" t="str">
            <v>x</v>
          </cell>
          <cell r="N1667" t="str">
            <v>LAF1952</v>
          </cell>
          <cell r="O1667" t="str">
            <v>HD Metal-End Inner Air Filter</v>
          </cell>
        </row>
        <row r="1668">
          <cell r="K1668" t="str">
            <v>LAF8494MXM</v>
          </cell>
          <cell r="L1668" t="str">
            <v>HD</v>
          </cell>
          <cell r="M1668" t="str">
            <v>x</v>
          </cell>
          <cell r="N1668" t="e">
            <v>#N/A</v>
          </cell>
          <cell r="O1668" t="str">
            <v xml:space="preserve">Nano Tech Air Filter HD Metal-End </v>
          </cell>
        </row>
        <row r="1669">
          <cell r="K1669" t="str">
            <v>LAF8828</v>
          </cell>
          <cell r="L1669" t="str">
            <v>HD</v>
          </cell>
          <cell r="M1669" t="str">
            <v>x</v>
          </cell>
          <cell r="N1669" t="e">
            <v>#N/A</v>
          </cell>
          <cell r="O1669" t="str">
            <v>HD Metal-End Air Filter-Inner</v>
          </cell>
        </row>
        <row r="1670">
          <cell r="K1670" t="str">
            <v>LAF863</v>
          </cell>
          <cell r="L1670" t="str">
            <v>HD</v>
          </cell>
          <cell r="M1670" t="str">
            <v>x</v>
          </cell>
          <cell r="N1670" t="e">
            <v>#N/A</v>
          </cell>
          <cell r="O1670" t="str">
            <v>HD Metal-End Air Filter</v>
          </cell>
        </row>
        <row r="1671">
          <cell r="K1671" t="str">
            <v>LFH4953</v>
          </cell>
          <cell r="L1671" t="str">
            <v>HD</v>
          </cell>
          <cell r="M1671" t="str">
            <v>x</v>
          </cell>
          <cell r="N1671" t="e">
            <v>#N/A</v>
          </cell>
          <cell r="O1671" t="str">
            <v>Spin-on Hydraulic Filter</v>
          </cell>
        </row>
        <row r="1672">
          <cell r="K1672" t="str">
            <v>LAF3709</v>
          </cell>
          <cell r="L1672" t="str">
            <v>HD</v>
          </cell>
          <cell r="M1672" t="str">
            <v>x</v>
          </cell>
          <cell r="N1672" t="e">
            <v>#N/A</v>
          </cell>
          <cell r="O1672" t="str">
            <v>Round Air Filter</v>
          </cell>
        </row>
        <row r="1673">
          <cell r="K1673" t="str">
            <v>LAF8779</v>
          </cell>
          <cell r="L1673" t="str">
            <v>HD</v>
          </cell>
          <cell r="M1673" t="str">
            <v>x</v>
          </cell>
          <cell r="N1673" t="e">
            <v>#N/A</v>
          </cell>
          <cell r="O1673" t="str">
            <v>Panel Air Filter Metal Framed</v>
          </cell>
        </row>
        <row r="1674">
          <cell r="K1674" t="str">
            <v>LAF9155MXM</v>
          </cell>
          <cell r="L1674" t="str">
            <v>HD</v>
          </cell>
          <cell r="M1674" t="str">
            <v>x</v>
          </cell>
          <cell r="N1674" t="e">
            <v>#N/A</v>
          </cell>
          <cell r="O1674" t="str">
            <v xml:space="preserve">Nano Tech Air Filter HD Metal-End </v>
          </cell>
        </row>
        <row r="1675">
          <cell r="K1675" t="str">
            <v>LAF3918</v>
          </cell>
          <cell r="L1675" t="str">
            <v>HD</v>
          </cell>
          <cell r="M1675" t="str">
            <v>x</v>
          </cell>
          <cell r="N1675" t="e">
            <v>#N/A</v>
          </cell>
          <cell r="O1675" t="str">
            <v>HD Metal-End Air Filter</v>
          </cell>
        </row>
        <row r="1676">
          <cell r="K1676" t="str">
            <v>LK143C</v>
          </cell>
          <cell r="L1676" t="str">
            <v>HD</v>
          </cell>
          <cell r="M1676" t="str">
            <v>x</v>
          </cell>
          <cell r="N1676" t="e">
            <v>#N/A</v>
          </cell>
          <cell r="O1676" t="str">
            <v>Cummins Engine Maintenance Kit</v>
          </cell>
        </row>
        <row r="1677">
          <cell r="K1677" t="str">
            <v>LAF335</v>
          </cell>
          <cell r="L1677" t="str">
            <v>HD</v>
          </cell>
          <cell r="M1677" t="str">
            <v>x</v>
          </cell>
          <cell r="N1677" t="e">
            <v>#N/A</v>
          </cell>
          <cell r="O1677" t="str">
            <v>Round Inner Air Filter with Flanged Endcap</v>
          </cell>
        </row>
        <row r="1678">
          <cell r="K1678" t="str">
            <v>LP6028-5</v>
          </cell>
          <cell r="L1678" t="str">
            <v>HD</v>
          </cell>
          <cell r="M1678" t="str">
            <v>x</v>
          </cell>
          <cell r="N1678" t="e">
            <v>#N/A</v>
          </cell>
          <cell r="O1678" t="str">
            <v>Cartridge Oil Filter</v>
          </cell>
        </row>
        <row r="1679">
          <cell r="K1679" t="str">
            <v>LH4911</v>
          </cell>
          <cell r="L1679" t="str">
            <v>HD</v>
          </cell>
          <cell r="M1679" t="str">
            <v>x</v>
          </cell>
          <cell r="N1679" t="e">
            <v>#N/A</v>
          </cell>
          <cell r="O1679" t="str">
            <v>Cartridge Hydraulic Filter</v>
          </cell>
        </row>
        <row r="1680">
          <cell r="K1680" t="str">
            <v>LAF3233FR</v>
          </cell>
          <cell r="L1680" t="str">
            <v>HD</v>
          </cell>
          <cell r="M1680" t="str">
            <v>x</v>
          </cell>
          <cell r="N1680" t="e">
            <v>#N/A</v>
          </cell>
          <cell r="O1680" t="str">
            <v>Corrugated Media Air Filter</v>
          </cell>
        </row>
        <row r="1681">
          <cell r="K1681" t="str">
            <v>LP970-10</v>
          </cell>
          <cell r="L1681" t="str">
            <v>HD</v>
          </cell>
          <cell r="M1681" t="str">
            <v>x</v>
          </cell>
          <cell r="N1681" t="e">
            <v>#N/A</v>
          </cell>
          <cell r="O1681" t="str">
            <v>Cartridge Oil Filter</v>
          </cell>
        </row>
        <row r="1682">
          <cell r="K1682" t="str">
            <v>LAF8822</v>
          </cell>
          <cell r="L1682" t="str">
            <v>HD</v>
          </cell>
          <cell r="M1682" t="str">
            <v>x</v>
          </cell>
          <cell r="N1682" t="e">
            <v>#N/A</v>
          </cell>
          <cell r="O1682" t="str">
            <v>HD Round Finned Air Filter with Attached Lid</v>
          </cell>
        </row>
        <row r="1683">
          <cell r="K1683" t="str">
            <v>LAF1967</v>
          </cell>
          <cell r="L1683" t="str">
            <v>HD</v>
          </cell>
          <cell r="M1683" t="str">
            <v>x</v>
          </cell>
          <cell r="N1683" t="e">
            <v>#N/A</v>
          </cell>
          <cell r="O1683" t="str">
            <v>HD Metal-End Air Filter</v>
          </cell>
        </row>
        <row r="1684">
          <cell r="K1684" t="str">
            <v>LAF1870</v>
          </cell>
          <cell r="L1684" t="str">
            <v>HD</v>
          </cell>
          <cell r="M1684" t="str">
            <v>x</v>
          </cell>
          <cell r="N1684" t="e">
            <v>#N/A</v>
          </cell>
          <cell r="O1684" t="str">
            <v>Flexible Panel Air Filter</v>
          </cell>
        </row>
        <row r="1685">
          <cell r="K1685" t="str">
            <v>LAF2530</v>
          </cell>
          <cell r="L1685" t="str">
            <v>HD</v>
          </cell>
          <cell r="M1685" t="str">
            <v>x</v>
          </cell>
          <cell r="N1685" t="e">
            <v>#N/A</v>
          </cell>
          <cell r="O1685" t="str">
            <v>Disposible Housing Air Filter</v>
          </cell>
        </row>
        <row r="1686">
          <cell r="K1686" t="str">
            <v>LH4235</v>
          </cell>
          <cell r="L1686" t="str">
            <v>HD</v>
          </cell>
          <cell r="M1686" t="str">
            <v>x</v>
          </cell>
          <cell r="N1686" t="e">
            <v>#N/A</v>
          </cell>
          <cell r="O1686" t="str">
            <v>Cartridge Hydraulic Filter</v>
          </cell>
        </row>
        <row r="1687">
          <cell r="K1687" t="str">
            <v>LH4252</v>
          </cell>
          <cell r="L1687" t="str">
            <v>HD</v>
          </cell>
          <cell r="M1687" t="str">
            <v>x</v>
          </cell>
          <cell r="N1687" t="e">
            <v>#N/A</v>
          </cell>
          <cell r="O1687" t="str">
            <v>Cartridge Hydraulic Filter</v>
          </cell>
        </row>
        <row r="1688">
          <cell r="K1688" t="str">
            <v>LFH8535</v>
          </cell>
          <cell r="L1688" t="str">
            <v>HD</v>
          </cell>
          <cell r="M1688" t="str">
            <v>x</v>
          </cell>
          <cell r="N1688" t="e">
            <v>#N/A</v>
          </cell>
          <cell r="O1688" t="str">
            <v>Spin-on Hydraulic Filter</v>
          </cell>
        </row>
        <row r="1689">
          <cell r="K1689" t="str">
            <v>LAF8818</v>
          </cell>
          <cell r="L1689" t="str">
            <v>HD</v>
          </cell>
          <cell r="M1689" t="str">
            <v>x</v>
          </cell>
          <cell r="N1689" t="e">
            <v>#N/A</v>
          </cell>
          <cell r="O1689" t="str">
            <v>HD Round Finned Air Filter with Attached Lid</v>
          </cell>
        </row>
        <row r="1690">
          <cell r="K1690">
            <v>920055</v>
          </cell>
          <cell r="L1690" t="str">
            <v>HD</v>
          </cell>
          <cell r="M1690" t="str">
            <v>x</v>
          </cell>
          <cell r="N1690" t="e">
            <v>#N/A</v>
          </cell>
          <cell r="O1690" t="str">
            <v>Lubercool II 55 Gallon Drum</v>
          </cell>
        </row>
        <row r="1691">
          <cell r="K1691" t="str">
            <v>LH8304</v>
          </cell>
          <cell r="L1691" t="str">
            <v>HD</v>
          </cell>
          <cell r="M1691" t="str">
            <v>x</v>
          </cell>
          <cell r="N1691" t="e">
            <v>#N/A</v>
          </cell>
          <cell r="O1691" t="str">
            <v>Cartridge Hydraulic Filter</v>
          </cell>
        </row>
        <row r="1692">
          <cell r="K1692" t="str">
            <v>LAF1847</v>
          </cell>
          <cell r="L1692" t="str">
            <v>HD</v>
          </cell>
          <cell r="M1692" t="str">
            <v>x</v>
          </cell>
          <cell r="N1692" t="e">
            <v>#N/A</v>
          </cell>
          <cell r="O1692" t="str">
            <v>Round Inner Air Filter with Flanged Endcap</v>
          </cell>
        </row>
        <row r="1693">
          <cell r="K1693" t="str">
            <v>LAF8561</v>
          </cell>
          <cell r="L1693" t="str">
            <v>HD</v>
          </cell>
          <cell r="M1693" t="str">
            <v>x</v>
          </cell>
          <cell r="N1693" t="e">
            <v>#N/A</v>
          </cell>
          <cell r="O1693" t="str">
            <v>Finned Vane Air Filter</v>
          </cell>
        </row>
        <row r="1694">
          <cell r="K1694" t="str">
            <v>L22060F</v>
          </cell>
          <cell r="L1694" t="str">
            <v>HD</v>
          </cell>
          <cell r="M1694" t="str">
            <v>x</v>
          </cell>
          <cell r="N1694" t="e">
            <v>#N/A</v>
          </cell>
          <cell r="O1694" t="str">
            <v>Cartridge Fuel Filter</v>
          </cell>
        </row>
        <row r="1695">
          <cell r="K1695" t="str">
            <v>LFH5896</v>
          </cell>
          <cell r="L1695" t="str">
            <v>HD</v>
          </cell>
          <cell r="M1695" t="str">
            <v>x</v>
          </cell>
          <cell r="N1695" t="e">
            <v>#N/A</v>
          </cell>
          <cell r="O1695" t="str">
            <v>Spin-on Hydraulic Filter</v>
          </cell>
        </row>
        <row r="1696">
          <cell r="K1696" t="str">
            <v>LAF1817</v>
          </cell>
          <cell r="L1696" t="str">
            <v>HD</v>
          </cell>
          <cell r="M1696" t="str">
            <v>x</v>
          </cell>
          <cell r="N1696" t="e">
            <v>#N/A</v>
          </cell>
          <cell r="O1696" t="str">
            <v>HD Metal-End Air Filter</v>
          </cell>
        </row>
        <row r="1697">
          <cell r="K1697" t="str">
            <v>LAF8155</v>
          </cell>
          <cell r="L1697" t="str">
            <v>HD</v>
          </cell>
          <cell r="M1697" t="str">
            <v>x</v>
          </cell>
          <cell r="N1697" t="e">
            <v>#N/A</v>
          </cell>
          <cell r="O1697" t="str">
            <v>HD Round Air Filter with Attached Boot</v>
          </cell>
        </row>
        <row r="1698">
          <cell r="K1698" t="str">
            <v>LAF5081</v>
          </cell>
          <cell r="L1698" t="str">
            <v>HD</v>
          </cell>
          <cell r="M1698" t="str">
            <v>x</v>
          </cell>
          <cell r="N1698" t="e">
            <v>#N/A</v>
          </cell>
          <cell r="O1698" t="str">
            <v>HD Metal-End Air Filter</v>
          </cell>
        </row>
        <row r="1699">
          <cell r="K1699" t="str">
            <v>LFF90011</v>
          </cell>
          <cell r="L1699" t="str">
            <v>HD</v>
          </cell>
          <cell r="M1699" t="str">
            <v>x</v>
          </cell>
          <cell r="N1699" t="e">
            <v>#N/A</v>
          </cell>
          <cell r="O1699" t="str">
            <v>Spin-on Fuel Filter</v>
          </cell>
        </row>
        <row r="1700">
          <cell r="K1700" t="str">
            <v>LAF4149</v>
          </cell>
          <cell r="L1700" t="str">
            <v>HD</v>
          </cell>
          <cell r="M1700" t="str">
            <v>x</v>
          </cell>
          <cell r="N1700" t="e">
            <v>#N/A</v>
          </cell>
          <cell r="O1700" t="str">
            <v>HD Metal-End Air Filter</v>
          </cell>
        </row>
        <row r="1701">
          <cell r="K1701" t="str">
            <v>L1874T</v>
          </cell>
          <cell r="L1701" t="str">
            <v>HD</v>
          </cell>
          <cell r="M1701" t="str">
            <v>x</v>
          </cell>
          <cell r="N1701" t="e">
            <v>#N/A</v>
          </cell>
          <cell r="O1701" t="str">
            <v>Sock Type Oil Filter</v>
          </cell>
        </row>
        <row r="1702">
          <cell r="K1702" t="str">
            <v>LK297M</v>
          </cell>
          <cell r="L1702" t="str">
            <v>HD</v>
          </cell>
          <cell r="M1702" t="str">
            <v>x</v>
          </cell>
          <cell r="N1702" t="e">
            <v>#N/A</v>
          </cell>
          <cell r="O1702" t="str">
            <v>Mack Engine Maintenance Kit</v>
          </cell>
        </row>
        <row r="1703">
          <cell r="K1703" t="str">
            <v>LAF8764</v>
          </cell>
          <cell r="L1703" t="str">
            <v>HD</v>
          </cell>
          <cell r="M1703" t="str">
            <v>x</v>
          </cell>
          <cell r="N1703" t="e">
            <v>#N/A</v>
          </cell>
          <cell r="O1703" t="str">
            <v>Disposible Housing Air Filter</v>
          </cell>
        </row>
        <row r="1704">
          <cell r="K1704" t="str">
            <v>LP2220N</v>
          </cell>
          <cell r="L1704" t="str">
            <v>HD</v>
          </cell>
          <cell r="M1704" t="str">
            <v>x</v>
          </cell>
          <cell r="N1704" t="e">
            <v>#N/A</v>
          </cell>
          <cell r="O1704" t="str">
            <v>Cartridge Oil Filter</v>
          </cell>
        </row>
        <row r="1705">
          <cell r="K1705" t="str">
            <v>LAF1796</v>
          </cell>
          <cell r="L1705" t="str">
            <v>HD</v>
          </cell>
          <cell r="M1705" t="str">
            <v>x</v>
          </cell>
          <cell r="N1705" t="e">
            <v>#N/A</v>
          </cell>
          <cell r="O1705" t="str">
            <v>Metal-End Air Filter with Closed Top End Cap</v>
          </cell>
        </row>
        <row r="1706">
          <cell r="K1706" t="str">
            <v>LAF5821</v>
          </cell>
          <cell r="L1706" t="str">
            <v>HD</v>
          </cell>
          <cell r="M1706" t="str">
            <v>x</v>
          </cell>
          <cell r="N1706" t="e">
            <v>#N/A</v>
          </cell>
          <cell r="O1706" t="str">
            <v>Rigid Panel Air Filter</v>
          </cell>
        </row>
        <row r="1707">
          <cell r="K1707" t="str">
            <v>LAF8112</v>
          </cell>
          <cell r="L1707" t="str">
            <v>HD</v>
          </cell>
          <cell r="M1707" t="str">
            <v>x</v>
          </cell>
          <cell r="N1707" t="e">
            <v>#N/A</v>
          </cell>
          <cell r="O1707" t="str">
            <v>Radial Seal Outer Air Filter</v>
          </cell>
        </row>
        <row r="1708">
          <cell r="K1708" t="str">
            <v>LAF1971</v>
          </cell>
          <cell r="L1708" t="str">
            <v>HD</v>
          </cell>
          <cell r="M1708" t="str">
            <v>x</v>
          </cell>
          <cell r="N1708" t="e">
            <v>#N/A</v>
          </cell>
          <cell r="O1708" t="str">
            <v>HD Metal-End Air Filter-Inner</v>
          </cell>
        </row>
        <row r="1709">
          <cell r="K1709" t="str">
            <v>LH4994</v>
          </cell>
          <cell r="L1709" t="str">
            <v>HD</v>
          </cell>
          <cell r="M1709" t="str">
            <v>x</v>
          </cell>
          <cell r="N1709" t="e">
            <v>#N/A</v>
          </cell>
          <cell r="O1709" t="str">
            <v>Cartridge Hydraulic Filter</v>
          </cell>
        </row>
        <row r="1710">
          <cell r="K1710" t="str">
            <v>LAF8603</v>
          </cell>
          <cell r="L1710" t="str">
            <v>HD</v>
          </cell>
          <cell r="M1710" t="str">
            <v>x</v>
          </cell>
          <cell r="N1710" t="e">
            <v>#N/A</v>
          </cell>
          <cell r="O1710" t="str">
            <v>HD Round Finned Air Filter with Attached Lid</v>
          </cell>
        </row>
        <row r="1711">
          <cell r="K1711" t="str">
            <v>LP1655</v>
          </cell>
          <cell r="L1711" t="str">
            <v>HD</v>
          </cell>
          <cell r="M1711" t="str">
            <v>x</v>
          </cell>
          <cell r="N1711" t="e">
            <v>#N/A</v>
          </cell>
          <cell r="O1711" t="str">
            <v>Cartridge Oil Filter</v>
          </cell>
        </row>
        <row r="1712">
          <cell r="K1712" t="str">
            <v>LFP3791</v>
          </cell>
          <cell r="L1712" t="str">
            <v>HD</v>
          </cell>
          <cell r="M1712" t="str">
            <v>x</v>
          </cell>
          <cell r="N1712" t="e">
            <v>#N/A</v>
          </cell>
          <cell r="O1712" t="str">
            <v>Spin-on Oil Filter</v>
          </cell>
        </row>
        <row r="1713">
          <cell r="K1713" t="str">
            <v>LAF8084</v>
          </cell>
          <cell r="L1713" t="str">
            <v>HD</v>
          </cell>
          <cell r="M1713" t="str">
            <v>x</v>
          </cell>
          <cell r="N1713" t="e">
            <v>#N/A</v>
          </cell>
          <cell r="O1713" t="str">
            <v>HD Metal-End Air Filter with Attached Lid</v>
          </cell>
        </row>
        <row r="1714">
          <cell r="K1714" t="str">
            <v>LAF1866</v>
          </cell>
          <cell r="L1714" t="str">
            <v>HD</v>
          </cell>
          <cell r="M1714" t="str">
            <v>x</v>
          </cell>
          <cell r="N1714" t="str">
            <v>LAF1866</v>
          </cell>
          <cell r="O1714" t="str">
            <v>Finned Vane Air Filter</v>
          </cell>
        </row>
        <row r="1715">
          <cell r="K1715" t="str">
            <v>L9550FXL</v>
          </cell>
          <cell r="L1715" t="str">
            <v>HD</v>
          </cell>
          <cell r="M1715" t="str">
            <v>x</v>
          </cell>
          <cell r="N1715" t="e">
            <v>#N/A</v>
          </cell>
          <cell r="O1715" t="str">
            <v>Extended Life Cartridge Fuel Filter</v>
          </cell>
        </row>
        <row r="1716">
          <cell r="K1716" t="str">
            <v>LAF2543</v>
          </cell>
          <cell r="L1716" t="str">
            <v>HD</v>
          </cell>
          <cell r="M1716" t="str">
            <v>x</v>
          </cell>
          <cell r="N1716" t="e">
            <v>#N/A</v>
          </cell>
          <cell r="O1716" t="str">
            <v>HD Metal-End Air Filter</v>
          </cell>
        </row>
        <row r="1717">
          <cell r="K1717" t="str">
            <v>LAF8190</v>
          </cell>
          <cell r="L1717" t="str">
            <v>HD</v>
          </cell>
          <cell r="M1717" t="str">
            <v>x</v>
          </cell>
          <cell r="N1717" t="e">
            <v>#N/A</v>
          </cell>
          <cell r="O1717" t="str">
            <v>Round Air Filter</v>
          </cell>
        </row>
        <row r="1718">
          <cell r="K1718" t="str">
            <v>LH11024V</v>
          </cell>
          <cell r="L1718" t="str">
            <v>HD</v>
          </cell>
          <cell r="M1718" t="str">
            <v>x</v>
          </cell>
          <cell r="N1718" t="e">
            <v>#N/A</v>
          </cell>
          <cell r="O1718" t="str">
            <v>Industrial Cartridge Hydraulic Filter</v>
          </cell>
        </row>
        <row r="1719">
          <cell r="K1719" t="str">
            <v>LAF22024</v>
          </cell>
          <cell r="L1719" t="str">
            <v>HD</v>
          </cell>
          <cell r="M1719" t="str">
            <v>x</v>
          </cell>
          <cell r="N1719" t="e">
            <v>#N/A</v>
          </cell>
          <cell r="O1719" t="str">
            <v>Oval Air Filter</v>
          </cell>
        </row>
        <row r="1720">
          <cell r="K1720" t="str">
            <v>LAF3901</v>
          </cell>
          <cell r="L1720" t="str">
            <v>HD</v>
          </cell>
          <cell r="M1720" t="str">
            <v>x</v>
          </cell>
          <cell r="N1720" t="e">
            <v>#N/A</v>
          </cell>
          <cell r="O1720" t="str">
            <v>Round Air Filter with Flanged Endcap</v>
          </cell>
        </row>
        <row r="1721">
          <cell r="K1721" t="str">
            <v>LH4924</v>
          </cell>
          <cell r="L1721" t="str">
            <v>HD</v>
          </cell>
          <cell r="M1721" t="str">
            <v>x</v>
          </cell>
          <cell r="N1721" t="e">
            <v>#N/A</v>
          </cell>
          <cell r="O1721" t="str">
            <v>Cartridge Hydraulic Filter</v>
          </cell>
        </row>
        <row r="1722">
          <cell r="K1722" t="str">
            <v>LAF8999</v>
          </cell>
          <cell r="L1722" t="str">
            <v>HD</v>
          </cell>
          <cell r="M1722" t="str">
            <v>x</v>
          </cell>
          <cell r="N1722" t="e">
            <v>#N/A</v>
          </cell>
          <cell r="O1722" t="str">
            <v>Cabin Air Filter</v>
          </cell>
        </row>
        <row r="1723">
          <cell r="K1723" t="str">
            <v>LAF2540</v>
          </cell>
          <cell r="L1723" t="str">
            <v>HD</v>
          </cell>
          <cell r="M1723" t="str">
            <v>x</v>
          </cell>
          <cell r="N1723" t="e">
            <v>#N/A</v>
          </cell>
          <cell r="O1723" t="str">
            <v>HD Metal-End Air Filter</v>
          </cell>
        </row>
        <row r="1724">
          <cell r="K1724" t="str">
            <v>LFP8235</v>
          </cell>
          <cell r="L1724" t="str">
            <v>HD</v>
          </cell>
          <cell r="M1724" t="str">
            <v>x</v>
          </cell>
          <cell r="N1724" t="e">
            <v>#N/A</v>
          </cell>
          <cell r="O1724" t="str">
            <v>Spin-on Oil Filter</v>
          </cell>
        </row>
        <row r="1725">
          <cell r="K1725" t="str">
            <v>LAF1998</v>
          </cell>
          <cell r="L1725" t="str">
            <v>HD</v>
          </cell>
          <cell r="M1725" t="str">
            <v>x</v>
          </cell>
          <cell r="N1725" t="e">
            <v>#N/A</v>
          </cell>
          <cell r="O1725" t="str">
            <v>Screw On Breather Air Filter</v>
          </cell>
        </row>
        <row r="1726">
          <cell r="K1726" t="str">
            <v>LFH4472</v>
          </cell>
          <cell r="L1726" t="str">
            <v>HD</v>
          </cell>
          <cell r="M1726" t="str">
            <v>x</v>
          </cell>
          <cell r="N1726" t="e">
            <v>#N/A</v>
          </cell>
          <cell r="O1726" t="str">
            <v>Spin-on Hydraulic Filter</v>
          </cell>
        </row>
        <row r="1727">
          <cell r="K1727" t="str">
            <v>LAF1990</v>
          </cell>
          <cell r="L1727" t="str">
            <v>HD</v>
          </cell>
          <cell r="M1727" t="str">
            <v>x</v>
          </cell>
          <cell r="N1727" t="e">
            <v>#N/A</v>
          </cell>
          <cell r="O1727" t="str">
            <v>HD Metal-End Inner Air Filter</v>
          </cell>
        </row>
        <row r="1728">
          <cell r="K1728" t="str">
            <v>500CT</v>
          </cell>
          <cell r="L1728" t="str">
            <v>HD</v>
          </cell>
          <cell r="M1728" t="str">
            <v>x</v>
          </cell>
          <cell r="N1728" t="e">
            <v>#N/A</v>
          </cell>
          <cell r="O1728" t="str">
            <v>Standard Upright 500-C Unit w/Imperial  Diesel Pack</v>
          </cell>
        </row>
        <row r="1729">
          <cell r="K1729" t="str">
            <v>LAF8405</v>
          </cell>
          <cell r="L1729" t="str">
            <v>HD</v>
          </cell>
          <cell r="M1729" t="str">
            <v>x</v>
          </cell>
          <cell r="N1729" t="e">
            <v>#N/A</v>
          </cell>
          <cell r="O1729" t="str">
            <v>Radial Seal Inner Air Filter</v>
          </cell>
        </row>
        <row r="1730">
          <cell r="K1730" t="str">
            <v>LAF8111</v>
          </cell>
          <cell r="L1730" t="str">
            <v>HD</v>
          </cell>
          <cell r="M1730" t="str">
            <v>x</v>
          </cell>
          <cell r="N1730" t="e">
            <v>#N/A</v>
          </cell>
          <cell r="O1730" t="str">
            <v>Radial Seal Inner Air Filter</v>
          </cell>
        </row>
        <row r="1731">
          <cell r="K1731" t="str">
            <v>LH95105V</v>
          </cell>
          <cell r="L1731" t="str">
            <v>HD</v>
          </cell>
          <cell r="M1731" t="str">
            <v>x</v>
          </cell>
          <cell r="N1731" t="e">
            <v>#N/A</v>
          </cell>
          <cell r="O1731" t="str">
            <v>Cartridge Hydraulic Filter</v>
          </cell>
        </row>
        <row r="1732">
          <cell r="K1732" t="str">
            <v>LAF431</v>
          </cell>
          <cell r="L1732" t="str">
            <v>HD</v>
          </cell>
          <cell r="M1732" t="str">
            <v>x</v>
          </cell>
          <cell r="N1732" t="e">
            <v>#N/A</v>
          </cell>
          <cell r="O1732" t="str">
            <v>HD Metal-End Air Filter</v>
          </cell>
        </row>
        <row r="1733">
          <cell r="K1733" t="str">
            <v>LFP2200K</v>
          </cell>
          <cell r="L1733" t="str">
            <v>HD</v>
          </cell>
          <cell r="M1733" t="str">
            <v>x</v>
          </cell>
          <cell r="N1733" t="e">
            <v>#N/A</v>
          </cell>
          <cell r="O1733" t="str">
            <v>Coalescer Fuel Filter and Mounting Base</v>
          </cell>
        </row>
        <row r="1734">
          <cell r="K1734" t="str">
            <v>LAF4503MXM</v>
          </cell>
          <cell r="L1734" t="str">
            <v>HD</v>
          </cell>
          <cell r="M1734" t="str">
            <v>x</v>
          </cell>
          <cell r="N1734" t="e">
            <v>#N/A</v>
          </cell>
          <cell r="O1734" t="str">
            <v>Nano Tech Radial Seal Air Filter</v>
          </cell>
        </row>
        <row r="1735">
          <cell r="K1735" t="str">
            <v>LH4901</v>
          </cell>
          <cell r="L1735" t="str">
            <v>HD</v>
          </cell>
          <cell r="M1735" t="str">
            <v>x</v>
          </cell>
          <cell r="N1735" t="e">
            <v>#N/A</v>
          </cell>
          <cell r="O1735" t="str">
            <v>Cartridge Hydraulic Filter</v>
          </cell>
        </row>
        <row r="1736">
          <cell r="K1736" t="str">
            <v>LAF4272</v>
          </cell>
          <cell r="L1736" t="str">
            <v>HD</v>
          </cell>
          <cell r="M1736" t="str">
            <v>x</v>
          </cell>
          <cell r="N1736" t="e">
            <v>#N/A</v>
          </cell>
          <cell r="O1736" t="str">
            <v>Round Air Filter</v>
          </cell>
        </row>
        <row r="1737">
          <cell r="K1737" t="str">
            <v>LAF8218</v>
          </cell>
          <cell r="L1737" t="str">
            <v>HD</v>
          </cell>
          <cell r="M1737" t="str">
            <v>x</v>
          </cell>
          <cell r="N1737" t="e">
            <v>#N/A</v>
          </cell>
          <cell r="O1737" t="str">
            <v>HD Metal-End Inner Air Filter</v>
          </cell>
        </row>
        <row r="1738">
          <cell r="K1738" t="str">
            <v>LAF8838</v>
          </cell>
          <cell r="L1738" t="str">
            <v>HD</v>
          </cell>
          <cell r="M1738" t="str">
            <v>x</v>
          </cell>
          <cell r="N1738" t="e">
            <v>#N/A</v>
          </cell>
          <cell r="O1738" t="str">
            <v>Radial Seal Outer Air Filter</v>
          </cell>
        </row>
        <row r="1739">
          <cell r="K1739" t="str">
            <v>LAF3785</v>
          </cell>
          <cell r="L1739" t="str">
            <v>HD</v>
          </cell>
          <cell r="M1739" t="str">
            <v>x</v>
          </cell>
          <cell r="N1739" t="e">
            <v>#N/A</v>
          </cell>
          <cell r="O1739" t="str">
            <v>Metal-End Air Filter with Closed Top End Cap</v>
          </cell>
        </row>
        <row r="1740">
          <cell r="K1740" t="str">
            <v>LAF8515</v>
          </cell>
          <cell r="L1740" t="str">
            <v>HD</v>
          </cell>
          <cell r="M1740" t="str">
            <v>x</v>
          </cell>
          <cell r="N1740" t="e">
            <v>#N/A</v>
          </cell>
          <cell r="O1740" t="str">
            <v>HD Round Finned Air Filter with Attached Lid</v>
          </cell>
        </row>
        <row r="1741">
          <cell r="K1741" t="str">
            <v>LK208C</v>
          </cell>
          <cell r="L1741" t="str">
            <v>HD</v>
          </cell>
          <cell r="M1741" t="str">
            <v>x</v>
          </cell>
          <cell r="N1741" t="e">
            <v>#N/A</v>
          </cell>
          <cell r="O1741" t="str">
            <v>Cummins Engine Maintenance Kit</v>
          </cell>
        </row>
        <row r="1742">
          <cell r="K1742" t="str">
            <v>LH95282V</v>
          </cell>
          <cell r="L1742" t="str">
            <v>HD</v>
          </cell>
          <cell r="M1742" t="str">
            <v>x</v>
          </cell>
          <cell r="N1742" t="e">
            <v>#N/A</v>
          </cell>
          <cell r="O1742" t="str">
            <v>Cartridge Hydraulic Filter</v>
          </cell>
        </row>
        <row r="1743">
          <cell r="K1743" t="str">
            <v>LH5008</v>
          </cell>
          <cell r="L1743" t="str">
            <v>HD</v>
          </cell>
          <cell r="M1743" t="str">
            <v>x</v>
          </cell>
          <cell r="N1743" t="e">
            <v>#N/A</v>
          </cell>
          <cell r="O1743" t="str">
            <v>Cartridge Hydraulic Filter</v>
          </cell>
        </row>
        <row r="1744">
          <cell r="K1744" t="str">
            <v>LH5007</v>
          </cell>
          <cell r="L1744" t="str">
            <v>HD</v>
          </cell>
          <cell r="M1744" t="str">
            <v>x</v>
          </cell>
          <cell r="N1744" t="e">
            <v>#N/A</v>
          </cell>
          <cell r="O1744" t="str">
            <v>Cartridge Hydraulic Filter</v>
          </cell>
        </row>
        <row r="1745">
          <cell r="K1745" t="str">
            <v>L43F</v>
          </cell>
          <cell r="L1745" t="str">
            <v>HD</v>
          </cell>
          <cell r="M1745" t="str">
            <v>x</v>
          </cell>
          <cell r="N1745" t="e">
            <v>#N/A</v>
          </cell>
          <cell r="O1745" t="str">
            <v>Cartridge Fuel Filter</v>
          </cell>
        </row>
        <row r="1746">
          <cell r="K1746" t="str">
            <v>LAF1712</v>
          </cell>
          <cell r="L1746" t="str">
            <v>HD</v>
          </cell>
          <cell r="M1746" t="str">
            <v>x</v>
          </cell>
          <cell r="N1746" t="e">
            <v>#N/A</v>
          </cell>
          <cell r="O1746" t="str">
            <v>HD Metal-End Air Filter</v>
          </cell>
        </row>
        <row r="1747">
          <cell r="K1747" t="str">
            <v>LAF46</v>
          </cell>
          <cell r="L1747" t="str">
            <v>HD</v>
          </cell>
          <cell r="M1747" t="str">
            <v>x</v>
          </cell>
          <cell r="N1747" t="e">
            <v>#N/A</v>
          </cell>
          <cell r="O1747" t="str">
            <v>Round Inner Air Filter with Flanged Endcap</v>
          </cell>
        </row>
        <row r="1748">
          <cell r="K1748" t="str">
            <v>LH4992</v>
          </cell>
          <cell r="L1748" t="str">
            <v>HD</v>
          </cell>
          <cell r="M1748" t="str">
            <v>x</v>
          </cell>
          <cell r="N1748" t="e">
            <v>#N/A</v>
          </cell>
          <cell r="O1748" t="str">
            <v>Cartridge Hydraulic Filter</v>
          </cell>
        </row>
        <row r="1749">
          <cell r="K1749" t="str">
            <v>LH11009V</v>
          </cell>
          <cell r="L1749" t="str">
            <v>HD</v>
          </cell>
          <cell r="M1749" t="str">
            <v>x</v>
          </cell>
          <cell r="N1749" t="e">
            <v>#N/A</v>
          </cell>
          <cell r="O1749" t="str">
            <v>Industrial Cartridge Hydraulic Filter</v>
          </cell>
        </row>
        <row r="1750">
          <cell r="K1750" t="str">
            <v>LAF6662</v>
          </cell>
          <cell r="L1750" t="str">
            <v>HD</v>
          </cell>
          <cell r="M1750" t="str">
            <v>x</v>
          </cell>
          <cell r="N1750" t="e">
            <v>#N/A</v>
          </cell>
          <cell r="O1750" t="str">
            <v>HD Metal-End Air Filter with Attached Lid</v>
          </cell>
        </row>
        <row r="1751">
          <cell r="K1751" t="str">
            <v>LAF6412</v>
          </cell>
          <cell r="L1751" t="str">
            <v>HD</v>
          </cell>
          <cell r="M1751" t="str">
            <v>x</v>
          </cell>
          <cell r="N1751" t="e">
            <v>#N/A</v>
          </cell>
          <cell r="O1751" t="str">
            <v>HD Round Finned Air Filter with Attached Lid</v>
          </cell>
        </row>
        <row r="1752">
          <cell r="K1752" t="str">
            <v>LAF1736</v>
          </cell>
          <cell r="L1752" t="str">
            <v>HD</v>
          </cell>
          <cell r="M1752" t="str">
            <v>x</v>
          </cell>
          <cell r="N1752" t="e">
            <v>#N/A</v>
          </cell>
          <cell r="O1752" t="str">
            <v>HD Round Air Filter with Attached Lid</v>
          </cell>
        </row>
        <row r="1753">
          <cell r="K1753" t="str">
            <v>LAF1012HD</v>
          </cell>
          <cell r="L1753" t="str">
            <v>HD</v>
          </cell>
          <cell r="M1753" t="str">
            <v>x</v>
          </cell>
          <cell r="N1753" t="e">
            <v>#N/A</v>
          </cell>
          <cell r="O1753" t="str">
            <v>Round Air Filter</v>
          </cell>
        </row>
        <row r="1754">
          <cell r="K1754" t="str">
            <v>LFH7551</v>
          </cell>
          <cell r="L1754" t="str">
            <v>HD</v>
          </cell>
          <cell r="M1754" t="str">
            <v>x</v>
          </cell>
          <cell r="N1754" t="e">
            <v>#N/A</v>
          </cell>
          <cell r="O1754" t="str">
            <v>Spin-on Hydraulic Filter</v>
          </cell>
        </row>
        <row r="1755">
          <cell r="K1755" t="str">
            <v>LAF24</v>
          </cell>
          <cell r="L1755" t="str">
            <v>HD</v>
          </cell>
          <cell r="M1755" t="str">
            <v>x</v>
          </cell>
          <cell r="N1755" t="e">
            <v>#N/A</v>
          </cell>
          <cell r="O1755" t="str">
            <v>Tube Type Air Filter</v>
          </cell>
        </row>
        <row r="1756">
          <cell r="K1756" t="str">
            <v>LAF8619</v>
          </cell>
          <cell r="L1756" t="str">
            <v>HD</v>
          </cell>
          <cell r="M1756" t="str">
            <v>x</v>
          </cell>
          <cell r="N1756" t="e">
            <v>#N/A</v>
          </cell>
          <cell r="O1756" t="str">
            <v>Finned Vane Air Filter</v>
          </cell>
        </row>
        <row r="1757">
          <cell r="K1757" t="str">
            <v>LAF1777</v>
          </cell>
          <cell r="L1757" t="str">
            <v>HD</v>
          </cell>
          <cell r="M1757" t="str">
            <v>x</v>
          </cell>
          <cell r="N1757" t="e">
            <v>#N/A</v>
          </cell>
          <cell r="O1757" t="str">
            <v>Round Inner Air Filter</v>
          </cell>
        </row>
        <row r="1758">
          <cell r="K1758" t="str">
            <v>LAF528</v>
          </cell>
          <cell r="L1758" t="str">
            <v>HD</v>
          </cell>
          <cell r="M1758" t="str">
            <v>x</v>
          </cell>
          <cell r="N1758" t="e">
            <v>#N/A</v>
          </cell>
          <cell r="O1758" t="str">
            <v>Rigid Panel Air Filter</v>
          </cell>
        </row>
        <row r="1759">
          <cell r="K1759" t="str">
            <v>LAF4312</v>
          </cell>
          <cell r="L1759" t="str">
            <v>HD</v>
          </cell>
          <cell r="M1759" t="str">
            <v>x</v>
          </cell>
          <cell r="N1759" t="e">
            <v>#N/A</v>
          </cell>
          <cell r="O1759" t="str">
            <v>HD Metal-End Air Filter with Attached Lid</v>
          </cell>
        </row>
        <row r="1760">
          <cell r="K1760" t="str">
            <v>LAF1955</v>
          </cell>
          <cell r="L1760" t="str">
            <v>HD</v>
          </cell>
          <cell r="M1760" t="str">
            <v>x</v>
          </cell>
          <cell r="N1760" t="e">
            <v>#N/A</v>
          </cell>
          <cell r="O1760" t="str">
            <v>HD Metal-End Air Filter</v>
          </cell>
        </row>
        <row r="1761">
          <cell r="K1761" t="str">
            <v>LAF1749</v>
          </cell>
          <cell r="L1761" t="str">
            <v>HD</v>
          </cell>
          <cell r="M1761" t="str">
            <v>x</v>
          </cell>
          <cell r="N1761" t="e">
            <v>#N/A</v>
          </cell>
          <cell r="O1761" t="str">
            <v>HD Metal-End Air Filter</v>
          </cell>
        </row>
        <row r="1762">
          <cell r="K1762" t="str">
            <v>LAF7530</v>
          </cell>
          <cell r="L1762" t="str">
            <v>HD</v>
          </cell>
          <cell r="M1762" t="str">
            <v>x</v>
          </cell>
          <cell r="N1762" t="e">
            <v>#N/A</v>
          </cell>
          <cell r="O1762" t="str">
            <v>Round Inner Air Filter with Flanged Endcap</v>
          </cell>
        </row>
        <row r="1763">
          <cell r="K1763" t="str">
            <v>LAF909</v>
          </cell>
          <cell r="L1763" t="str">
            <v>HD</v>
          </cell>
          <cell r="M1763" t="str">
            <v>x</v>
          </cell>
          <cell r="N1763" t="e">
            <v>#N/A</v>
          </cell>
          <cell r="O1763" t="str">
            <v>Tube Type Air Filter</v>
          </cell>
        </row>
        <row r="1764">
          <cell r="K1764" t="str">
            <v>LAF8820</v>
          </cell>
          <cell r="L1764" t="str">
            <v>HD</v>
          </cell>
          <cell r="M1764" t="str">
            <v>x</v>
          </cell>
          <cell r="N1764" t="e">
            <v>#N/A</v>
          </cell>
          <cell r="O1764" t="str">
            <v>Round Air Filter</v>
          </cell>
        </row>
        <row r="1765">
          <cell r="K1765" t="str">
            <v>L3419F</v>
          </cell>
          <cell r="L1765" t="str">
            <v>HD</v>
          </cell>
          <cell r="M1765" t="str">
            <v>x</v>
          </cell>
          <cell r="N1765" t="e">
            <v>#N/A</v>
          </cell>
          <cell r="O1765" t="str">
            <v>Cartridge Fuel Filter</v>
          </cell>
        </row>
        <row r="1766">
          <cell r="K1766" t="str">
            <v>LAF8547</v>
          </cell>
          <cell r="L1766" t="str">
            <v>HD</v>
          </cell>
          <cell r="M1766" t="str">
            <v>x</v>
          </cell>
          <cell r="N1766" t="e">
            <v>#N/A</v>
          </cell>
          <cell r="O1766" t="str">
            <v>HD Metal-End Inner Air Filter</v>
          </cell>
        </row>
        <row r="1767">
          <cell r="K1767" t="str">
            <v>LAF1759</v>
          </cell>
          <cell r="L1767" t="str">
            <v>HD</v>
          </cell>
          <cell r="M1767" t="str">
            <v>x</v>
          </cell>
          <cell r="N1767" t="e">
            <v>#N/A</v>
          </cell>
          <cell r="O1767" t="str">
            <v>HD Metal-End Inner Air Filter</v>
          </cell>
        </row>
        <row r="1768">
          <cell r="K1768" t="str">
            <v>LAF9961</v>
          </cell>
          <cell r="L1768" t="str">
            <v>HD</v>
          </cell>
          <cell r="M1768" t="str">
            <v>x</v>
          </cell>
          <cell r="N1768" t="e">
            <v>#N/A</v>
          </cell>
          <cell r="O1768" t="str">
            <v>HD Metal-End Air Filter</v>
          </cell>
        </row>
        <row r="1769">
          <cell r="K1769" t="str">
            <v>LFH4968</v>
          </cell>
          <cell r="L1769" t="str">
            <v>HD</v>
          </cell>
          <cell r="M1769" t="str">
            <v>x</v>
          </cell>
          <cell r="N1769" t="e">
            <v>#N/A</v>
          </cell>
          <cell r="O1769" t="str">
            <v>Spin-on Hydraulic Filter</v>
          </cell>
        </row>
        <row r="1770">
          <cell r="K1770" t="str">
            <v>LAF1482</v>
          </cell>
          <cell r="L1770" t="str">
            <v>HD</v>
          </cell>
          <cell r="M1770" t="str">
            <v>x</v>
          </cell>
          <cell r="N1770" t="e">
            <v>#N/A</v>
          </cell>
          <cell r="O1770" t="str">
            <v>Air Filter</v>
          </cell>
        </row>
        <row r="1771">
          <cell r="K1771" t="str">
            <v>LAF8171</v>
          </cell>
          <cell r="L1771" t="str">
            <v>HD</v>
          </cell>
          <cell r="M1771" t="str">
            <v>x</v>
          </cell>
          <cell r="N1771" t="e">
            <v>#N/A</v>
          </cell>
          <cell r="O1771" t="str">
            <v>Metal-End Air Filter with Closed Top End Cap</v>
          </cell>
        </row>
        <row r="1772">
          <cell r="K1772" t="str">
            <v>LFH6201</v>
          </cell>
          <cell r="L1772" t="str">
            <v>HD</v>
          </cell>
          <cell r="M1772" t="str">
            <v>x</v>
          </cell>
          <cell r="N1772" t="e">
            <v>#N/A</v>
          </cell>
          <cell r="O1772" t="str">
            <v>Spin-on Hydraulic Filter</v>
          </cell>
        </row>
        <row r="1773">
          <cell r="K1773" t="str">
            <v>LAF5844</v>
          </cell>
          <cell r="L1773" t="str">
            <v>HD</v>
          </cell>
          <cell r="M1773" t="str">
            <v>x</v>
          </cell>
          <cell r="N1773" t="e">
            <v>#N/A</v>
          </cell>
          <cell r="O1773" t="str">
            <v>Radial Seal Inner Air Filter</v>
          </cell>
        </row>
        <row r="1774">
          <cell r="K1774" t="str">
            <v>LAF8663</v>
          </cell>
          <cell r="L1774" t="str">
            <v>HD</v>
          </cell>
          <cell r="M1774" t="str">
            <v>x</v>
          </cell>
          <cell r="N1774" t="e">
            <v>#N/A</v>
          </cell>
          <cell r="O1774" t="str">
            <v>HD Metal-End Inner Air Filter</v>
          </cell>
        </row>
        <row r="1775">
          <cell r="K1775" t="str">
            <v>FP589F</v>
          </cell>
          <cell r="L1775" t="str">
            <v>HD</v>
          </cell>
          <cell r="M1775" t="str">
            <v>x</v>
          </cell>
          <cell r="N1775" t="e">
            <v>#N/A</v>
          </cell>
          <cell r="O1775" t="str">
            <v>Spin-on Fuel Filter</v>
          </cell>
        </row>
        <row r="1776">
          <cell r="K1776" t="str">
            <v>LFF9003</v>
          </cell>
          <cell r="L1776" t="str">
            <v>HD</v>
          </cell>
          <cell r="M1776" t="str">
            <v>x</v>
          </cell>
          <cell r="N1776" t="e">
            <v>#N/A</v>
          </cell>
          <cell r="O1776" t="str">
            <v>Bowl Style Fuel Water Separator Filter</v>
          </cell>
        </row>
        <row r="1777">
          <cell r="K1777" t="str">
            <v>LAF8639</v>
          </cell>
          <cell r="L1777" t="str">
            <v>HD</v>
          </cell>
          <cell r="M1777" t="str">
            <v>x</v>
          </cell>
          <cell r="N1777" t="e">
            <v>#N/A</v>
          </cell>
          <cell r="O1777" t="str">
            <v>Finned Vane Air Filter</v>
          </cell>
        </row>
        <row r="1778">
          <cell r="K1778" t="str">
            <v>LAF8133</v>
          </cell>
          <cell r="L1778" t="str">
            <v>HD</v>
          </cell>
          <cell r="M1778" t="str">
            <v>x</v>
          </cell>
          <cell r="N1778" t="e">
            <v>#N/A</v>
          </cell>
          <cell r="O1778" t="str">
            <v>HD Metal-End Air Filter</v>
          </cell>
        </row>
        <row r="1779">
          <cell r="K1779" t="str">
            <v>LAF8830</v>
          </cell>
          <cell r="L1779" t="str">
            <v>HD</v>
          </cell>
          <cell r="M1779" t="str">
            <v>x</v>
          </cell>
          <cell r="N1779" t="e">
            <v>#N/A</v>
          </cell>
          <cell r="O1779" t="str">
            <v>HD Round Finned Air Filter with Attached Lid</v>
          </cell>
        </row>
        <row r="1780">
          <cell r="K1780" t="str">
            <v>LAF4156</v>
          </cell>
          <cell r="L1780" t="str">
            <v>HD</v>
          </cell>
          <cell r="M1780" t="str">
            <v>x</v>
          </cell>
          <cell r="N1780" t="str">
            <v>LAF4156</v>
          </cell>
          <cell r="O1780" t="str">
            <v>HD Metal-End Inner Air Filter</v>
          </cell>
        </row>
        <row r="1781">
          <cell r="K1781" t="str">
            <v>LK374T</v>
          </cell>
          <cell r="O1781" t="str">
            <v>Maintenance Kit</v>
          </cell>
        </row>
        <row r="1782">
          <cell r="K1782" t="str">
            <v>LFH8596</v>
          </cell>
          <cell r="L1782" t="str">
            <v>HD</v>
          </cell>
          <cell r="M1782" t="str">
            <v>x</v>
          </cell>
          <cell r="N1782" t="e">
            <v>#N/A</v>
          </cell>
          <cell r="O1782" t="str">
            <v>Spin-on Hydraulic Filter</v>
          </cell>
        </row>
        <row r="1783">
          <cell r="K1783" t="str">
            <v>LFH8758</v>
          </cell>
          <cell r="L1783" t="str">
            <v>HD</v>
          </cell>
          <cell r="M1783" t="str">
            <v>x</v>
          </cell>
          <cell r="N1783" t="e">
            <v>#N/A</v>
          </cell>
          <cell r="O1783" t="str">
            <v>Spin-on Hydraulic Filter</v>
          </cell>
        </row>
        <row r="1784">
          <cell r="K1784" t="str">
            <v>LFF8813</v>
          </cell>
          <cell r="L1784" t="str">
            <v>HD</v>
          </cell>
          <cell r="M1784" t="str">
            <v>x</v>
          </cell>
          <cell r="N1784" t="e">
            <v>#N/A</v>
          </cell>
          <cell r="O1784" t="str">
            <v>Spin-on Fuel Filter</v>
          </cell>
        </row>
        <row r="1785">
          <cell r="K1785" t="str">
            <v>LAF8731</v>
          </cell>
          <cell r="L1785" t="str">
            <v>HD</v>
          </cell>
          <cell r="M1785" t="str">
            <v>x</v>
          </cell>
          <cell r="N1785" t="e">
            <v>#N/A</v>
          </cell>
          <cell r="O1785" t="str">
            <v>Radial Seal Inner Air Filter</v>
          </cell>
        </row>
        <row r="1786">
          <cell r="K1786" t="str">
            <v>LH22123</v>
          </cell>
          <cell r="L1786" t="str">
            <v>HD</v>
          </cell>
          <cell r="M1786" t="str">
            <v>x</v>
          </cell>
          <cell r="N1786" t="e">
            <v>#N/A</v>
          </cell>
          <cell r="O1786" t="str">
            <v>Industrial Cartridge Hydraulic Filter</v>
          </cell>
        </row>
        <row r="1787">
          <cell r="K1787" t="str">
            <v>LAF1815</v>
          </cell>
          <cell r="L1787" t="str">
            <v>HD</v>
          </cell>
          <cell r="M1787" t="str">
            <v>x</v>
          </cell>
          <cell r="N1787" t="e">
            <v>#N/A</v>
          </cell>
          <cell r="O1787" t="str">
            <v>HD Metal-End Air Filter</v>
          </cell>
        </row>
        <row r="1788">
          <cell r="K1788" t="str">
            <v>LAF1857</v>
          </cell>
          <cell r="L1788" t="str">
            <v>HD</v>
          </cell>
          <cell r="M1788" t="str">
            <v>x</v>
          </cell>
          <cell r="N1788" t="e">
            <v>#N/A</v>
          </cell>
          <cell r="O1788" t="str">
            <v>Finned Vane Air Filter</v>
          </cell>
        </row>
        <row r="1789">
          <cell r="K1789" t="str">
            <v>LK298D</v>
          </cell>
          <cell r="L1789" t="str">
            <v>HD</v>
          </cell>
          <cell r="M1789" t="str">
            <v>x</v>
          </cell>
          <cell r="N1789" t="e">
            <v>#N/A</v>
          </cell>
          <cell r="O1789" t="str">
            <v>Detroit Diesel Engine Maintenance Kit</v>
          </cell>
        </row>
        <row r="1790">
          <cell r="K1790" t="str">
            <v>LP8720</v>
          </cell>
          <cell r="L1790" t="str">
            <v>HD</v>
          </cell>
          <cell r="M1790" t="str">
            <v>x</v>
          </cell>
          <cell r="N1790" t="e">
            <v>#N/A</v>
          </cell>
          <cell r="O1790" t="str">
            <v>Cartridge Oil Filter</v>
          </cell>
        </row>
        <row r="1791">
          <cell r="K1791" t="str">
            <v>LP5912</v>
          </cell>
          <cell r="L1791" t="str">
            <v>HD</v>
          </cell>
          <cell r="M1791" t="str">
            <v>x</v>
          </cell>
          <cell r="N1791" t="e">
            <v>#N/A</v>
          </cell>
          <cell r="O1791" t="str">
            <v>Cartridge Oil Filter</v>
          </cell>
        </row>
        <row r="1792">
          <cell r="K1792" t="str">
            <v>L5845F</v>
          </cell>
          <cell r="L1792" t="str">
            <v>HD</v>
          </cell>
          <cell r="M1792" t="str">
            <v>x</v>
          </cell>
          <cell r="N1792" t="e">
            <v>#N/A</v>
          </cell>
          <cell r="O1792" t="str">
            <v>Cartridge Fuel Filter</v>
          </cell>
        </row>
        <row r="1793">
          <cell r="K1793" t="str">
            <v>L1168F</v>
          </cell>
          <cell r="L1793" t="str">
            <v>HD</v>
          </cell>
          <cell r="M1793" t="str">
            <v>x</v>
          </cell>
          <cell r="N1793" t="e">
            <v>#N/A</v>
          </cell>
          <cell r="O1793" t="str">
            <v>Cartridge Fuel Filter</v>
          </cell>
        </row>
        <row r="1794">
          <cell r="K1794" t="str">
            <v>LAF22049</v>
          </cell>
          <cell r="L1794" t="str">
            <v>HD</v>
          </cell>
          <cell r="M1794" t="str">
            <v>x</v>
          </cell>
          <cell r="N1794" t="e">
            <v>#N/A</v>
          </cell>
          <cell r="O1794" t="str">
            <v>Oval Air Filter</v>
          </cell>
        </row>
        <row r="1795">
          <cell r="K1795" t="str">
            <v>LAF3402</v>
          </cell>
          <cell r="L1795" t="str">
            <v>HD</v>
          </cell>
          <cell r="M1795" t="str">
            <v>x</v>
          </cell>
          <cell r="N1795" t="e">
            <v>#N/A</v>
          </cell>
          <cell r="O1795" t="str">
            <v>HD Metal-End Air Filter</v>
          </cell>
        </row>
        <row r="1796">
          <cell r="K1796" t="str">
            <v>LFF762</v>
          </cell>
          <cell r="L1796" t="str">
            <v>HD</v>
          </cell>
          <cell r="M1796" t="str">
            <v>x</v>
          </cell>
          <cell r="N1796" t="e">
            <v>#N/A</v>
          </cell>
          <cell r="O1796" t="str">
            <v>Spin-on Fuel Filter</v>
          </cell>
        </row>
        <row r="1797">
          <cell r="K1797" t="str">
            <v>LAF8039</v>
          </cell>
          <cell r="L1797" t="str">
            <v>HD</v>
          </cell>
          <cell r="M1797" t="str">
            <v>x</v>
          </cell>
          <cell r="N1797" t="e">
            <v>#N/A</v>
          </cell>
          <cell r="O1797" t="str">
            <v>HD Metal-End Air Filter with Attached Lid</v>
          </cell>
        </row>
        <row r="1798">
          <cell r="K1798" t="str">
            <v>LAF9297</v>
          </cell>
          <cell r="L1798" t="str">
            <v>HD</v>
          </cell>
          <cell r="M1798" t="str">
            <v>x</v>
          </cell>
          <cell r="N1798" t="e">
            <v>#N/A</v>
          </cell>
          <cell r="O1798" t="str">
            <v>Metal-End Air Filter with Closed Top End Cap</v>
          </cell>
        </row>
        <row r="1799">
          <cell r="K1799" t="str">
            <v>LH5003</v>
          </cell>
          <cell r="L1799" t="str">
            <v>HD</v>
          </cell>
          <cell r="M1799" t="str">
            <v>x</v>
          </cell>
          <cell r="N1799" t="e">
            <v>#N/A</v>
          </cell>
          <cell r="O1799" t="str">
            <v>Cartridge Hydraulic Filter</v>
          </cell>
        </row>
        <row r="1800">
          <cell r="K1800" t="str">
            <v>LAF8617</v>
          </cell>
          <cell r="L1800" t="str">
            <v>HD</v>
          </cell>
          <cell r="M1800" t="str">
            <v>x</v>
          </cell>
          <cell r="N1800" t="e">
            <v>#N/A</v>
          </cell>
          <cell r="O1800" t="str">
            <v>HD Metal-End Air Filter</v>
          </cell>
        </row>
        <row r="1801">
          <cell r="K1801" t="str">
            <v>LAF4173</v>
          </cell>
          <cell r="L1801" t="str">
            <v>HD</v>
          </cell>
          <cell r="M1801" t="str">
            <v>x</v>
          </cell>
          <cell r="N1801" t="e">
            <v>#N/A</v>
          </cell>
          <cell r="O1801" t="str">
            <v>HD Metal-End Inner Air Filter</v>
          </cell>
        </row>
        <row r="1802">
          <cell r="K1802" t="str">
            <v>LP224</v>
          </cell>
          <cell r="L1802" t="str">
            <v>HD</v>
          </cell>
          <cell r="M1802" t="str">
            <v>x</v>
          </cell>
          <cell r="N1802" t="e">
            <v>#N/A</v>
          </cell>
          <cell r="O1802" t="str">
            <v>Cartridge Oil Filter</v>
          </cell>
        </row>
        <row r="1803">
          <cell r="K1803" t="str">
            <v>LAF8574</v>
          </cell>
          <cell r="L1803" t="str">
            <v>HD</v>
          </cell>
          <cell r="M1803" t="str">
            <v>x</v>
          </cell>
          <cell r="N1803" t="e">
            <v>#N/A</v>
          </cell>
          <cell r="O1803" t="str">
            <v>HD Metal-End Air Filter-Inner</v>
          </cell>
        </row>
        <row r="1804">
          <cell r="K1804" t="str">
            <v>LAF1882</v>
          </cell>
          <cell r="L1804" t="str">
            <v>HD</v>
          </cell>
          <cell r="M1804" t="str">
            <v>x</v>
          </cell>
          <cell r="N1804" t="e">
            <v>#N/A</v>
          </cell>
          <cell r="O1804" t="str">
            <v>HD Metal-End Air Filter</v>
          </cell>
        </row>
        <row r="1805">
          <cell r="K1805" t="str">
            <v>L5944F</v>
          </cell>
          <cell r="L1805" t="str">
            <v>HD</v>
          </cell>
          <cell r="M1805" t="str">
            <v>x</v>
          </cell>
          <cell r="N1805" t="e">
            <v>#N/A</v>
          </cell>
          <cell r="O1805" t="str">
            <v>Cartridge Fuel Filter</v>
          </cell>
        </row>
        <row r="1806">
          <cell r="K1806" t="str">
            <v>LFF6013</v>
          </cell>
          <cell r="L1806" t="str">
            <v>HD</v>
          </cell>
          <cell r="M1806" t="str">
            <v>x</v>
          </cell>
          <cell r="N1806" t="e">
            <v>#N/A</v>
          </cell>
          <cell r="O1806" t="str">
            <v>Fuel Filter Kit Primary/Secondary</v>
          </cell>
        </row>
        <row r="1807">
          <cell r="K1807" t="str">
            <v>LH3042V</v>
          </cell>
          <cell r="L1807" t="str">
            <v>HD</v>
          </cell>
          <cell r="M1807" t="str">
            <v>x</v>
          </cell>
          <cell r="N1807" t="e">
            <v>#N/A</v>
          </cell>
          <cell r="O1807" t="str">
            <v>Cartridge Hydraulic Filter</v>
          </cell>
        </row>
        <row r="1808">
          <cell r="K1808" t="str">
            <v>LFP8320</v>
          </cell>
          <cell r="L1808" t="str">
            <v>HD</v>
          </cell>
          <cell r="M1808" t="str">
            <v>x</v>
          </cell>
          <cell r="N1808" t="e">
            <v>#N/A</v>
          </cell>
          <cell r="O1808" t="str">
            <v>Spin-on Oil Filter</v>
          </cell>
        </row>
        <row r="1809">
          <cell r="K1809" t="str">
            <v>LAF1903</v>
          </cell>
          <cell r="L1809" t="str">
            <v>HD</v>
          </cell>
          <cell r="M1809" t="str">
            <v>x</v>
          </cell>
          <cell r="N1809" t="e">
            <v>#N/A</v>
          </cell>
          <cell r="O1809" t="str">
            <v>Round Plastisol Air Filter</v>
          </cell>
        </row>
        <row r="1810">
          <cell r="K1810" t="str">
            <v>LFH4404</v>
          </cell>
          <cell r="L1810" t="str">
            <v>HD</v>
          </cell>
          <cell r="M1810" t="str">
            <v>x</v>
          </cell>
          <cell r="N1810" t="e">
            <v>#N/A</v>
          </cell>
          <cell r="O1810" t="str">
            <v>Spin-on Hydraulic Filter</v>
          </cell>
        </row>
        <row r="1811">
          <cell r="K1811" t="str">
            <v>L3919F</v>
          </cell>
          <cell r="L1811" t="str">
            <v>HD</v>
          </cell>
          <cell r="M1811" t="str">
            <v>x</v>
          </cell>
          <cell r="N1811" t="e">
            <v>#N/A</v>
          </cell>
          <cell r="O1811" t="str">
            <v>Snap-Lock Fuel Filter</v>
          </cell>
        </row>
        <row r="1812">
          <cell r="K1812" t="str">
            <v>750-C</v>
          </cell>
          <cell r="L1812" t="str">
            <v>HD</v>
          </cell>
          <cell r="M1812" t="str">
            <v>x</v>
          </cell>
          <cell r="N1812" t="e">
            <v>#N/A</v>
          </cell>
          <cell r="O1812" t="str">
            <v>Diesel Unit Universal Mount 750C</v>
          </cell>
        </row>
        <row r="1813">
          <cell r="K1813">
            <v>500</v>
          </cell>
          <cell r="L1813" t="str">
            <v>HD</v>
          </cell>
          <cell r="M1813" t="str">
            <v>x</v>
          </cell>
          <cell r="N1813" t="e">
            <v>#N/A</v>
          </cell>
          <cell r="O1813" t="str">
            <v>Cover w/3 Plug Holes for Horizontal Mount/500-C</v>
          </cell>
        </row>
        <row r="1814">
          <cell r="K1814">
            <v>750</v>
          </cell>
          <cell r="L1814" t="str">
            <v>HD</v>
          </cell>
          <cell r="M1814" t="str">
            <v>x</v>
          </cell>
          <cell r="N1814" t="e">
            <v>#N/A</v>
          </cell>
          <cell r="O1814" t="str">
            <v>Cover w/1 Plug Hole, 750-C, CT, 3C</v>
          </cell>
        </row>
        <row r="1815">
          <cell r="K1815" t="str">
            <v>LAF8670</v>
          </cell>
          <cell r="L1815" t="str">
            <v>HD</v>
          </cell>
          <cell r="M1815" t="str">
            <v>x</v>
          </cell>
          <cell r="N1815" t="e">
            <v>#N/A</v>
          </cell>
          <cell r="O1815" t="str">
            <v>Radial Seal Inner Air Filter</v>
          </cell>
        </row>
        <row r="1816">
          <cell r="K1816" t="str">
            <v>LAF5343</v>
          </cell>
          <cell r="L1816" t="str">
            <v>HD</v>
          </cell>
          <cell r="M1816" t="str">
            <v>x</v>
          </cell>
          <cell r="N1816" t="e">
            <v>#N/A</v>
          </cell>
          <cell r="O1816" t="str">
            <v>Panel Air Filter Metal Framed</v>
          </cell>
        </row>
        <row r="1817">
          <cell r="K1817" t="str">
            <v>LH8488</v>
          </cell>
          <cell r="L1817" t="str">
            <v>HD</v>
          </cell>
          <cell r="M1817" t="str">
            <v>x</v>
          </cell>
          <cell r="N1817" t="e">
            <v>#N/A</v>
          </cell>
          <cell r="O1817" t="str">
            <v>Hydraulic Cartridge Filter</v>
          </cell>
        </row>
        <row r="1818">
          <cell r="K1818" t="str">
            <v>LAF45</v>
          </cell>
          <cell r="L1818" t="str">
            <v>HD</v>
          </cell>
          <cell r="M1818" t="str">
            <v>x</v>
          </cell>
          <cell r="N1818" t="e">
            <v>#N/A</v>
          </cell>
          <cell r="O1818" t="str">
            <v>HD Metal-End Air Filter</v>
          </cell>
        </row>
        <row r="1819">
          <cell r="K1819" t="str">
            <v>LAF8810</v>
          </cell>
          <cell r="L1819" t="str">
            <v>HD</v>
          </cell>
          <cell r="M1819" t="str">
            <v>x</v>
          </cell>
          <cell r="N1819" t="str">
            <v>LAF8810</v>
          </cell>
          <cell r="O1819" t="str">
            <v>Disposible Housing Air Filter</v>
          </cell>
        </row>
        <row r="1820">
          <cell r="K1820" t="str">
            <v>LAF1923</v>
          </cell>
          <cell r="L1820" t="str">
            <v>HD</v>
          </cell>
          <cell r="M1820" t="str">
            <v>x</v>
          </cell>
          <cell r="N1820" t="e">
            <v>#N/A</v>
          </cell>
          <cell r="O1820" t="str">
            <v>HD Metal-End Air Filter-Inner</v>
          </cell>
        </row>
        <row r="1821">
          <cell r="K1821" t="str">
            <v>LH4918</v>
          </cell>
          <cell r="L1821" t="str">
            <v>HD</v>
          </cell>
          <cell r="M1821" t="str">
            <v>x</v>
          </cell>
          <cell r="N1821" t="e">
            <v>#N/A</v>
          </cell>
          <cell r="O1821" t="str">
            <v>Cartridge Hydraulic Filter</v>
          </cell>
        </row>
        <row r="1822">
          <cell r="K1822" t="str">
            <v>LH9403V</v>
          </cell>
          <cell r="L1822" t="str">
            <v>HD</v>
          </cell>
          <cell r="M1822" t="str">
            <v>x</v>
          </cell>
          <cell r="N1822" t="e">
            <v>#N/A</v>
          </cell>
          <cell r="O1822" t="str">
            <v>Industrial Cartridge Hydraulic Filter</v>
          </cell>
        </row>
        <row r="1823">
          <cell r="K1823" t="str">
            <v>LAF1802</v>
          </cell>
          <cell r="L1823" t="str">
            <v>HD</v>
          </cell>
          <cell r="M1823" t="str">
            <v>x</v>
          </cell>
          <cell r="N1823" t="e">
            <v>#N/A</v>
          </cell>
          <cell r="O1823" t="str">
            <v>Cone Shaped Conical Air Filter</v>
          </cell>
        </row>
        <row r="1824">
          <cell r="K1824" t="str">
            <v>LP712</v>
          </cell>
          <cell r="L1824" t="str">
            <v>HD</v>
          </cell>
          <cell r="M1824" t="str">
            <v>x</v>
          </cell>
          <cell r="N1824" t="e">
            <v>#N/A</v>
          </cell>
          <cell r="O1824" t="str">
            <v>Cartridge Oil Filter</v>
          </cell>
        </row>
        <row r="1825">
          <cell r="K1825" t="str">
            <v>LAF262</v>
          </cell>
          <cell r="L1825" t="str">
            <v>HD</v>
          </cell>
          <cell r="M1825" t="str">
            <v>x</v>
          </cell>
          <cell r="N1825" t="e">
            <v>#N/A</v>
          </cell>
          <cell r="O1825" t="str">
            <v>HD Metal-End Air Filter</v>
          </cell>
        </row>
        <row r="1826">
          <cell r="K1826" t="str">
            <v>LAF8339</v>
          </cell>
          <cell r="L1826" t="str">
            <v>HD</v>
          </cell>
          <cell r="M1826" t="str">
            <v>x</v>
          </cell>
          <cell r="N1826" t="e">
            <v>#N/A</v>
          </cell>
          <cell r="O1826" t="str">
            <v>HD Metal-End Inner Air Filter</v>
          </cell>
        </row>
        <row r="1827">
          <cell r="K1827" t="str">
            <v>LAF2484</v>
          </cell>
          <cell r="L1827" t="str">
            <v>HD</v>
          </cell>
          <cell r="M1827" t="str">
            <v>x</v>
          </cell>
          <cell r="N1827" t="e">
            <v>#N/A</v>
          </cell>
          <cell r="O1827" t="str">
            <v>HD Metal-End Air Filter</v>
          </cell>
        </row>
        <row r="1828">
          <cell r="K1828" t="str">
            <v>LP92HD</v>
          </cell>
          <cell r="L1828" t="str">
            <v>HD</v>
          </cell>
          <cell r="M1828" t="str">
            <v>x</v>
          </cell>
          <cell r="N1828" t="e">
            <v>#N/A</v>
          </cell>
          <cell r="O1828" t="str">
            <v>Cartridge Oil Filter</v>
          </cell>
        </row>
        <row r="1829">
          <cell r="K1829" t="str">
            <v>LAF8238</v>
          </cell>
          <cell r="L1829" t="str">
            <v>HD</v>
          </cell>
          <cell r="M1829" t="str">
            <v>x</v>
          </cell>
          <cell r="N1829" t="e">
            <v>#N/A</v>
          </cell>
          <cell r="O1829" t="str">
            <v>HD Metal-End Inner Air Filter</v>
          </cell>
        </row>
        <row r="1830">
          <cell r="K1830" t="str">
            <v>LAF3119</v>
          </cell>
          <cell r="L1830" t="str">
            <v>HD</v>
          </cell>
          <cell r="M1830" t="str">
            <v>x</v>
          </cell>
          <cell r="N1830" t="e">
            <v>#N/A</v>
          </cell>
          <cell r="O1830" t="str">
            <v>HD Metal-End Air Filter</v>
          </cell>
        </row>
        <row r="1831">
          <cell r="K1831" t="str">
            <v>LAF8802</v>
          </cell>
          <cell r="L1831" t="str">
            <v>HD</v>
          </cell>
          <cell r="M1831" t="str">
            <v>x</v>
          </cell>
          <cell r="N1831" t="e">
            <v>#N/A</v>
          </cell>
          <cell r="O1831" t="str">
            <v>Finned Vane Air Filter With Attached Lid</v>
          </cell>
        </row>
        <row r="1832">
          <cell r="K1832" t="str">
            <v>L899BSP</v>
          </cell>
          <cell r="L1832" t="str">
            <v>HD</v>
          </cell>
          <cell r="M1832" t="str">
            <v>x</v>
          </cell>
          <cell r="N1832" t="e">
            <v>#N/A</v>
          </cell>
          <cell r="O1832" t="str">
            <v>Racor INRK-21057; Glass bowl w/Sensor used on LFF5824B and LF3579.</v>
          </cell>
        </row>
        <row r="1833">
          <cell r="K1833" t="str">
            <v>LAF2753</v>
          </cell>
          <cell r="L1833" t="str">
            <v>HD</v>
          </cell>
          <cell r="M1833" t="str">
            <v>x</v>
          </cell>
          <cell r="N1833" t="e">
            <v>#N/A</v>
          </cell>
          <cell r="O1833" t="str">
            <v>Oval Air Filter</v>
          </cell>
        </row>
        <row r="1834">
          <cell r="K1834" t="str">
            <v>LAF5785</v>
          </cell>
          <cell r="L1834" t="str">
            <v>HD</v>
          </cell>
          <cell r="M1834" t="str">
            <v>x</v>
          </cell>
          <cell r="N1834" t="e">
            <v>#N/A</v>
          </cell>
          <cell r="O1834" t="str">
            <v>HD Round Finned Air Filter with Attached Lid</v>
          </cell>
        </row>
        <row r="1835">
          <cell r="K1835" t="str">
            <v>LAF8829</v>
          </cell>
          <cell r="L1835" t="str">
            <v>HD</v>
          </cell>
          <cell r="M1835" t="str">
            <v>x</v>
          </cell>
          <cell r="N1835" t="e">
            <v>#N/A</v>
          </cell>
          <cell r="O1835" t="str">
            <v>HD Round Finned Air Filter with Attached Lid</v>
          </cell>
        </row>
        <row r="1836">
          <cell r="K1836" t="str">
            <v>LAF2736</v>
          </cell>
          <cell r="L1836" t="str">
            <v>HD</v>
          </cell>
          <cell r="M1836" t="str">
            <v>x</v>
          </cell>
          <cell r="N1836" t="e">
            <v>#N/A</v>
          </cell>
          <cell r="O1836" t="str">
            <v>HD Metal-End Inner Air Filter</v>
          </cell>
        </row>
        <row r="1837">
          <cell r="K1837" t="str">
            <v>LAF1729</v>
          </cell>
          <cell r="L1837" t="str">
            <v>HD</v>
          </cell>
          <cell r="M1837" t="str">
            <v>x</v>
          </cell>
          <cell r="N1837" t="e">
            <v>#N/A</v>
          </cell>
          <cell r="O1837" t="str">
            <v>HD Metal-End Air Filter</v>
          </cell>
        </row>
        <row r="1838">
          <cell r="K1838" t="str">
            <v>LAF41</v>
          </cell>
          <cell r="L1838" t="str">
            <v>HD</v>
          </cell>
          <cell r="M1838" t="str">
            <v>x</v>
          </cell>
          <cell r="N1838" t="e">
            <v>#N/A</v>
          </cell>
          <cell r="O1838" t="str">
            <v>HD Metal-End Air Filter</v>
          </cell>
        </row>
        <row r="1839">
          <cell r="K1839" t="str">
            <v>LAF1773</v>
          </cell>
          <cell r="L1839" t="str">
            <v>HD</v>
          </cell>
          <cell r="M1839" t="str">
            <v>x</v>
          </cell>
          <cell r="N1839" t="e">
            <v>#N/A</v>
          </cell>
          <cell r="O1839" t="str">
            <v>HD Metal-End Air Filter</v>
          </cell>
        </row>
        <row r="1840">
          <cell r="K1840" t="str">
            <v>LP155</v>
          </cell>
          <cell r="L1840" t="str">
            <v>HD</v>
          </cell>
          <cell r="M1840" t="str">
            <v>x</v>
          </cell>
          <cell r="N1840" t="e">
            <v>#N/A</v>
          </cell>
          <cell r="O1840" t="str">
            <v>Cartridge Oil Filter</v>
          </cell>
        </row>
        <row r="1841">
          <cell r="K1841" t="str">
            <v>LP4458</v>
          </cell>
          <cell r="L1841" t="str">
            <v>HD</v>
          </cell>
          <cell r="M1841" t="str">
            <v>x</v>
          </cell>
          <cell r="N1841" t="e">
            <v>#N/A</v>
          </cell>
          <cell r="O1841" t="str">
            <v>Cartridge Hydraulic Filter</v>
          </cell>
        </row>
        <row r="1842">
          <cell r="K1842" t="str">
            <v>LH22119</v>
          </cell>
          <cell r="L1842" t="str">
            <v>HD</v>
          </cell>
          <cell r="M1842" t="str">
            <v>x</v>
          </cell>
          <cell r="N1842" t="e">
            <v>#N/A</v>
          </cell>
          <cell r="O1842" t="str">
            <v>Cartridge Hydraulic Filter</v>
          </cell>
        </row>
        <row r="1843">
          <cell r="K1843" t="str">
            <v>LAF910</v>
          </cell>
          <cell r="L1843" t="str">
            <v>HD</v>
          </cell>
          <cell r="M1843" t="str">
            <v>x</v>
          </cell>
          <cell r="N1843" t="e">
            <v>#N/A</v>
          </cell>
          <cell r="O1843" t="str">
            <v>Round Air Filter</v>
          </cell>
        </row>
        <row r="1844">
          <cell r="K1844" t="str">
            <v>LAF8767</v>
          </cell>
          <cell r="L1844" t="str">
            <v>HD</v>
          </cell>
          <cell r="M1844" t="str">
            <v>x</v>
          </cell>
          <cell r="N1844" t="e">
            <v>#N/A</v>
          </cell>
          <cell r="O1844" t="str">
            <v>HD Round Air Filter with Attached Boot</v>
          </cell>
        </row>
        <row r="1845">
          <cell r="K1845" t="str">
            <v>LAF1806</v>
          </cell>
          <cell r="L1845" t="str">
            <v>HD</v>
          </cell>
          <cell r="M1845" t="str">
            <v>x</v>
          </cell>
          <cell r="N1845" t="e">
            <v>#N/A</v>
          </cell>
          <cell r="O1845" t="str">
            <v>Metal-End Air Filter with Closed Top End Cap</v>
          </cell>
        </row>
        <row r="1846">
          <cell r="K1846" t="str">
            <v>LAF9541</v>
          </cell>
          <cell r="L1846" t="str">
            <v>HD</v>
          </cell>
          <cell r="M1846" t="str">
            <v>x</v>
          </cell>
          <cell r="N1846" t="e">
            <v>#N/A</v>
          </cell>
          <cell r="O1846" t="str">
            <v>Disposible Housing Air Filter</v>
          </cell>
        </row>
        <row r="1847">
          <cell r="K1847" t="str">
            <v>LP2302</v>
          </cell>
          <cell r="L1847" t="str">
            <v>HD</v>
          </cell>
          <cell r="M1847" t="str">
            <v>x</v>
          </cell>
          <cell r="N1847" t="str">
            <v>LP2302</v>
          </cell>
          <cell r="O1847" t="str">
            <v>Cartridge Hydraulic Filter</v>
          </cell>
        </row>
        <row r="1848">
          <cell r="K1848" t="str">
            <v>LAF8363</v>
          </cell>
          <cell r="L1848" t="str">
            <v>HD</v>
          </cell>
          <cell r="M1848" t="str">
            <v>x</v>
          </cell>
          <cell r="N1848" t="e">
            <v>#N/A</v>
          </cell>
          <cell r="O1848" t="str">
            <v>Panel Air Filter Metal Framed</v>
          </cell>
        </row>
        <row r="1849">
          <cell r="K1849" t="str">
            <v>LAF1767</v>
          </cell>
          <cell r="L1849" t="str">
            <v>HD</v>
          </cell>
          <cell r="M1849" t="str">
            <v>x</v>
          </cell>
          <cell r="N1849" t="e">
            <v>#N/A</v>
          </cell>
          <cell r="O1849" t="str">
            <v>HD Metal-End Inner Air Filter</v>
          </cell>
        </row>
        <row r="1850">
          <cell r="K1850" t="str">
            <v>LP8993</v>
          </cell>
          <cell r="L1850" t="str">
            <v>HD</v>
          </cell>
          <cell r="M1850" t="str">
            <v>x</v>
          </cell>
          <cell r="N1850" t="e">
            <v>#N/A</v>
          </cell>
          <cell r="O1850" t="str">
            <v>Cartridge Oil Filter</v>
          </cell>
        </row>
        <row r="1851">
          <cell r="K1851" t="str">
            <v>LAF22090</v>
          </cell>
          <cell r="L1851" t="str">
            <v>HD</v>
          </cell>
          <cell r="M1851" t="str">
            <v>x</v>
          </cell>
          <cell r="N1851" t="e">
            <v>#N/A</v>
          </cell>
          <cell r="O1851" t="str">
            <v>HD Metal-End Air Filter</v>
          </cell>
        </row>
        <row r="1852">
          <cell r="K1852" t="str">
            <v>LAF8354</v>
          </cell>
          <cell r="L1852" t="str">
            <v>HD</v>
          </cell>
          <cell r="M1852" t="str">
            <v>x</v>
          </cell>
          <cell r="N1852" t="e">
            <v>#N/A</v>
          </cell>
          <cell r="O1852" t="str">
            <v>HD Metal-End Air Filter-Inner</v>
          </cell>
        </row>
        <row r="1853">
          <cell r="K1853" t="str">
            <v>LFP8224</v>
          </cell>
          <cell r="L1853" t="str">
            <v>HD</v>
          </cell>
          <cell r="M1853" t="str">
            <v>x</v>
          </cell>
          <cell r="N1853" t="e">
            <v>#N/A</v>
          </cell>
          <cell r="O1853" t="str">
            <v>Spin-on Oil Filter</v>
          </cell>
        </row>
        <row r="1854">
          <cell r="K1854" t="str">
            <v>LAF519D</v>
          </cell>
          <cell r="L1854" t="str">
            <v>HD</v>
          </cell>
          <cell r="M1854" t="str">
            <v>x</v>
          </cell>
          <cell r="N1854" t="e">
            <v>#N/A</v>
          </cell>
          <cell r="O1854" t="str">
            <v>Rigid Panel Air Filter</v>
          </cell>
        </row>
        <row r="1855">
          <cell r="K1855" t="str">
            <v>LP5922</v>
          </cell>
          <cell r="L1855" t="str">
            <v>HD</v>
          </cell>
          <cell r="M1855" t="str">
            <v>x</v>
          </cell>
          <cell r="N1855" t="e">
            <v>#N/A</v>
          </cell>
          <cell r="O1855" t="str">
            <v>Cartridge Oil Filter</v>
          </cell>
        </row>
        <row r="1856">
          <cell r="K1856" t="str">
            <v>LAF1710</v>
          </cell>
          <cell r="L1856" t="str">
            <v>HD</v>
          </cell>
          <cell r="M1856" t="str">
            <v>x</v>
          </cell>
          <cell r="N1856" t="e">
            <v>#N/A</v>
          </cell>
          <cell r="O1856" t="str">
            <v>HD Metal-End Air Filter</v>
          </cell>
        </row>
        <row r="1857">
          <cell r="K1857" t="str">
            <v>LH5571G</v>
          </cell>
          <cell r="L1857" t="str">
            <v>HD</v>
          </cell>
          <cell r="M1857" t="str">
            <v>x</v>
          </cell>
          <cell r="N1857" t="e">
            <v>#N/A</v>
          </cell>
          <cell r="O1857" t="str">
            <v>Cartridge Hydraulic Filter</v>
          </cell>
        </row>
        <row r="1858">
          <cell r="K1858" t="str">
            <v>LAF3953</v>
          </cell>
          <cell r="L1858" t="str">
            <v>HD</v>
          </cell>
          <cell r="M1858" t="str">
            <v>x</v>
          </cell>
          <cell r="N1858" t="e">
            <v>#N/A</v>
          </cell>
          <cell r="O1858" t="str">
            <v>HD Metal-End Air Filter</v>
          </cell>
        </row>
        <row r="1859">
          <cell r="K1859" t="str">
            <v>LH11008V</v>
          </cell>
          <cell r="L1859" t="str">
            <v>HD</v>
          </cell>
          <cell r="M1859" t="str">
            <v>x</v>
          </cell>
          <cell r="N1859" t="e">
            <v>#N/A</v>
          </cell>
          <cell r="O1859" t="str">
            <v>Industrial Cartridge Hydraulic Filter</v>
          </cell>
        </row>
        <row r="1860">
          <cell r="K1860" t="str">
            <v>LAF1974</v>
          </cell>
          <cell r="L1860" t="str">
            <v>HD</v>
          </cell>
          <cell r="M1860" t="str">
            <v>x</v>
          </cell>
          <cell r="N1860" t="e">
            <v>#N/A</v>
          </cell>
          <cell r="O1860" t="str">
            <v>Round Air Filter</v>
          </cell>
        </row>
        <row r="1861">
          <cell r="K1861" t="str">
            <v>LK3M</v>
          </cell>
          <cell r="L1861" t="str">
            <v>HD</v>
          </cell>
          <cell r="M1861" t="str">
            <v>x</v>
          </cell>
          <cell r="N1861" t="e">
            <v>#N/A</v>
          </cell>
          <cell r="O1861" t="str">
            <v>Mack Engine Maintenance Kit</v>
          </cell>
        </row>
        <row r="1862">
          <cell r="K1862" t="str">
            <v>LAF4162</v>
          </cell>
          <cell r="L1862" t="str">
            <v>HD</v>
          </cell>
          <cell r="M1862" t="str">
            <v>x</v>
          </cell>
          <cell r="N1862" t="e">
            <v>#N/A</v>
          </cell>
          <cell r="O1862" t="str">
            <v>Disposible Housing Air Filter</v>
          </cell>
        </row>
        <row r="1863">
          <cell r="K1863" t="str">
            <v>LH4930</v>
          </cell>
          <cell r="L1863" t="str">
            <v>HD</v>
          </cell>
          <cell r="M1863" t="str">
            <v>x</v>
          </cell>
          <cell r="N1863" t="e">
            <v>#N/A</v>
          </cell>
          <cell r="O1863" t="str">
            <v>Cartridge Hydraulic Filter</v>
          </cell>
        </row>
        <row r="1864">
          <cell r="K1864" t="str">
            <v>LAF3902</v>
          </cell>
          <cell r="L1864" t="str">
            <v>HD</v>
          </cell>
          <cell r="M1864" t="str">
            <v>x</v>
          </cell>
          <cell r="N1864" t="e">
            <v>#N/A</v>
          </cell>
          <cell r="O1864" t="str">
            <v>Round Inner Air Filter with Flanged Endcap</v>
          </cell>
        </row>
        <row r="1865">
          <cell r="K1865" t="str">
            <v>LK317C</v>
          </cell>
          <cell r="L1865" t="str">
            <v>HD</v>
          </cell>
          <cell r="M1865" t="str">
            <v>x</v>
          </cell>
          <cell r="N1865" t="e">
            <v>#N/A</v>
          </cell>
          <cell r="O1865" t="str">
            <v>Cummins Engine Maintenance Kit</v>
          </cell>
        </row>
        <row r="1866">
          <cell r="K1866" t="str">
            <v>LP38</v>
          </cell>
          <cell r="L1866" t="str">
            <v>HD</v>
          </cell>
          <cell r="M1866" t="str">
            <v>x</v>
          </cell>
          <cell r="N1866" t="e">
            <v>#N/A</v>
          </cell>
          <cell r="O1866" t="str">
            <v>Cartridge Oil Filter</v>
          </cell>
        </row>
        <row r="1867">
          <cell r="K1867" t="str">
            <v>LH4949</v>
          </cell>
          <cell r="L1867" t="str">
            <v>HD</v>
          </cell>
          <cell r="M1867" t="str">
            <v>x</v>
          </cell>
          <cell r="N1867" t="e">
            <v>#N/A</v>
          </cell>
          <cell r="O1867" t="str">
            <v>Cartridge Hydraulic Filter</v>
          </cell>
        </row>
        <row r="1868">
          <cell r="K1868">
            <v>700</v>
          </cell>
          <cell r="L1868" t="str">
            <v>HD</v>
          </cell>
          <cell r="M1868" t="str">
            <v>x</v>
          </cell>
          <cell r="N1868" t="e">
            <v>#N/A</v>
          </cell>
          <cell r="O1868" t="str">
            <v>Oliver K-5507, M-5507, 1K-5507, 1M-5507, 100125A; Oliver, Waukesha</v>
          </cell>
        </row>
        <row r="1869">
          <cell r="K1869" t="str">
            <v>LAF8407MXM</v>
          </cell>
          <cell r="L1869" t="str">
            <v>HD</v>
          </cell>
          <cell r="M1869" t="str">
            <v>x</v>
          </cell>
          <cell r="N1869" t="e">
            <v>#N/A</v>
          </cell>
          <cell r="O1869" t="str">
            <v xml:space="preserve">Nano Tech Air Filter HD Metal-End </v>
          </cell>
        </row>
        <row r="1870">
          <cell r="K1870" t="str">
            <v>LFP8230</v>
          </cell>
          <cell r="L1870" t="str">
            <v>HD</v>
          </cell>
          <cell r="M1870" t="str">
            <v>x</v>
          </cell>
          <cell r="N1870" t="e">
            <v>#N/A</v>
          </cell>
          <cell r="O1870" t="str">
            <v>Spin-on Oil Filter</v>
          </cell>
        </row>
        <row r="1871">
          <cell r="K1871" t="str">
            <v>L8188F</v>
          </cell>
          <cell r="L1871" t="str">
            <v>HD</v>
          </cell>
          <cell r="M1871" t="str">
            <v>x</v>
          </cell>
          <cell r="N1871" t="e">
            <v>#N/A</v>
          </cell>
          <cell r="O1871" t="str">
            <v>Cartridge Fuel Filter</v>
          </cell>
        </row>
        <row r="1872">
          <cell r="K1872" t="str">
            <v>LAF5298</v>
          </cell>
          <cell r="L1872" t="str">
            <v>HD</v>
          </cell>
          <cell r="M1872" t="str">
            <v>x</v>
          </cell>
          <cell r="N1872" t="e">
            <v>#N/A</v>
          </cell>
          <cell r="O1872" t="str">
            <v>Corrugated Media Air Filter</v>
          </cell>
        </row>
        <row r="1873">
          <cell r="K1873" t="str">
            <v>LFP2270</v>
          </cell>
          <cell r="L1873" t="str">
            <v>HD</v>
          </cell>
          <cell r="M1873" t="str">
            <v>x</v>
          </cell>
          <cell r="N1873" t="e">
            <v>#N/A</v>
          </cell>
          <cell r="O1873" t="str">
            <v>Spin-on Oil Filter</v>
          </cell>
        </row>
        <row r="1874">
          <cell r="K1874" t="str">
            <v>LAF1953MXM</v>
          </cell>
          <cell r="L1874" t="str">
            <v>HD</v>
          </cell>
          <cell r="M1874" t="str">
            <v>x</v>
          </cell>
          <cell r="N1874" t="e">
            <v>#N/A</v>
          </cell>
          <cell r="O1874" t="str">
            <v>Nano Tech HD Metal-End Air Filter Outer</v>
          </cell>
        </row>
        <row r="1875">
          <cell r="K1875" t="str">
            <v>LFP5925</v>
          </cell>
          <cell r="L1875" t="str">
            <v>HD</v>
          </cell>
          <cell r="M1875" t="str">
            <v>x</v>
          </cell>
          <cell r="N1875" t="e">
            <v>#N/A</v>
          </cell>
          <cell r="O1875" t="str">
            <v>Spin-on Oil Filter</v>
          </cell>
        </row>
        <row r="1876">
          <cell r="K1876" t="str">
            <v>LAF9086MXM</v>
          </cell>
          <cell r="L1876" t="str">
            <v>HD</v>
          </cell>
          <cell r="M1876" t="str">
            <v>x</v>
          </cell>
          <cell r="N1876" t="e">
            <v>#N/A</v>
          </cell>
          <cell r="O1876" t="str">
            <v xml:space="preserve">Nano Tech Air Filter HD Metal-End </v>
          </cell>
        </row>
        <row r="1877">
          <cell r="K1877" t="str">
            <v>LP2214</v>
          </cell>
          <cell r="L1877" t="str">
            <v>HD</v>
          </cell>
          <cell r="M1877" t="str">
            <v>x</v>
          </cell>
          <cell r="N1877" t="e">
            <v>#N/A</v>
          </cell>
          <cell r="O1877" t="str">
            <v>Cartridge Oil Filter</v>
          </cell>
        </row>
        <row r="1878">
          <cell r="K1878" t="str">
            <v>LAF5526</v>
          </cell>
          <cell r="L1878" t="str">
            <v>HD</v>
          </cell>
          <cell r="M1878" t="str">
            <v>x</v>
          </cell>
          <cell r="N1878" t="e">
            <v>#N/A</v>
          </cell>
          <cell r="O1878" t="str">
            <v>HD Metal-End Inner Air Filter</v>
          </cell>
        </row>
        <row r="1879">
          <cell r="K1879" t="str">
            <v>LH5181V</v>
          </cell>
          <cell r="L1879" t="str">
            <v>HD</v>
          </cell>
          <cell r="M1879" t="str">
            <v>x</v>
          </cell>
          <cell r="N1879" t="e">
            <v>#N/A</v>
          </cell>
          <cell r="O1879" t="str">
            <v>Industrial Cartridge Hydraulic Filter</v>
          </cell>
        </row>
        <row r="1880">
          <cell r="K1880" t="str">
            <v>LAF3865</v>
          </cell>
          <cell r="L1880" t="str">
            <v>HD</v>
          </cell>
          <cell r="M1880" t="str">
            <v>x</v>
          </cell>
          <cell r="N1880" t="e">
            <v>#N/A</v>
          </cell>
          <cell r="O1880" t="str">
            <v>Radial Seal Inner Air Filter</v>
          </cell>
        </row>
        <row r="1881">
          <cell r="K1881" t="str">
            <v>LK253M</v>
          </cell>
          <cell r="L1881" t="str">
            <v>HD</v>
          </cell>
          <cell r="M1881" t="str">
            <v>x</v>
          </cell>
          <cell r="N1881" t="e">
            <v>#N/A</v>
          </cell>
          <cell r="O1881" t="str">
            <v>Mack Engine Maintenance Kit</v>
          </cell>
        </row>
        <row r="1882">
          <cell r="K1882" t="str">
            <v>LAF1481</v>
          </cell>
          <cell r="L1882" t="str">
            <v>HD</v>
          </cell>
          <cell r="M1882" t="str">
            <v>x</v>
          </cell>
          <cell r="N1882" t="e">
            <v>#N/A</v>
          </cell>
          <cell r="O1882" t="str">
            <v>HD Metal-End Air Filter</v>
          </cell>
        </row>
        <row r="1883">
          <cell r="K1883" t="str">
            <v>LAF9237</v>
          </cell>
          <cell r="L1883" t="str">
            <v>HD</v>
          </cell>
          <cell r="M1883" t="str">
            <v>x</v>
          </cell>
          <cell r="N1883" t="e">
            <v>#N/A</v>
          </cell>
          <cell r="O1883" t="str">
            <v>HD Metal-End Air Filter with Attached Lid</v>
          </cell>
        </row>
        <row r="1884">
          <cell r="K1884" t="str">
            <v>LAF1212</v>
          </cell>
          <cell r="L1884" t="str">
            <v>HD</v>
          </cell>
          <cell r="M1884" t="str">
            <v>x</v>
          </cell>
          <cell r="N1884" t="e">
            <v>#N/A</v>
          </cell>
          <cell r="O1884" t="str">
            <v>Tube Type Air Filter</v>
          </cell>
        </row>
        <row r="1885">
          <cell r="K1885" t="str">
            <v>LFP55</v>
          </cell>
          <cell r="L1885" t="str">
            <v>HD</v>
          </cell>
          <cell r="M1885" t="str">
            <v>x</v>
          </cell>
          <cell r="N1885" t="e">
            <v>#N/A</v>
          </cell>
          <cell r="O1885" t="str">
            <v>Spin-on Oil Filter</v>
          </cell>
        </row>
        <row r="1886">
          <cell r="K1886" t="str">
            <v>LAF8878</v>
          </cell>
          <cell r="L1886" t="str">
            <v>HD</v>
          </cell>
          <cell r="M1886" t="str">
            <v>x</v>
          </cell>
          <cell r="N1886" t="e">
            <v>#N/A</v>
          </cell>
          <cell r="O1886" t="str">
            <v>Radial Seal Outer Air Filter</v>
          </cell>
        </row>
        <row r="1887">
          <cell r="K1887" t="str">
            <v>LAF1872</v>
          </cell>
          <cell r="L1887" t="str">
            <v>HD</v>
          </cell>
          <cell r="M1887" t="str">
            <v>x</v>
          </cell>
          <cell r="N1887" t="e">
            <v>#N/A</v>
          </cell>
          <cell r="O1887" t="str">
            <v>Panel Air Filter Metal Framed</v>
          </cell>
        </row>
        <row r="1888">
          <cell r="K1888" t="str">
            <v>LAF2517</v>
          </cell>
          <cell r="L1888" t="str">
            <v>HD</v>
          </cell>
          <cell r="M1888" t="str">
            <v>x</v>
          </cell>
          <cell r="N1888" t="e">
            <v>#N/A</v>
          </cell>
          <cell r="O1888" t="str">
            <v>Round Inner Air Filter</v>
          </cell>
        </row>
        <row r="1889">
          <cell r="K1889" t="str">
            <v>LAF8560</v>
          </cell>
          <cell r="L1889" t="str">
            <v>HD</v>
          </cell>
          <cell r="M1889" t="str">
            <v>x</v>
          </cell>
          <cell r="N1889" t="e">
            <v>#N/A</v>
          </cell>
          <cell r="O1889" t="str">
            <v>HD Metal-End Air Filter-Inner</v>
          </cell>
        </row>
        <row r="1890">
          <cell r="K1890" t="str">
            <v>LAF4445</v>
          </cell>
          <cell r="L1890" t="str">
            <v>HD</v>
          </cell>
          <cell r="M1890" t="str">
            <v>x</v>
          </cell>
          <cell r="N1890" t="e">
            <v>#N/A</v>
          </cell>
          <cell r="O1890" t="str">
            <v>HD Metal-End Air Filter with Attached Lid</v>
          </cell>
        </row>
        <row r="1891">
          <cell r="K1891" t="str">
            <v>LAF2183A</v>
          </cell>
          <cell r="L1891" t="str">
            <v>HD</v>
          </cell>
          <cell r="M1891" t="str">
            <v>x</v>
          </cell>
          <cell r="N1891" t="e">
            <v>#N/A</v>
          </cell>
          <cell r="O1891" t="str">
            <v>HD Metal-End Air Filter</v>
          </cell>
        </row>
        <row r="1892">
          <cell r="K1892" t="str">
            <v>LAF268</v>
          </cell>
          <cell r="L1892" t="str">
            <v>HD</v>
          </cell>
          <cell r="M1892" t="str">
            <v>x</v>
          </cell>
          <cell r="N1892" t="e">
            <v>#N/A</v>
          </cell>
          <cell r="O1892" t="str">
            <v>HD Metal-End Air Filter</v>
          </cell>
        </row>
        <row r="1893">
          <cell r="K1893" t="str">
            <v>LK182C</v>
          </cell>
          <cell r="L1893" t="str">
            <v>HD</v>
          </cell>
          <cell r="M1893" t="str">
            <v>x</v>
          </cell>
          <cell r="N1893" t="e">
            <v>#N/A</v>
          </cell>
          <cell r="O1893" t="str">
            <v>Cummins Engine Maintenance Kit</v>
          </cell>
        </row>
        <row r="1894">
          <cell r="K1894" t="str">
            <v>LFH1701</v>
          </cell>
          <cell r="L1894" t="str">
            <v>HD</v>
          </cell>
          <cell r="M1894" t="str">
            <v>x</v>
          </cell>
          <cell r="N1894" t="e">
            <v>#N/A</v>
          </cell>
          <cell r="O1894" t="str">
            <v>Spin-on Hydraulic Filter</v>
          </cell>
        </row>
        <row r="1895">
          <cell r="K1895" t="str">
            <v>LAF221</v>
          </cell>
          <cell r="L1895" t="str">
            <v>HD</v>
          </cell>
          <cell r="M1895" t="str">
            <v>x</v>
          </cell>
          <cell r="N1895" t="e">
            <v>#N/A</v>
          </cell>
          <cell r="O1895" t="str">
            <v>Round Air Filter</v>
          </cell>
        </row>
        <row r="1896">
          <cell r="K1896" t="str">
            <v>LH11011V</v>
          </cell>
          <cell r="L1896" t="str">
            <v>HD</v>
          </cell>
          <cell r="M1896" t="str">
            <v>x</v>
          </cell>
          <cell r="N1896" t="e">
            <v>#N/A</v>
          </cell>
          <cell r="O1896" t="str">
            <v>Industrial Cartridge Hydraulic Filter</v>
          </cell>
        </row>
        <row r="1897">
          <cell r="K1897" t="str">
            <v>LH11006V</v>
          </cell>
          <cell r="L1897" t="str">
            <v>HD</v>
          </cell>
          <cell r="M1897" t="str">
            <v>x</v>
          </cell>
          <cell r="N1897" t="e">
            <v>#N/A</v>
          </cell>
          <cell r="O1897" t="str">
            <v>Industrial Cartridge Hydraulic Filter</v>
          </cell>
        </row>
        <row r="1898">
          <cell r="K1898" t="str">
            <v>LAF1996</v>
          </cell>
          <cell r="L1898" t="str">
            <v>HD</v>
          </cell>
          <cell r="M1898" t="str">
            <v>x</v>
          </cell>
          <cell r="N1898" t="e">
            <v>#N/A</v>
          </cell>
          <cell r="O1898" t="str">
            <v>HD Metal-End Inner Air Filter</v>
          </cell>
        </row>
        <row r="1899">
          <cell r="K1899" t="str">
            <v>LAF5863</v>
          </cell>
          <cell r="L1899" t="str">
            <v>HD</v>
          </cell>
          <cell r="M1899" t="str">
            <v>x</v>
          </cell>
          <cell r="N1899" t="e">
            <v>#N/A</v>
          </cell>
          <cell r="O1899" t="str">
            <v>HD Metal-End Air Filter with Attached Lid</v>
          </cell>
        </row>
        <row r="1900">
          <cell r="K1900" t="str">
            <v>LAF1865</v>
          </cell>
          <cell r="L1900" t="str">
            <v>HD</v>
          </cell>
          <cell r="M1900" t="str">
            <v>x</v>
          </cell>
          <cell r="N1900" t="str">
            <v>LAF1865</v>
          </cell>
          <cell r="O1900" t="str">
            <v>HD Metal-End Air Filter</v>
          </cell>
        </row>
        <row r="1901">
          <cell r="K1901" t="str">
            <v>L1148F</v>
          </cell>
          <cell r="L1901" t="str">
            <v>HD</v>
          </cell>
          <cell r="M1901" t="str">
            <v>x</v>
          </cell>
          <cell r="N1901" t="e">
            <v>#N/A</v>
          </cell>
          <cell r="O1901" t="str">
            <v>Fuel Water Seperator Element Filter</v>
          </cell>
        </row>
        <row r="1902">
          <cell r="K1902" t="str">
            <v>LFF12D</v>
          </cell>
          <cell r="L1902" t="str">
            <v>HD</v>
          </cell>
          <cell r="M1902" t="str">
            <v>x</v>
          </cell>
          <cell r="N1902" t="e">
            <v>#N/A</v>
          </cell>
          <cell r="O1902" t="str">
            <v>Fuel Dispensing Filter</v>
          </cell>
        </row>
        <row r="1903">
          <cell r="K1903" t="str">
            <v>LK228C</v>
          </cell>
          <cell r="L1903" t="str">
            <v>HD</v>
          </cell>
          <cell r="M1903" t="str">
            <v>x</v>
          </cell>
          <cell r="N1903" t="e">
            <v>#N/A</v>
          </cell>
          <cell r="O1903" t="str">
            <v>Cummins Engine Maintenance Kit</v>
          </cell>
        </row>
        <row r="1904">
          <cell r="K1904" t="str">
            <v>LK56CA</v>
          </cell>
          <cell r="L1904" t="str">
            <v>HD</v>
          </cell>
          <cell r="M1904" t="str">
            <v>x</v>
          </cell>
          <cell r="N1904" t="e">
            <v>#N/A</v>
          </cell>
          <cell r="O1904" t="str">
            <v>Caterpillar Engine Maintenance Kit</v>
          </cell>
        </row>
        <row r="1905">
          <cell r="K1905" t="str">
            <v>LK345CA</v>
          </cell>
          <cell r="L1905" t="str">
            <v>HD</v>
          </cell>
          <cell r="M1905" t="str">
            <v>x</v>
          </cell>
          <cell r="N1905" t="e">
            <v>#N/A</v>
          </cell>
          <cell r="O1905" t="str">
            <v>Caterpillar Engine Maintenance Kit</v>
          </cell>
        </row>
        <row r="1906">
          <cell r="K1906" t="str">
            <v>LP2272</v>
          </cell>
          <cell r="L1906" t="str">
            <v>HD</v>
          </cell>
          <cell r="M1906" t="str">
            <v>x</v>
          </cell>
          <cell r="N1906" t="e">
            <v>#N/A</v>
          </cell>
          <cell r="O1906" t="str">
            <v>Cartridge Oil Filter</v>
          </cell>
        </row>
        <row r="1907">
          <cell r="K1907" t="str">
            <v>LH5751</v>
          </cell>
          <cell r="L1907" t="str">
            <v>HD</v>
          </cell>
          <cell r="M1907" t="str">
            <v>x</v>
          </cell>
          <cell r="N1907" t="e">
            <v>#N/A</v>
          </cell>
          <cell r="O1907" t="str">
            <v>Cartridge Hydraulic Filter</v>
          </cell>
        </row>
        <row r="1908">
          <cell r="K1908" t="str">
            <v>LH4250</v>
          </cell>
          <cell r="L1908" t="str">
            <v>HD</v>
          </cell>
          <cell r="M1908" t="str">
            <v>x</v>
          </cell>
          <cell r="N1908" t="e">
            <v>#N/A</v>
          </cell>
          <cell r="O1908" t="str">
            <v>Cartridge Hydraulic Filter</v>
          </cell>
        </row>
        <row r="1909">
          <cell r="K1909" t="str">
            <v>LH95305V</v>
          </cell>
          <cell r="L1909" t="str">
            <v>HD</v>
          </cell>
          <cell r="M1909" t="str">
            <v>x</v>
          </cell>
          <cell r="N1909" t="e">
            <v>#N/A</v>
          </cell>
          <cell r="O1909" t="str">
            <v>Cartridge Hydraulic Filter</v>
          </cell>
        </row>
        <row r="1910">
          <cell r="K1910" t="str">
            <v>L3563F</v>
          </cell>
          <cell r="L1910" t="str">
            <v>HD</v>
          </cell>
          <cell r="M1910" t="str">
            <v>x</v>
          </cell>
          <cell r="N1910" t="e">
            <v>#N/A</v>
          </cell>
          <cell r="O1910" t="str">
            <v>Cartridge Fuel Filter</v>
          </cell>
        </row>
        <row r="1911">
          <cell r="K1911" t="str">
            <v>CAF7798</v>
          </cell>
          <cell r="L1911" t="str">
            <v>HD</v>
          </cell>
          <cell r="M1911" t="str">
            <v>x</v>
          </cell>
          <cell r="N1911" t="e">
            <v>#N/A</v>
          </cell>
          <cell r="O1911" t="str">
            <v>Cabin Air Filter (Carbon)</v>
          </cell>
        </row>
        <row r="1912">
          <cell r="K1912" t="str">
            <v>LAF8689</v>
          </cell>
          <cell r="L1912" t="str">
            <v>HD</v>
          </cell>
          <cell r="M1912" t="str">
            <v>x</v>
          </cell>
          <cell r="N1912" t="e">
            <v>#N/A</v>
          </cell>
          <cell r="O1912" t="str">
            <v>Radial Seal Inner Air Filter</v>
          </cell>
        </row>
        <row r="1913">
          <cell r="K1913" t="str">
            <v>LAF8658</v>
          </cell>
          <cell r="L1913" t="str">
            <v>HD</v>
          </cell>
          <cell r="M1913" t="str">
            <v>x</v>
          </cell>
          <cell r="N1913" t="e">
            <v>#N/A</v>
          </cell>
          <cell r="O1913" t="str">
            <v>HD Metal-End Air Filter</v>
          </cell>
        </row>
        <row r="1914">
          <cell r="K1914" t="str">
            <v>LAF4759</v>
          </cell>
          <cell r="L1914" t="str">
            <v>HD</v>
          </cell>
          <cell r="M1914" t="str">
            <v>x</v>
          </cell>
          <cell r="N1914" t="e">
            <v>#N/A</v>
          </cell>
          <cell r="O1914" t="str">
            <v>HD Metal-End Air Filter</v>
          </cell>
        </row>
        <row r="1915">
          <cell r="K1915" t="str">
            <v>LAF8072</v>
          </cell>
          <cell r="L1915" t="str">
            <v>HD</v>
          </cell>
          <cell r="M1915" t="str">
            <v>x</v>
          </cell>
          <cell r="N1915" t="e">
            <v>#N/A</v>
          </cell>
          <cell r="O1915" t="str">
            <v>HD Metal-End Air Filter with Attached Lid</v>
          </cell>
        </row>
        <row r="1916">
          <cell r="K1916" t="str">
            <v>LH4226</v>
          </cell>
          <cell r="L1916" t="str">
            <v>HD</v>
          </cell>
          <cell r="M1916" t="str">
            <v>x</v>
          </cell>
          <cell r="N1916" t="e">
            <v>#N/A</v>
          </cell>
          <cell r="O1916" t="str">
            <v>Cartridge Hydraulic Filter</v>
          </cell>
        </row>
        <row r="1917">
          <cell r="K1917" t="str">
            <v>LAF8226</v>
          </cell>
          <cell r="L1917" t="str">
            <v>HD</v>
          </cell>
          <cell r="M1917" t="str">
            <v>x</v>
          </cell>
          <cell r="N1917" t="e">
            <v>#N/A</v>
          </cell>
          <cell r="O1917" t="str">
            <v>HD Metal-End Inner Air Filter</v>
          </cell>
        </row>
        <row r="1918">
          <cell r="K1918" t="str">
            <v>LAF1905</v>
          </cell>
          <cell r="L1918" t="str">
            <v>HD</v>
          </cell>
          <cell r="M1918" t="str">
            <v>x</v>
          </cell>
          <cell r="N1918" t="e">
            <v>#N/A</v>
          </cell>
          <cell r="O1918" t="str">
            <v>HD Metal-End Air Filter</v>
          </cell>
        </row>
        <row r="1919">
          <cell r="K1919" t="str">
            <v>L8254F</v>
          </cell>
          <cell r="L1919" t="str">
            <v>HD</v>
          </cell>
          <cell r="M1919" t="str">
            <v>x</v>
          </cell>
          <cell r="N1919" t="e">
            <v>#N/A</v>
          </cell>
          <cell r="O1919" t="str">
            <v>Cartridge Fuel Filter</v>
          </cell>
        </row>
        <row r="1920">
          <cell r="K1920" t="str">
            <v>LAF1711</v>
          </cell>
          <cell r="L1920" t="str">
            <v>HD</v>
          </cell>
          <cell r="M1920" t="str">
            <v>x</v>
          </cell>
          <cell r="N1920" t="e">
            <v>#N/A</v>
          </cell>
          <cell r="O1920" t="str">
            <v>Round Inner Air Filter</v>
          </cell>
        </row>
        <row r="1921">
          <cell r="K1921" t="str">
            <v>LAF264</v>
          </cell>
          <cell r="L1921" t="str">
            <v>HD</v>
          </cell>
          <cell r="M1921" t="str">
            <v>x</v>
          </cell>
          <cell r="N1921" t="e">
            <v>#N/A</v>
          </cell>
          <cell r="O1921" t="str">
            <v>HD Metal-End Air Filter</v>
          </cell>
        </row>
        <row r="1922">
          <cell r="K1922" t="str">
            <v>LAF8604</v>
          </cell>
          <cell r="L1922" t="str">
            <v>HD</v>
          </cell>
          <cell r="M1922" t="str">
            <v>x</v>
          </cell>
          <cell r="N1922" t="e">
            <v>#N/A</v>
          </cell>
          <cell r="O1922" t="str">
            <v>HD Metal-End Air Filter with Attached Lid</v>
          </cell>
        </row>
        <row r="1923">
          <cell r="K1923" t="str">
            <v>LAF5518</v>
          </cell>
          <cell r="L1923" t="str">
            <v>HD</v>
          </cell>
          <cell r="M1923" t="str">
            <v>x</v>
          </cell>
          <cell r="N1923" t="e">
            <v>#N/A</v>
          </cell>
          <cell r="O1923" t="str">
            <v>HD Round Air Filter with Attached Boot</v>
          </cell>
        </row>
        <row r="1924">
          <cell r="K1924" t="str">
            <v>LAF3702</v>
          </cell>
          <cell r="L1924" t="str">
            <v>HD</v>
          </cell>
          <cell r="M1924" t="str">
            <v>x</v>
          </cell>
          <cell r="N1924" t="e">
            <v>#N/A</v>
          </cell>
          <cell r="O1924" t="str">
            <v>HD Round Air Filter with Attached Lid</v>
          </cell>
        </row>
        <row r="1925">
          <cell r="K1925" t="str">
            <v>LAF4631</v>
          </cell>
          <cell r="L1925" t="str">
            <v>HD</v>
          </cell>
          <cell r="M1925" t="str">
            <v>x</v>
          </cell>
          <cell r="N1925" t="e">
            <v>#N/A</v>
          </cell>
          <cell r="O1925" t="str">
            <v>HD Metal-End Air Filter</v>
          </cell>
        </row>
        <row r="1926">
          <cell r="K1926" t="str">
            <v>LAF8622</v>
          </cell>
          <cell r="L1926" t="str">
            <v>HD</v>
          </cell>
          <cell r="M1926" t="str">
            <v>x</v>
          </cell>
          <cell r="N1926" t="e">
            <v>#N/A</v>
          </cell>
          <cell r="O1926" t="str">
            <v>Round Inner Air Filter</v>
          </cell>
        </row>
        <row r="1927">
          <cell r="K1927" t="str">
            <v>LAF9111</v>
          </cell>
          <cell r="L1927" t="str">
            <v>HD</v>
          </cell>
          <cell r="M1927" t="str">
            <v>x</v>
          </cell>
          <cell r="N1927" t="e">
            <v>#N/A</v>
          </cell>
          <cell r="O1927" t="str">
            <v>Finned Vane Air Filter With Attached Lid</v>
          </cell>
        </row>
        <row r="1928">
          <cell r="K1928" t="str">
            <v>LAF4490</v>
          </cell>
          <cell r="L1928" t="str">
            <v>HD</v>
          </cell>
          <cell r="M1928" t="str">
            <v>x</v>
          </cell>
          <cell r="N1928" t="e">
            <v>#N/A</v>
          </cell>
          <cell r="O1928" t="str">
            <v>Metal-End Air Filter with Closed Top End Cap</v>
          </cell>
        </row>
        <row r="1929">
          <cell r="K1929" t="str">
            <v>LAF1640</v>
          </cell>
          <cell r="L1929" t="str">
            <v>HD</v>
          </cell>
          <cell r="M1929" t="str">
            <v>x</v>
          </cell>
          <cell r="N1929" t="e">
            <v>#N/A</v>
          </cell>
          <cell r="O1929" t="str">
            <v>Oval Air Filter</v>
          </cell>
        </row>
        <row r="1930">
          <cell r="K1930" t="str">
            <v>LAF7933</v>
          </cell>
          <cell r="L1930" t="str">
            <v>HD</v>
          </cell>
          <cell r="M1930" t="str">
            <v>x</v>
          </cell>
          <cell r="N1930" t="e">
            <v>#N/A</v>
          </cell>
          <cell r="O1930" t="str">
            <v>HD Metal-End Inner Air Filter</v>
          </cell>
        </row>
        <row r="1931">
          <cell r="K1931" t="str">
            <v>LAF8633</v>
          </cell>
          <cell r="L1931" t="str">
            <v>HD</v>
          </cell>
          <cell r="M1931" t="str">
            <v>x</v>
          </cell>
          <cell r="N1931" t="e">
            <v>#N/A</v>
          </cell>
          <cell r="O1931" t="str">
            <v>HD Metal-End Air Filter</v>
          </cell>
        </row>
        <row r="1932">
          <cell r="K1932" t="str">
            <v>L5087F</v>
          </cell>
          <cell r="L1932" t="str">
            <v>HD</v>
          </cell>
          <cell r="M1932" t="str">
            <v>x</v>
          </cell>
          <cell r="N1932" t="e">
            <v>#N/A</v>
          </cell>
          <cell r="O1932" t="str">
            <v>Cartridge Fuel Filter</v>
          </cell>
        </row>
        <row r="1933">
          <cell r="K1933" t="str">
            <v>3692</v>
          </cell>
          <cell r="L1933" t="str">
            <v>HD</v>
          </cell>
          <cell r="M1933" t="str">
            <v>x</v>
          </cell>
          <cell r="N1933" t="e">
            <v>#N/A</v>
          </cell>
          <cell r="O1933" t="str">
            <v>Cover Gasket Replaces Cummins 145641, For Cummins 500 &amp; 750 Units</v>
          </cell>
        </row>
        <row r="1934">
          <cell r="K1934">
            <v>500</v>
          </cell>
          <cell r="L1934" t="str">
            <v>HD</v>
          </cell>
          <cell r="M1934" t="str">
            <v>x</v>
          </cell>
          <cell r="N1934" t="e">
            <v>#N/A</v>
          </cell>
          <cell r="O1934" t="str">
            <v>Luber-finer 500 Series refining pak (standard), recommended for filtering non-detergent, straight mineral oil, synthetic oils, hydraulic fluids, fuel oils, etc.</v>
          </cell>
        </row>
        <row r="1935">
          <cell r="K1935" t="str">
            <v>LAF8672</v>
          </cell>
          <cell r="L1935" t="str">
            <v>HD</v>
          </cell>
          <cell r="M1935" t="str">
            <v>x</v>
          </cell>
          <cell r="N1935" t="e">
            <v>#N/A</v>
          </cell>
          <cell r="O1935" t="str">
            <v>Disposible Housing Air Filter</v>
          </cell>
        </row>
        <row r="1936">
          <cell r="K1936" t="str">
            <v>LP2336</v>
          </cell>
          <cell r="L1936" t="str">
            <v>HD</v>
          </cell>
          <cell r="M1936" t="str">
            <v>x</v>
          </cell>
          <cell r="N1936" t="e">
            <v>#N/A</v>
          </cell>
          <cell r="O1936" t="str">
            <v>Cartridge Oil Filter</v>
          </cell>
        </row>
        <row r="1937">
          <cell r="K1937" t="str">
            <v>LAF5835</v>
          </cell>
          <cell r="L1937" t="str">
            <v>HD</v>
          </cell>
          <cell r="M1937" t="str">
            <v>x</v>
          </cell>
          <cell r="N1937" t="e">
            <v>#N/A</v>
          </cell>
          <cell r="O1937" t="str">
            <v>HD Metal-End Air Filter-Inner</v>
          </cell>
        </row>
        <row r="1938">
          <cell r="K1938" t="str">
            <v>LAF8656</v>
          </cell>
          <cell r="L1938" t="str">
            <v>HD</v>
          </cell>
          <cell r="M1938" t="str">
            <v>x</v>
          </cell>
          <cell r="N1938" t="e">
            <v>#N/A</v>
          </cell>
          <cell r="O1938" t="str">
            <v>HD Metal-End Air Filter</v>
          </cell>
        </row>
        <row r="1939">
          <cell r="K1939" t="str">
            <v>LK262CA</v>
          </cell>
          <cell r="L1939" t="str">
            <v>HD</v>
          </cell>
          <cell r="M1939" t="str">
            <v>x</v>
          </cell>
          <cell r="N1939" t="e">
            <v>#N/A</v>
          </cell>
          <cell r="O1939" t="str">
            <v>Caterpillar Engine Maintenance Kit</v>
          </cell>
        </row>
        <row r="1940">
          <cell r="K1940" t="str">
            <v>LAF8607</v>
          </cell>
          <cell r="L1940" t="str">
            <v>HD</v>
          </cell>
          <cell r="M1940" t="str">
            <v>x</v>
          </cell>
          <cell r="N1940" t="e">
            <v>#N/A</v>
          </cell>
          <cell r="O1940" t="str">
            <v>HD Round Air Filter with Attached Boot</v>
          </cell>
        </row>
        <row r="1941">
          <cell r="K1941" t="str">
            <v>LFF4102D</v>
          </cell>
          <cell r="L1941" t="str">
            <v>HD</v>
          </cell>
          <cell r="M1941" t="str">
            <v>x</v>
          </cell>
          <cell r="N1941" t="e">
            <v>#N/A</v>
          </cell>
          <cell r="O1941" t="str">
            <v>Spin-on Fuel Filter</v>
          </cell>
        </row>
        <row r="1942">
          <cell r="K1942" t="str">
            <v>LFP2257</v>
          </cell>
          <cell r="L1942" t="str">
            <v>HD</v>
          </cell>
          <cell r="M1942" t="str">
            <v>x</v>
          </cell>
          <cell r="N1942" t="e">
            <v>#N/A</v>
          </cell>
          <cell r="O1942" t="str">
            <v>Spin-on Oil Filter</v>
          </cell>
        </row>
        <row r="1943">
          <cell r="K1943" t="str">
            <v>LH4246</v>
          </cell>
          <cell r="L1943" t="str">
            <v>HD</v>
          </cell>
          <cell r="M1943" t="str">
            <v>x</v>
          </cell>
          <cell r="N1943" t="e">
            <v>#N/A</v>
          </cell>
          <cell r="O1943" t="str">
            <v>Cartridge Hydraulic Filter</v>
          </cell>
        </row>
        <row r="1944">
          <cell r="K1944" t="str">
            <v>LAF1136</v>
          </cell>
          <cell r="L1944" t="str">
            <v>HD</v>
          </cell>
          <cell r="M1944" t="str">
            <v>x</v>
          </cell>
          <cell r="N1944" t="e">
            <v>#N/A</v>
          </cell>
          <cell r="O1944" t="str">
            <v>Round Inner Air Filter</v>
          </cell>
        </row>
        <row r="1945">
          <cell r="K1945" t="str">
            <v>LAF9387</v>
          </cell>
          <cell r="L1945" t="str">
            <v>HD</v>
          </cell>
          <cell r="M1945" t="str">
            <v>x</v>
          </cell>
          <cell r="N1945" t="e">
            <v>#N/A</v>
          </cell>
          <cell r="O1945" t="str">
            <v>Radial Seal Inner Air Filter</v>
          </cell>
        </row>
        <row r="1946">
          <cell r="K1946" t="str">
            <v>LFP8452</v>
          </cell>
          <cell r="L1946" t="str">
            <v>HD</v>
          </cell>
          <cell r="M1946" t="str">
            <v>x</v>
          </cell>
          <cell r="N1946" t="e">
            <v>#N/A</v>
          </cell>
          <cell r="O1946" t="str">
            <v>Spin-on Oil Filter</v>
          </cell>
        </row>
        <row r="1947">
          <cell r="K1947" t="str">
            <v>LAF22013</v>
          </cell>
          <cell r="L1947" t="str">
            <v>HD</v>
          </cell>
          <cell r="M1947" t="str">
            <v>x</v>
          </cell>
          <cell r="N1947" t="e">
            <v>#N/A</v>
          </cell>
          <cell r="O1947" t="str">
            <v>Finned Vane Air Filter</v>
          </cell>
        </row>
        <row r="1948">
          <cell r="K1948" t="str">
            <v>LAF4347</v>
          </cell>
          <cell r="L1948" t="str">
            <v>HD</v>
          </cell>
          <cell r="M1948" t="str">
            <v>x</v>
          </cell>
          <cell r="N1948" t="e">
            <v>#N/A</v>
          </cell>
          <cell r="O1948" t="str">
            <v>Finned Vane Air Filter</v>
          </cell>
        </row>
        <row r="1949">
          <cell r="K1949" t="str">
            <v>LFH4201</v>
          </cell>
          <cell r="L1949" t="str">
            <v>HD</v>
          </cell>
          <cell r="M1949" t="str">
            <v>x</v>
          </cell>
          <cell r="N1949" t="e">
            <v>#N/A</v>
          </cell>
          <cell r="O1949" t="str">
            <v>Spin-on Hydraulic Filter</v>
          </cell>
        </row>
        <row r="1950">
          <cell r="K1950" t="str">
            <v>LAF8954</v>
          </cell>
          <cell r="L1950" t="str">
            <v>HD</v>
          </cell>
          <cell r="M1950" t="str">
            <v>x</v>
          </cell>
          <cell r="N1950" t="e">
            <v>#N/A</v>
          </cell>
          <cell r="O1950" t="str">
            <v>HD Metal-End Air Filter</v>
          </cell>
        </row>
        <row r="1951">
          <cell r="K1951" t="str">
            <v>LH4396</v>
          </cell>
          <cell r="L1951" t="str">
            <v>HD</v>
          </cell>
          <cell r="M1951" t="str">
            <v>x</v>
          </cell>
          <cell r="N1951" t="e">
            <v>#N/A</v>
          </cell>
          <cell r="O1951" t="str">
            <v>Cartridge Hydraulic Filter</v>
          </cell>
        </row>
        <row r="1952">
          <cell r="K1952" t="str">
            <v>LAF1226</v>
          </cell>
          <cell r="L1952" t="str">
            <v>HD</v>
          </cell>
          <cell r="M1952" t="str">
            <v>x</v>
          </cell>
          <cell r="N1952" t="e">
            <v>#N/A</v>
          </cell>
          <cell r="O1952" t="str">
            <v>Tube Type Air Filter</v>
          </cell>
        </row>
        <row r="1953">
          <cell r="K1953" t="str">
            <v>LFF3416</v>
          </cell>
          <cell r="L1953" t="str">
            <v>HD</v>
          </cell>
          <cell r="M1953" t="str">
            <v>x</v>
          </cell>
          <cell r="N1953" t="e">
            <v>#N/A</v>
          </cell>
          <cell r="O1953" t="str">
            <v>Spin-on Fuel Filter</v>
          </cell>
        </row>
        <row r="1954">
          <cell r="K1954" t="str">
            <v>LAF1779</v>
          </cell>
          <cell r="L1954" t="str">
            <v>HD</v>
          </cell>
          <cell r="M1954" t="str">
            <v>x</v>
          </cell>
          <cell r="N1954" t="e">
            <v>#N/A</v>
          </cell>
          <cell r="O1954" t="str">
            <v>Round Inner Air Filter</v>
          </cell>
        </row>
        <row r="1955">
          <cell r="K1955" t="str">
            <v>LAF1973</v>
          </cell>
          <cell r="L1955" t="str">
            <v>HD</v>
          </cell>
          <cell r="M1955" t="str">
            <v>x</v>
          </cell>
          <cell r="N1955" t="e">
            <v>#N/A</v>
          </cell>
          <cell r="O1955" t="str">
            <v>Round Air Filter</v>
          </cell>
        </row>
        <row r="1956">
          <cell r="K1956" t="str">
            <v>LAF8182</v>
          </cell>
          <cell r="L1956" t="str">
            <v>HD</v>
          </cell>
          <cell r="M1956" t="str">
            <v>x</v>
          </cell>
          <cell r="N1956" t="e">
            <v>#N/A</v>
          </cell>
          <cell r="O1956" t="str">
            <v>HD Metal-End Air Filter</v>
          </cell>
        </row>
        <row r="1957">
          <cell r="K1957" t="str">
            <v>LK21C</v>
          </cell>
          <cell r="L1957" t="str">
            <v>HD</v>
          </cell>
          <cell r="M1957" t="str">
            <v>x</v>
          </cell>
          <cell r="N1957" t="e">
            <v>#N/A</v>
          </cell>
          <cell r="O1957" t="str">
            <v>Cummins Engine Maintenance Kit</v>
          </cell>
        </row>
        <row r="1958">
          <cell r="K1958" t="str">
            <v>LH4236</v>
          </cell>
          <cell r="L1958" t="str">
            <v>HD</v>
          </cell>
          <cell r="M1958" t="str">
            <v>x</v>
          </cell>
          <cell r="N1958" t="e">
            <v>#N/A</v>
          </cell>
          <cell r="O1958" t="str">
            <v>Cartridge Hydraulic Filter</v>
          </cell>
        </row>
        <row r="1959">
          <cell r="K1959" t="str">
            <v>L3542F</v>
          </cell>
          <cell r="L1959" t="str">
            <v>HD</v>
          </cell>
          <cell r="M1959" t="str">
            <v>x</v>
          </cell>
          <cell r="N1959" t="e">
            <v>#N/A</v>
          </cell>
          <cell r="O1959" t="str">
            <v>Cartridge Fuel Filter</v>
          </cell>
        </row>
        <row r="1960">
          <cell r="K1960" t="str">
            <v>LAF240HD</v>
          </cell>
          <cell r="L1960" t="str">
            <v>HD</v>
          </cell>
          <cell r="M1960" t="str">
            <v>x</v>
          </cell>
          <cell r="N1960" t="e">
            <v>#N/A</v>
          </cell>
          <cell r="O1960" t="str">
            <v>HD Round Air Filter with non-woven Batt Media</v>
          </cell>
        </row>
        <row r="1961">
          <cell r="K1961" t="str">
            <v>LAF3742</v>
          </cell>
          <cell r="L1961" t="str">
            <v>HD</v>
          </cell>
          <cell r="M1961" t="str">
            <v>x</v>
          </cell>
          <cell r="N1961" t="e">
            <v>#N/A</v>
          </cell>
          <cell r="O1961" t="str">
            <v>Finned Vane Air Filter</v>
          </cell>
        </row>
        <row r="1962">
          <cell r="K1962" t="str">
            <v>LAF8977</v>
          </cell>
          <cell r="L1962" t="str">
            <v>HD</v>
          </cell>
          <cell r="M1962" t="str">
            <v>x</v>
          </cell>
          <cell r="N1962" t="e">
            <v>#N/A</v>
          </cell>
          <cell r="O1962" t="str">
            <v>HD Metal-End Air Filter with Attached Lid</v>
          </cell>
        </row>
        <row r="1963">
          <cell r="K1963" t="str">
            <v>LFF6354</v>
          </cell>
          <cell r="L1963" t="str">
            <v>HD</v>
          </cell>
          <cell r="M1963" t="str">
            <v>x</v>
          </cell>
          <cell r="N1963" t="e">
            <v>#N/A</v>
          </cell>
          <cell r="O1963" t="str">
            <v>Spin-on Fuel Filter</v>
          </cell>
        </row>
        <row r="1964">
          <cell r="K1964" t="str">
            <v>LAF1940</v>
          </cell>
          <cell r="L1964" t="str">
            <v>HD</v>
          </cell>
          <cell r="M1964" t="str">
            <v>x</v>
          </cell>
          <cell r="N1964" t="e">
            <v>#N/A</v>
          </cell>
          <cell r="O1964" t="str">
            <v>HD Metal-End Inner Air Filter</v>
          </cell>
        </row>
        <row r="1965">
          <cell r="K1965" t="str">
            <v>LAF2604</v>
          </cell>
          <cell r="L1965" t="str">
            <v>HD</v>
          </cell>
          <cell r="M1965" t="str">
            <v>x</v>
          </cell>
          <cell r="N1965" t="e">
            <v>#N/A</v>
          </cell>
          <cell r="O1965" t="str">
            <v>Finned Vane Air Filter</v>
          </cell>
        </row>
        <row r="1966">
          <cell r="K1966" t="str">
            <v>LFH4200</v>
          </cell>
          <cell r="L1966" t="str">
            <v>HD</v>
          </cell>
          <cell r="M1966" t="str">
            <v>x</v>
          </cell>
          <cell r="N1966" t="e">
            <v>#N/A</v>
          </cell>
          <cell r="O1966" t="str">
            <v>Spin-on Hydraulic Filter</v>
          </cell>
        </row>
        <row r="1967">
          <cell r="K1967" t="str">
            <v>LAF2625</v>
          </cell>
          <cell r="L1967" t="str">
            <v>HD</v>
          </cell>
          <cell r="M1967" t="str">
            <v>x</v>
          </cell>
          <cell r="N1967" t="e">
            <v>#N/A</v>
          </cell>
          <cell r="O1967" t="str">
            <v>HD Metal-End Inner Air Filter</v>
          </cell>
        </row>
        <row r="1968">
          <cell r="K1968" t="str">
            <v>LFF903</v>
          </cell>
          <cell r="L1968" t="str">
            <v>HD</v>
          </cell>
          <cell r="M1968" t="str">
            <v>x</v>
          </cell>
          <cell r="N1968" t="e">
            <v>#N/A</v>
          </cell>
          <cell r="O1968" t="str">
            <v>Bowl Style Fuel Water Separator Filter</v>
          </cell>
        </row>
        <row r="1969">
          <cell r="K1969" t="str">
            <v>LAF337</v>
          </cell>
          <cell r="L1969" t="str">
            <v>HD</v>
          </cell>
          <cell r="M1969" t="str">
            <v>x</v>
          </cell>
          <cell r="N1969" t="e">
            <v>#N/A</v>
          </cell>
          <cell r="O1969" t="str">
            <v>HD Metal-End Air Filter with Attached Lid</v>
          </cell>
        </row>
        <row r="1970">
          <cell r="K1970" t="str">
            <v>LAF3661</v>
          </cell>
          <cell r="L1970" t="str">
            <v>HD</v>
          </cell>
          <cell r="M1970" t="str">
            <v>x</v>
          </cell>
          <cell r="N1970" t="e">
            <v>#N/A</v>
          </cell>
          <cell r="O1970" t="str">
            <v>Disposible Housing Air Filter</v>
          </cell>
        </row>
        <row r="1971">
          <cell r="K1971" t="str">
            <v>LAF8426</v>
          </cell>
          <cell r="L1971" t="str">
            <v>HD</v>
          </cell>
          <cell r="M1971" t="str">
            <v>x</v>
          </cell>
          <cell r="N1971" t="e">
            <v>#N/A</v>
          </cell>
          <cell r="O1971" t="str">
            <v>Finned Vane Air Filter</v>
          </cell>
        </row>
        <row r="1972">
          <cell r="K1972" t="str">
            <v>LP5100</v>
          </cell>
          <cell r="L1972" t="str">
            <v>HD</v>
          </cell>
          <cell r="M1972" t="str">
            <v>x</v>
          </cell>
          <cell r="N1972" t="e">
            <v>#N/A</v>
          </cell>
          <cell r="O1972" t="str">
            <v>Cartridge Oil Filter</v>
          </cell>
        </row>
        <row r="1973">
          <cell r="K1973" t="str">
            <v>LFP6240</v>
          </cell>
          <cell r="L1973" t="str">
            <v>HD</v>
          </cell>
          <cell r="M1973" t="str">
            <v>x</v>
          </cell>
          <cell r="N1973" t="e">
            <v>#N/A</v>
          </cell>
          <cell r="O1973" t="str">
            <v>Spin-on Oil Filter</v>
          </cell>
        </row>
        <row r="1974">
          <cell r="K1974" t="str">
            <v>LAF3862</v>
          </cell>
          <cell r="L1974" t="str">
            <v>HD</v>
          </cell>
          <cell r="M1974" t="str">
            <v>x</v>
          </cell>
          <cell r="N1974" t="e">
            <v>#N/A</v>
          </cell>
          <cell r="O1974" t="str">
            <v>Radial Seal Outer Air Filter</v>
          </cell>
        </row>
        <row r="1975">
          <cell r="K1975" t="str">
            <v>LH11010V</v>
          </cell>
          <cell r="L1975" t="str">
            <v>HD</v>
          </cell>
          <cell r="M1975" t="str">
            <v>x</v>
          </cell>
          <cell r="N1975" t="e">
            <v>#N/A</v>
          </cell>
          <cell r="O1975" t="str">
            <v>Industrial Cartridge Hydraulic Filter</v>
          </cell>
        </row>
        <row r="1976">
          <cell r="K1976" t="str">
            <v>LH11005V</v>
          </cell>
          <cell r="L1976" t="str">
            <v>HD</v>
          </cell>
          <cell r="M1976" t="str">
            <v>x</v>
          </cell>
          <cell r="N1976" t="e">
            <v>#N/A</v>
          </cell>
          <cell r="O1976" t="str">
            <v>Industrial Cartridge Hydraulic Filter</v>
          </cell>
        </row>
        <row r="1977">
          <cell r="K1977" t="str">
            <v>LAF22036</v>
          </cell>
          <cell r="L1977" t="str">
            <v>HD</v>
          </cell>
          <cell r="M1977" t="str">
            <v>x</v>
          </cell>
          <cell r="N1977" t="e">
            <v>#N/A</v>
          </cell>
          <cell r="O1977" t="str">
            <v>Round Air Filter</v>
          </cell>
        </row>
        <row r="1978">
          <cell r="K1978" t="str">
            <v>LAF1877</v>
          </cell>
          <cell r="L1978" t="str">
            <v>HD</v>
          </cell>
          <cell r="M1978" t="str">
            <v>x</v>
          </cell>
          <cell r="N1978" t="e">
            <v>#N/A</v>
          </cell>
          <cell r="O1978" t="str">
            <v>Panel Air Filter Metal Framed</v>
          </cell>
        </row>
        <row r="1979">
          <cell r="K1979" t="str">
            <v>LAF9029</v>
          </cell>
          <cell r="L1979" t="str">
            <v>HD</v>
          </cell>
          <cell r="M1979" t="str">
            <v>x</v>
          </cell>
          <cell r="N1979" t="e">
            <v>#N/A</v>
          </cell>
          <cell r="O1979" t="str">
            <v>HD Metal-End Air Filter</v>
          </cell>
        </row>
        <row r="1980">
          <cell r="K1980" t="str">
            <v>LAF1984</v>
          </cell>
          <cell r="L1980" t="str">
            <v>HD</v>
          </cell>
          <cell r="M1980" t="str">
            <v>x</v>
          </cell>
          <cell r="N1980" t="e">
            <v>#N/A</v>
          </cell>
          <cell r="O1980" t="str">
            <v>Finned Vane Air Filter</v>
          </cell>
        </row>
        <row r="1981">
          <cell r="K1981" t="str">
            <v>LK199D</v>
          </cell>
          <cell r="L1981" t="str">
            <v>HD</v>
          </cell>
          <cell r="M1981" t="str">
            <v>x</v>
          </cell>
          <cell r="N1981" t="e">
            <v>#N/A</v>
          </cell>
          <cell r="O1981" t="str">
            <v>Detroit Diesel Engine Maintenance Kit</v>
          </cell>
        </row>
        <row r="1982">
          <cell r="K1982" t="str">
            <v>LH9412</v>
          </cell>
          <cell r="L1982" t="str">
            <v>HD</v>
          </cell>
          <cell r="M1982" t="str">
            <v>x</v>
          </cell>
          <cell r="N1982" t="e">
            <v>#N/A</v>
          </cell>
          <cell r="O1982" t="str">
            <v>Cartridge Hydraulic Filter</v>
          </cell>
        </row>
        <row r="1983">
          <cell r="K1983" t="str">
            <v>4084</v>
          </cell>
          <cell r="L1983" t="str">
            <v>HD</v>
          </cell>
          <cell r="M1983" t="str">
            <v>x</v>
          </cell>
          <cell r="N1983" t="e">
            <v>#N/A</v>
          </cell>
          <cell r="O1983" t="str">
            <v>Air Filter Restriction Gauge; Dash Mount</v>
          </cell>
        </row>
        <row r="1984">
          <cell r="K1984" t="str">
            <v>DRILLED</v>
          </cell>
          <cell r="L1984" t="str">
            <v>HD</v>
          </cell>
          <cell r="M1984" t="str">
            <v>x</v>
          </cell>
          <cell r="N1984" t="e">
            <v>#N/A</v>
          </cell>
          <cell r="O1984" t="str">
            <v>Stud w/Thermostat/500-CT, 750-CT</v>
          </cell>
        </row>
        <row r="1985">
          <cell r="K1985">
            <v>159</v>
          </cell>
          <cell r="L1985" t="str">
            <v>HD</v>
          </cell>
          <cell r="M1985" t="str">
            <v>x</v>
          </cell>
          <cell r="N1985" t="e">
            <v>#N/A</v>
          </cell>
          <cell r="O1985" t="str">
            <v>Spin-on Oil Filter</v>
          </cell>
        </row>
        <row r="1986">
          <cell r="K1986">
            <v>156</v>
          </cell>
          <cell r="L1986" t="str">
            <v>HD</v>
          </cell>
          <cell r="M1986" t="str">
            <v>x</v>
          </cell>
          <cell r="N1986" t="e">
            <v>#N/A</v>
          </cell>
          <cell r="O1986" t="str">
            <v>Spin-on Oil Filter</v>
          </cell>
        </row>
        <row r="1987">
          <cell r="K1987" t="str">
            <v>LAF8641</v>
          </cell>
          <cell r="L1987" t="str">
            <v>HD</v>
          </cell>
          <cell r="M1987" t="str">
            <v>x</v>
          </cell>
          <cell r="N1987" t="e">
            <v>#N/A</v>
          </cell>
          <cell r="O1987" t="str">
            <v>HD Metal-End Inner Air Filter</v>
          </cell>
        </row>
        <row r="1988">
          <cell r="K1988" t="str">
            <v>LAF8404</v>
          </cell>
          <cell r="L1988" t="str">
            <v>HD</v>
          </cell>
          <cell r="M1988" t="str">
            <v>x</v>
          </cell>
          <cell r="N1988" t="e">
            <v>#N/A</v>
          </cell>
          <cell r="O1988" t="str">
            <v>Radial Seal Outer Air Filter</v>
          </cell>
        </row>
        <row r="1989">
          <cell r="K1989" t="str">
            <v>LFH8875G</v>
          </cell>
          <cell r="L1989" t="str">
            <v>HD</v>
          </cell>
          <cell r="M1989" t="str">
            <v>x</v>
          </cell>
          <cell r="N1989" t="e">
            <v>#N/A</v>
          </cell>
          <cell r="O1989" t="str">
            <v>Spin-on Hydraulic Filter</v>
          </cell>
        </row>
        <row r="1990">
          <cell r="K1990" t="str">
            <v>LP5564</v>
          </cell>
          <cell r="L1990" t="str">
            <v>HD</v>
          </cell>
          <cell r="M1990" t="str">
            <v>x</v>
          </cell>
          <cell r="N1990" t="e">
            <v>#N/A</v>
          </cell>
          <cell r="O1990" t="str">
            <v>Cartridge Oil Filter</v>
          </cell>
        </row>
        <row r="1991">
          <cell r="K1991" t="str">
            <v>LFP959FHE</v>
          </cell>
          <cell r="L1991" t="str">
            <v>HD</v>
          </cell>
          <cell r="M1991" t="str">
            <v>x</v>
          </cell>
          <cell r="N1991" t="e">
            <v>#N/A</v>
          </cell>
          <cell r="O1991" t="str">
            <v>Spin-on Fuel Filter</v>
          </cell>
        </row>
        <row r="1992">
          <cell r="K1992" t="str">
            <v>LAF7531</v>
          </cell>
          <cell r="L1992" t="str">
            <v>HD</v>
          </cell>
          <cell r="M1992" t="str">
            <v>x</v>
          </cell>
          <cell r="N1992" t="e">
            <v>#N/A</v>
          </cell>
          <cell r="O1992" t="str">
            <v>HD Metal-End Air Filter</v>
          </cell>
        </row>
        <row r="1993">
          <cell r="K1993" t="str">
            <v>LAF8610</v>
          </cell>
          <cell r="L1993" t="str">
            <v>HD</v>
          </cell>
          <cell r="M1993" t="str">
            <v>x</v>
          </cell>
          <cell r="N1993" t="str">
            <v>LAF8610</v>
          </cell>
          <cell r="O1993" t="str">
            <v>HD Metal-End Air Filter with Attached Lid</v>
          </cell>
        </row>
        <row r="1994">
          <cell r="K1994" t="str">
            <v>LH5840</v>
          </cell>
          <cell r="L1994" t="str">
            <v>HD</v>
          </cell>
          <cell r="M1994" t="str">
            <v>x</v>
          </cell>
          <cell r="N1994" t="e">
            <v>#N/A</v>
          </cell>
          <cell r="O1994" t="str">
            <v>Cartridge Hydraulic Filter</v>
          </cell>
        </row>
        <row r="1995">
          <cell r="K1995" t="str">
            <v>L4367F</v>
          </cell>
          <cell r="L1995" t="str">
            <v>HD</v>
          </cell>
          <cell r="M1995" t="str">
            <v>x</v>
          </cell>
          <cell r="N1995" t="e">
            <v>#N/A</v>
          </cell>
          <cell r="O1995" t="str">
            <v>Cartridge Fuel Filter</v>
          </cell>
        </row>
        <row r="1996">
          <cell r="K1996" t="str">
            <v>LFF3809</v>
          </cell>
          <cell r="L1996" t="str">
            <v>HD</v>
          </cell>
          <cell r="M1996" t="str">
            <v>x</v>
          </cell>
          <cell r="N1996" t="e">
            <v>#N/A</v>
          </cell>
          <cell r="O1996" t="str">
            <v>Spin-on Fuel Filter</v>
          </cell>
        </row>
        <row r="1997">
          <cell r="K1997" t="str">
            <v>LAF3654</v>
          </cell>
          <cell r="L1997" t="str">
            <v>HD</v>
          </cell>
          <cell r="M1997" t="str">
            <v>x</v>
          </cell>
          <cell r="N1997" t="e">
            <v>#N/A</v>
          </cell>
          <cell r="O1997" t="str">
            <v>HD Metal-End Air Filter</v>
          </cell>
        </row>
        <row r="1998">
          <cell r="K1998" t="str">
            <v>LK107M</v>
          </cell>
          <cell r="L1998" t="str">
            <v>HD</v>
          </cell>
          <cell r="M1998" t="str">
            <v>x</v>
          </cell>
          <cell r="N1998" t="e">
            <v>#N/A</v>
          </cell>
          <cell r="O1998" t="str">
            <v>Mack Engine Maintenance Kit</v>
          </cell>
        </row>
        <row r="1999">
          <cell r="K1999" t="str">
            <v>LAF8577</v>
          </cell>
          <cell r="L1999" t="str">
            <v>HD</v>
          </cell>
          <cell r="M1999" t="str">
            <v>x</v>
          </cell>
          <cell r="N1999" t="e">
            <v>#N/A</v>
          </cell>
          <cell r="O1999" t="str">
            <v>HD Metal-End Air Filter</v>
          </cell>
        </row>
        <row r="2000">
          <cell r="K2000" t="str">
            <v>LAF3398</v>
          </cell>
          <cell r="L2000" t="str">
            <v>HD</v>
          </cell>
          <cell r="M2000" t="str">
            <v>x</v>
          </cell>
          <cell r="N2000" t="e">
            <v>#N/A</v>
          </cell>
          <cell r="O2000" t="str">
            <v>HD Metal-End Air Filter</v>
          </cell>
        </row>
        <row r="2001">
          <cell r="K2001" t="str">
            <v>LFH4948</v>
          </cell>
          <cell r="L2001" t="str">
            <v>HD</v>
          </cell>
          <cell r="M2001" t="str">
            <v>x</v>
          </cell>
          <cell r="N2001" t="e">
            <v>#N/A</v>
          </cell>
          <cell r="O2001" t="str">
            <v>Spin-on Hydraulic Filter</v>
          </cell>
        </row>
        <row r="2002">
          <cell r="K2002" t="str">
            <v>LFH4211</v>
          </cell>
          <cell r="L2002" t="str">
            <v>HD</v>
          </cell>
          <cell r="M2002" t="str">
            <v>x</v>
          </cell>
          <cell r="N2002" t="e">
            <v>#N/A</v>
          </cell>
          <cell r="O2002" t="str">
            <v>Spin-on Hydraulic Filter</v>
          </cell>
        </row>
        <row r="2003">
          <cell r="K2003" t="str">
            <v>LAF6442</v>
          </cell>
          <cell r="L2003" t="str">
            <v>HD</v>
          </cell>
          <cell r="M2003" t="str">
            <v>x</v>
          </cell>
          <cell r="N2003" t="e">
            <v>#N/A</v>
          </cell>
          <cell r="O2003" t="str">
            <v>Metal-End Air Filter with Closed Top End Cap</v>
          </cell>
        </row>
        <row r="2004">
          <cell r="K2004" t="str">
            <v>LAF5042</v>
          </cell>
          <cell r="L2004" t="str">
            <v>HD</v>
          </cell>
          <cell r="M2004" t="str">
            <v>x</v>
          </cell>
          <cell r="N2004" t="e">
            <v>#N/A</v>
          </cell>
          <cell r="O2004" t="str">
            <v>HD Round Finned Air Filter with Attached Lid</v>
          </cell>
        </row>
        <row r="2005">
          <cell r="K2005" t="str">
            <v>LAF1843</v>
          </cell>
          <cell r="L2005" t="str">
            <v>HD</v>
          </cell>
          <cell r="M2005" t="str">
            <v>x</v>
          </cell>
          <cell r="N2005" t="e">
            <v>#N/A</v>
          </cell>
          <cell r="O2005" t="str">
            <v>HD Metal-End Air Filter</v>
          </cell>
        </row>
        <row r="2006">
          <cell r="K2006" t="str">
            <v>L3576F</v>
          </cell>
          <cell r="L2006" t="str">
            <v>HD</v>
          </cell>
          <cell r="M2006" t="str">
            <v>x</v>
          </cell>
          <cell r="N2006" t="e">
            <v>#N/A</v>
          </cell>
          <cell r="O2006" t="str">
            <v>Cartridge Fuel Filter</v>
          </cell>
        </row>
        <row r="2007">
          <cell r="K2007" t="str">
            <v>LFH4635G</v>
          </cell>
          <cell r="L2007" t="str">
            <v>HD</v>
          </cell>
          <cell r="M2007" t="str">
            <v>x</v>
          </cell>
          <cell r="N2007" t="e">
            <v>#N/A</v>
          </cell>
          <cell r="O2007" t="str">
            <v>Spin-on Hydraulic Filter</v>
          </cell>
        </row>
        <row r="2008">
          <cell r="K2008" t="str">
            <v>LAF8839</v>
          </cell>
          <cell r="L2008" t="str">
            <v>HD</v>
          </cell>
          <cell r="M2008" t="str">
            <v>x</v>
          </cell>
          <cell r="N2008" t="e">
            <v>#N/A</v>
          </cell>
          <cell r="O2008" t="str">
            <v>Round Inner Air Filter</v>
          </cell>
        </row>
        <row r="2009">
          <cell r="K2009" t="str">
            <v>LAF1898</v>
          </cell>
          <cell r="L2009" t="str">
            <v>HD</v>
          </cell>
          <cell r="M2009" t="str">
            <v>x</v>
          </cell>
          <cell r="N2009" t="e">
            <v>#N/A</v>
          </cell>
          <cell r="O2009" t="str">
            <v>HD Metal-End Inner Air Filter</v>
          </cell>
        </row>
        <row r="2010">
          <cell r="K2010" t="str">
            <v>LAF4607</v>
          </cell>
          <cell r="L2010" t="str">
            <v>HD</v>
          </cell>
          <cell r="M2010" t="str">
            <v>x</v>
          </cell>
          <cell r="N2010" t="e">
            <v>#N/A</v>
          </cell>
          <cell r="O2010" t="str">
            <v>HD Metal-End Air Filter</v>
          </cell>
        </row>
        <row r="2011">
          <cell r="K2011" t="str">
            <v>LH5854</v>
          </cell>
          <cell r="L2011" t="str">
            <v>HD</v>
          </cell>
          <cell r="M2011" t="str">
            <v>x</v>
          </cell>
          <cell r="N2011" t="e">
            <v>#N/A</v>
          </cell>
          <cell r="O2011" t="str">
            <v>Cartridge Hydraulic Filter</v>
          </cell>
        </row>
        <row r="2012">
          <cell r="K2012" t="str">
            <v>LH95037V</v>
          </cell>
          <cell r="L2012" t="str">
            <v>HD</v>
          </cell>
          <cell r="M2012" t="str">
            <v>x</v>
          </cell>
          <cell r="N2012" t="e">
            <v>#N/A</v>
          </cell>
          <cell r="O2012" t="str">
            <v>Cartridge Hydraulic Filter</v>
          </cell>
        </row>
        <row r="2013">
          <cell r="K2013" t="str">
            <v>L267F</v>
          </cell>
          <cell r="L2013" t="str">
            <v>HD</v>
          </cell>
          <cell r="M2013" t="str">
            <v>x</v>
          </cell>
          <cell r="N2013" t="e">
            <v>#N/A</v>
          </cell>
          <cell r="O2013" t="str">
            <v>Cartridge Fuel Filter</v>
          </cell>
        </row>
        <row r="2014">
          <cell r="K2014" t="str">
            <v>LFH22016</v>
          </cell>
          <cell r="L2014" t="str">
            <v>HD</v>
          </cell>
          <cell r="M2014" t="str">
            <v>x</v>
          </cell>
          <cell r="N2014" t="e">
            <v>#N/A</v>
          </cell>
          <cell r="O2014" t="str">
            <v>Spin-on Hydraulic Filter</v>
          </cell>
        </row>
        <row r="2015">
          <cell r="K2015" t="str">
            <v>LFF8258</v>
          </cell>
          <cell r="L2015" t="str">
            <v>HD</v>
          </cell>
          <cell r="M2015" t="str">
            <v>x</v>
          </cell>
          <cell r="N2015" t="e">
            <v>#N/A</v>
          </cell>
          <cell r="O2015" t="str">
            <v>Spin-on Fuel Filter</v>
          </cell>
        </row>
        <row r="2016">
          <cell r="K2016" t="str">
            <v>L24A</v>
          </cell>
          <cell r="L2016" t="str">
            <v>HD</v>
          </cell>
          <cell r="M2016" t="str">
            <v>x</v>
          </cell>
          <cell r="N2016" t="e">
            <v>#N/A</v>
          </cell>
          <cell r="O2016" t="str">
            <v>Sock Type Oil Filter</v>
          </cell>
        </row>
        <row r="2017">
          <cell r="K2017" t="str">
            <v>L3892F</v>
          </cell>
          <cell r="L2017" t="str">
            <v>HD</v>
          </cell>
          <cell r="M2017" t="str">
            <v>x</v>
          </cell>
          <cell r="N2017" t="e">
            <v>#N/A</v>
          </cell>
          <cell r="O2017" t="str">
            <v>Snap-lock Fuel/Water Separator Filter</v>
          </cell>
        </row>
        <row r="2018">
          <cell r="K2018" t="str">
            <v>LAF1479</v>
          </cell>
          <cell r="L2018" t="str">
            <v>HD</v>
          </cell>
          <cell r="M2018" t="str">
            <v>x</v>
          </cell>
          <cell r="N2018" t="e">
            <v>#N/A</v>
          </cell>
          <cell r="O2018" t="str">
            <v>Round Plastisol Air Filter</v>
          </cell>
        </row>
        <row r="2019">
          <cell r="K2019" t="str">
            <v>LAF5798</v>
          </cell>
          <cell r="L2019" t="str">
            <v>HD</v>
          </cell>
          <cell r="M2019" t="str">
            <v>x</v>
          </cell>
          <cell r="N2019" t="e">
            <v>#N/A</v>
          </cell>
          <cell r="O2019" t="str">
            <v>Round Air Filter</v>
          </cell>
        </row>
        <row r="2020">
          <cell r="K2020" t="str">
            <v>LAF1464</v>
          </cell>
          <cell r="L2020" t="str">
            <v>HD</v>
          </cell>
          <cell r="M2020" t="str">
            <v>x</v>
          </cell>
          <cell r="N2020" t="e">
            <v>#N/A</v>
          </cell>
          <cell r="O2020" t="str">
            <v>Round Air Filter</v>
          </cell>
        </row>
        <row r="2021">
          <cell r="K2021" t="str">
            <v>LAF5831</v>
          </cell>
          <cell r="L2021" t="str">
            <v>HD</v>
          </cell>
          <cell r="M2021" t="str">
            <v>x</v>
          </cell>
          <cell r="N2021" t="e">
            <v>#N/A</v>
          </cell>
          <cell r="O2021" t="str">
            <v>Rigid Panel Air Filter</v>
          </cell>
        </row>
        <row r="2022">
          <cell r="K2022" t="str">
            <v>LK342M</v>
          </cell>
          <cell r="L2022" t="str">
            <v>HD</v>
          </cell>
          <cell r="M2022" t="str">
            <v>x</v>
          </cell>
          <cell r="N2022" t="e">
            <v>#N/A</v>
          </cell>
          <cell r="O2022" t="str">
            <v>Mack Engine Maintenance Kit</v>
          </cell>
        </row>
        <row r="2023">
          <cell r="K2023" t="str">
            <v>LK115I</v>
          </cell>
          <cell r="L2023" t="str">
            <v>HD</v>
          </cell>
          <cell r="M2023" t="str">
            <v>x</v>
          </cell>
          <cell r="N2023" t="e">
            <v>#N/A</v>
          </cell>
          <cell r="O2023" t="str">
            <v>International Engine Maintenance Kit</v>
          </cell>
        </row>
        <row r="2024">
          <cell r="K2024" t="str">
            <v>LH9681V</v>
          </cell>
          <cell r="L2024" t="str">
            <v>HD</v>
          </cell>
          <cell r="M2024" t="str">
            <v>x</v>
          </cell>
          <cell r="N2024" t="e">
            <v>#N/A</v>
          </cell>
          <cell r="O2024" t="str">
            <v>Industrial Hydraulic Filter</v>
          </cell>
        </row>
        <row r="2025">
          <cell r="K2025" t="str">
            <v>LH11028</v>
          </cell>
          <cell r="L2025" t="str">
            <v>HD</v>
          </cell>
          <cell r="M2025" t="str">
            <v>x</v>
          </cell>
          <cell r="N2025" t="e">
            <v>#N/A</v>
          </cell>
          <cell r="O2025" t="str">
            <v>Industrial Cartridge Hydraulic Filter</v>
          </cell>
        </row>
        <row r="2026">
          <cell r="K2026" t="str">
            <v>LAF8976</v>
          </cell>
          <cell r="L2026" t="str">
            <v>HD</v>
          </cell>
          <cell r="M2026" t="str">
            <v>x</v>
          </cell>
          <cell r="N2026" t="e">
            <v>#N/A</v>
          </cell>
          <cell r="O2026" t="str">
            <v>HD Round Finned Air Filter with Attached Lid</v>
          </cell>
        </row>
        <row r="2027">
          <cell r="K2027" t="str">
            <v>LAF8529</v>
          </cell>
          <cell r="L2027" t="str">
            <v>HD</v>
          </cell>
          <cell r="M2027" t="str">
            <v>x</v>
          </cell>
          <cell r="N2027" t="e">
            <v>#N/A</v>
          </cell>
          <cell r="O2027" t="str">
            <v>HD Round Air Filter with Attached Boot</v>
          </cell>
        </row>
        <row r="2028">
          <cell r="K2028" t="str">
            <v>LAF1748</v>
          </cell>
          <cell r="L2028" t="str">
            <v>HD</v>
          </cell>
          <cell r="M2028" t="str">
            <v>x</v>
          </cell>
          <cell r="N2028" t="e">
            <v>#N/A</v>
          </cell>
          <cell r="O2028" t="str">
            <v>HD Metal-End Inner Air Filter</v>
          </cell>
        </row>
        <row r="2029">
          <cell r="K2029" t="str">
            <v>LAF8629</v>
          </cell>
          <cell r="L2029" t="str">
            <v>HD</v>
          </cell>
          <cell r="M2029" t="str">
            <v>x</v>
          </cell>
          <cell r="N2029" t="e">
            <v>#N/A</v>
          </cell>
          <cell r="O2029" t="str">
            <v>HD Metal-End Air Filter with Attached Lid</v>
          </cell>
        </row>
        <row r="2030">
          <cell r="K2030" t="str">
            <v>LAF4331</v>
          </cell>
          <cell r="L2030" t="str">
            <v>HD</v>
          </cell>
          <cell r="M2030" t="str">
            <v>x</v>
          </cell>
          <cell r="N2030" t="str">
            <v>LAF4331</v>
          </cell>
          <cell r="O2030" t="str">
            <v>HD Metal-End Air Filter with Attached Lid</v>
          </cell>
        </row>
        <row r="2031">
          <cell r="K2031" t="str">
            <v>LAF75</v>
          </cell>
          <cell r="L2031" t="str">
            <v>HD</v>
          </cell>
          <cell r="M2031" t="str">
            <v>x</v>
          </cell>
          <cell r="N2031" t="e">
            <v>#N/A</v>
          </cell>
          <cell r="O2031" t="str">
            <v>HD Metal-End Air Filter</v>
          </cell>
        </row>
        <row r="2032">
          <cell r="K2032" t="str">
            <v>LAF398</v>
          </cell>
          <cell r="L2032" t="str">
            <v>HD</v>
          </cell>
          <cell r="M2032" t="str">
            <v>x</v>
          </cell>
          <cell r="N2032" t="e">
            <v>#N/A</v>
          </cell>
          <cell r="O2032" t="str">
            <v>HD Metal-End Air Filter</v>
          </cell>
        </row>
        <row r="2033">
          <cell r="K2033" t="str">
            <v>LAF310</v>
          </cell>
          <cell r="L2033" t="str">
            <v>HD</v>
          </cell>
          <cell r="M2033" t="str">
            <v>x</v>
          </cell>
          <cell r="N2033" t="e">
            <v>#N/A</v>
          </cell>
          <cell r="O2033" t="str">
            <v>HD Metal-End Air Filter</v>
          </cell>
        </row>
        <row r="2034">
          <cell r="K2034" t="str">
            <v>LAF1805</v>
          </cell>
          <cell r="L2034" t="str">
            <v>HD</v>
          </cell>
          <cell r="M2034" t="str">
            <v>x</v>
          </cell>
          <cell r="N2034" t="str">
            <v>LAF1805</v>
          </cell>
          <cell r="O2034" t="str">
            <v>HD Metal-End Air Filter</v>
          </cell>
        </row>
        <row r="2035">
          <cell r="K2035" t="str">
            <v>LAF5757</v>
          </cell>
          <cell r="L2035" t="str">
            <v>HD</v>
          </cell>
          <cell r="M2035" t="str">
            <v>x</v>
          </cell>
          <cell r="N2035" t="e">
            <v>#N/A</v>
          </cell>
          <cell r="O2035" t="str">
            <v>HD Metal-End Air Filter</v>
          </cell>
        </row>
        <row r="2036">
          <cell r="K2036" t="str">
            <v>LAF9685</v>
          </cell>
          <cell r="L2036" t="str">
            <v>HD</v>
          </cell>
          <cell r="M2036" t="str">
            <v>x</v>
          </cell>
          <cell r="N2036" t="e">
            <v>#N/A</v>
          </cell>
          <cell r="O2036" t="str">
            <v>HD Metal-End Air Filter</v>
          </cell>
        </row>
        <row r="2037">
          <cell r="K2037" t="str">
            <v>LAF3344</v>
          </cell>
          <cell r="L2037" t="str">
            <v>HD</v>
          </cell>
          <cell r="M2037" t="str">
            <v>x</v>
          </cell>
          <cell r="N2037" t="e">
            <v>#N/A</v>
          </cell>
          <cell r="O2037" t="str">
            <v>HD Metal-End Air Filter</v>
          </cell>
        </row>
        <row r="2038">
          <cell r="K2038" t="str">
            <v>LAF9532</v>
          </cell>
          <cell r="L2038" t="str">
            <v>HD</v>
          </cell>
          <cell r="M2038" t="str">
            <v>x</v>
          </cell>
          <cell r="N2038" t="e">
            <v>#N/A</v>
          </cell>
          <cell r="O2038" t="str">
            <v>HD Metal-End Air Filter</v>
          </cell>
        </row>
        <row r="2039">
          <cell r="K2039" t="str">
            <v>LAF8609</v>
          </cell>
          <cell r="L2039" t="str">
            <v>HD</v>
          </cell>
          <cell r="M2039" t="str">
            <v>x</v>
          </cell>
          <cell r="N2039" t="e">
            <v>#N/A</v>
          </cell>
          <cell r="O2039" t="str">
            <v>HD Metal-End Air Filter</v>
          </cell>
        </row>
        <row r="2040">
          <cell r="K2040" t="str">
            <v>LAF7727</v>
          </cell>
          <cell r="L2040" t="str">
            <v>HD</v>
          </cell>
          <cell r="M2040" t="str">
            <v>x</v>
          </cell>
          <cell r="N2040" t="e">
            <v>#N/A</v>
          </cell>
          <cell r="O2040" t="str">
            <v>HD Metal-End Air Filter</v>
          </cell>
        </row>
        <row r="2041">
          <cell r="K2041" t="str">
            <v>LAF22031</v>
          </cell>
          <cell r="L2041" t="str">
            <v>HD</v>
          </cell>
          <cell r="M2041" t="str">
            <v>x</v>
          </cell>
          <cell r="N2041" t="e">
            <v>#N/A</v>
          </cell>
          <cell r="O2041" t="str">
            <v>Flexible Panel Air Filter</v>
          </cell>
        </row>
        <row r="2042">
          <cell r="K2042" t="str">
            <v>LAF1825</v>
          </cell>
          <cell r="L2042" t="str">
            <v>HD</v>
          </cell>
          <cell r="M2042" t="str">
            <v>x</v>
          </cell>
          <cell r="N2042" t="e">
            <v>#N/A</v>
          </cell>
          <cell r="O2042" t="str">
            <v>Disposible Housing Air Filter</v>
          </cell>
        </row>
        <row r="2043">
          <cell r="K2043" t="str">
            <v>LP4414</v>
          </cell>
          <cell r="L2043" t="str">
            <v>HD</v>
          </cell>
          <cell r="M2043" t="str">
            <v>x</v>
          </cell>
          <cell r="N2043" t="e">
            <v>#N/A</v>
          </cell>
          <cell r="O2043" t="str">
            <v>Cartridge Oil Filter</v>
          </cell>
        </row>
        <row r="2044">
          <cell r="K2044" t="str">
            <v>LP1670</v>
          </cell>
          <cell r="L2044" t="str">
            <v>HD</v>
          </cell>
          <cell r="M2044" t="str">
            <v>x</v>
          </cell>
          <cell r="N2044" t="e">
            <v>#N/A</v>
          </cell>
          <cell r="O2044" t="str">
            <v>Cartridge Oil Filter</v>
          </cell>
        </row>
        <row r="2045">
          <cell r="K2045" t="str">
            <v>LH5006</v>
          </cell>
          <cell r="L2045" t="str">
            <v>HD</v>
          </cell>
          <cell r="M2045" t="str">
            <v>x</v>
          </cell>
          <cell r="N2045" t="e">
            <v>#N/A</v>
          </cell>
          <cell r="O2045" t="str">
            <v>Cartridge Hydraulic Filter</v>
          </cell>
        </row>
        <row r="2046">
          <cell r="K2046" t="str">
            <v>LH5020</v>
          </cell>
          <cell r="L2046" t="str">
            <v>HD</v>
          </cell>
          <cell r="M2046" t="str">
            <v>x</v>
          </cell>
          <cell r="N2046" t="e">
            <v>#N/A</v>
          </cell>
          <cell r="O2046" t="str">
            <v>Cartridge Hydraulic Filter</v>
          </cell>
        </row>
        <row r="2047">
          <cell r="K2047" t="str">
            <v>LH4852</v>
          </cell>
          <cell r="L2047" t="str">
            <v>HD</v>
          </cell>
          <cell r="M2047" t="str">
            <v>x</v>
          </cell>
          <cell r="N2047" t="e">
            <v>#N/A</v>
          </cell>
          <cell r="O2047" t="str">
            <v>Cartridge Hydraulic Filter</v>
          </cell>
        </row>
        <row r="2048">
          <cell r="K2048" t="str">
            <v>LH9304V</v>
          </cell>
          <cell r="L2048" t="str">
            <v>HD</v>
          </cell>
          <cell r="M2048" t="str">
            <v>x</v>
          </cell>
          <cell r="N2048" t="e">
            <v>#N/A</v>
          </cell>
          <cell r="O2048" t="str">
            <v>Cartridge Hydraulic Filter</v>
          </cell>
        </row>
        <row r="2049">
          <cell r="K2049" t="str">
            <v>LH9390V</v>
          </cell>
          <cell r="L2049" t="str">
            <v>HD</v>
          </cell>
          <cell r="M2049" t="str">
            <v>x</v>
          </cell>
          <cell r="N2049" t="e">
            <v>#N/A</v>
          </cell>
          <cell r="O2049" t="str">
            <v>Cartridge Hydraulic Filter</v>
          </cell>
        </row>
        <row r="2050">
          <cell r="K2050" t="str">
            <v>LH4859V</v>
          </cell>
          <cell r="L2050" t="str">
            <v>HD</v>
          </cell>
          <cell r="M2050" t="str">
            <v>x</v>
          </cell>
          <cell r="N2050" t="e">
            <v>#N/A</v>
          </cell>
          <cell r="O2050" t="str">
            <v>Cartridge Hydraulic Filter</v>
          </cell>
        </row>
        <row r="2051">
          <cell r="K2051" t="str">
            <v>LH22153</v>
          </cell>
          <cell r="L2051" t="str">
            <v>HD</v>
          </cell>
          <cell r="M2051" t="str">
            <v>x</v>
          </cell>
          <cell r="N2051" t="e">
            <v>#N/A</v>
          </cell>
          <cell r="O2051" t="str">
            <v>Cartridge Hydraulic Filter</v>
          </cell>
        </row>
        <row r="2052">
          <cell r="K2052" t="str">
            <v>LP4416</v>
          </cell>
          <cell r="L2052" t="str">
            <v>HD</v>
          </cell>
          <cell r="M2052" t="str">
            <v>x</v>
          </cell>
          <cell r="N2052" t="e">
            <v>#N/A</v>
          </cell>
          <cell r="O2052" t="str">
            <v>Cartridge Hydraulic Filter</v>
          </cell>
        </row>
        <row r="2053">
          <cell r="K2053" t="str">
            <v>L91F</v>
          </cell>
          <cell r="L2053" t="str">
            <v>HD</v>
          </cell>
          <cell r="M2053" t="str">
            <v>x</v>
          </cell>
          <cell r="N2053" t="e">
            <v>#N/A</v>
          </cell>
          <cell r="O2053" t="str">
            <v>Cartridge Fuel Filter</v>
          </cell>
        </row>
        <row r="2054">
          <cell r="K2054" t="str">
            <v>LFF3503</v>
          </cell>
          <cell r="L2054" t="str">
            <v>HD</v>
          </cell>
          <cell r="M2054" t="str">
            <v>x</v>
          </cell>
          <cell r="N2054" t="e">
            <v>#N/A</v>
          </cell>
          <cell r="O2054" t="str">
            <v>Cartridge Fuel Filter</v>
          </cell>
        </row>
        <row r="2055">
          <cell r="K2055" t="str">
            <v>LAF1977</v>
          </cell>
          <cell r="L2055" t="str">
            <v>HD</v>
          </cell>
          <cell r="M2055" t="str">
            <v>x</v>
          </cell>
          <cell r="N2055" t="e">
            <v>#N/A</v>
          </cell>
          <cell r="O2055" t="str">
            <v>HD Metal-End Air Filter-Inner</v>
          </cell>
        </row>
        <row r="2056">
          <cell r="K2056" t="str">
            <v>LAF1964</v>
          </cell>
          <cell r="L2056" t="str">
            <v>HD</v>
          </cell>
          <cell r="M2056" t="str">
            <v>x</v>
          </cell>
          <cell r="N2056" t="e">
            <v>#N/A</v>
          </cell>
          <cell r="O2056" t="str">
            <v>Round Air Filter</v>
          </cell>
        </row>
        <row r="2057">
          <cell r="K2057" t="str">
            <v>LAF1853</v>
          </cell>
          <cell r="L2057" t="str">
            <v>HD</v>
          </cell>
          <cell r="M2057" t="str">
            <v>x</v>
          </cell>
          <cell r="N2057" t="e">
            <v>#N/A</v>
          </cell>
          <cell r="O2057" t="str">
            <v>HD Metal-End Air Filter</v>
          </cell>
        </row>
        <row r="2058">
          <cell r="K2058" t="str">
            <v>LAF1137</v>
          </cell>
          <cell r="L2058" t="str">
            <v>HD</v>
          </cell>
          <cell r="M2058" t="str">
            <v>x</v>
          </cell>
          <cell r="N2058" t="e">
            <v>#N/A</v>
          </cell>
          <cell r="O2058" t="str">
            <v>Metal-End Air Filter with Closed Top End Cap</v>
          </cell>
        </row>
        <row r="2059">
          <cell r="K2059" t="str">
            <v>LAF8768</v>
          </cell>
          <cell r="L2059" t="str">
            <v>HD</v>
          </cell>
          <cell r="M2059" t="str">
            <v>x</v>
          </cell>
          <cell r="N2059" t="e">
            <v>#N/A</v>
          </cell>
          <cell r="O2059" t="str">
            <v>Round Inner Air Filter</v>
          </cell>
        </row>
        <row r="2060">
          <cell r="K2060" t="str">
            <v>LAF1012</v>
          </cell>
          <cell r="L2060" t="str">
            <v>HD</v>
          </cell>
          <cell r="M2060" t="str">
            <v>x</v>
          </cell>
          <cell r="N2060" t="e">
            <v>#N/A</v>
          </cell>
          <cell r="O2060" t="str">
            <v>Round Air Filter</v>
          </cell>
        </row>
        <row r="2061">
          <cell r="K2061" t="str">
            <v>LAF1763</v>
          </cell>
          <cell r="L2061" t="str">
            <v>HD</v>
          </cell>
          <cell r="M2061" t="str">
            <v>x</v>
          </cell>
          <cell r="N2061" t="e">
            <v>#N/A</v>
          </cell>
          <cell r="O2061" t="str">
            <v>HD Round Air Filter with Attached Lid</v>
          </cell>
        </row>
        <row r="2062">
          <cell r="K2062" t="str">
            <v>LAF9089</v>
          </cell>
          <cell r="L2062" t="str">
            <v>HD</v>
          </cell>
          <cell r="M2062" t="str">
            <v>x</v>
          </cell>
          <cell r="N2062" t="e">
            <v>#N/A</v>
          </cell>
          <cell r="O2062" t="str">
            <v>Panel Air Filter Metal Framed</v>
          </cell>
        </row>
        <row r="2063">
          <cell r="K2063" t="str">
            <v>LAF575</v>
          </cell>
          <cell r="L2063" t="str">
            <v>HD</v>
          </cell>
          <cell r="M2063" t="str">
            <v>x</v>
          </cell>
          <cell r="N2063" t="e">
            <v>#N/A</v>
          </cell>
          <cell r="O2063" t="str">
            <v>HD Metal-End Air Filter</v>
          </cell>
        </row>
        <row r="2064">
          <cell r="K2064" t="str">
            <v>LH4921</v>
          </cell>
          <cell r="L2064" t="str">
            <v>HD</v>
          </cell>
          <cell r="M2064" t="str">
            <v>x</v>
          </cell>
          <cell r="N2064" t="e">
            <v>#N/A</v>
          </cell>
          <cell r="O2064" t="str">
            <v>Cartridge Hydraulic Filter</v>
          </cell>
        </row>
        <row r="2065">
          <cell r="K2065" t="str">
            <v>LAF8090</v>
          </cell>
          <cell r="L2065" t="str">
            <v>HD</v>
          </cell>
          <cell r="M2065" t="str">
            <v>x</v>
          </cell>
          <cell r="N2065" t="e">
            <v>#N/A</v>
          </cell>
          <cell r="O2065" t="str">
            <v>HD Metal-End Inner Air Filter</v>
          </cell>
        </row>
        <row r="2066">
          <cell r="K2066" t="str">
            <v>LFH8594</v>
          </cell>
          <cell r="L2066" t="str">
            <v>HD</v>
          </cell>
          <cell r="M2066" t="str">
            <v>x</v>
          </cell>
          <cell r="N2066" t="e">
            <v>#N/A</v>
          </cell>
          <cell r="O2066" t="str">
            <v>Spin-on Hydraulic Filter</v>
          </cell>
        </row>
        <row r="2067">
          <cell r="K2067" t="str">
            <v>LFF8963</v>
          </cell>
          <cell r="L2067" t="str">
            <v>HD</v>
          </cell>
          <cell r="M2067" t="str">
            <v>x</v>
          </cell>
          <cell r="N2067" t="e">
            <v>#N/A</v>
          </cell>
          <cell r="O2067" t="str">
            <v>Spin-on Fuel Filter</v>
          </cell>
        </row>
        <row r="2068">
          <cell r="K2068" t="str">
            <v>LAF8587</v>
          </cell>
          <cell r="L2068" t="str">
            <v>HD</v>
          </cell>
          <cell r="M2068" t="str">
            <v>x</v>
          </cell>
          <cell r="N2068" t="str">
            <v>LAF8587</v>
          </cell>
          <cell r="O2068" t="str">
            <v>HD Metal-End Air Filter-Inner</v>
          </cell>
        </row>
        <row r="2069">
          <cell r="K2069" t="str">
            <v>LK322DF</v>
          </cell>
          <cell r="L2069" t="str">
            <v>HD</v>
          </cell>
          <cell r="M2069" t="str">
            <v>x</v>
          </cell>
          <cell r="N2069" t="e">
            <v>#N/A</v>
          </cell>
          <cell r="O2069" t="str">
            <v>Thermo King Engine Maintenance Kit</v>
          </cell>
        </row>
        <row r="2070">
          <cell r="K2070" t="str">
            <v>LFP2248SC</v>
          </cell>
          <cell r="L2070" t="str">
            <v>HD</v>
          </cell>
          <cell r="M2070" t="str">
            <v>x</v>
          </cell>
          <cell r="N2070" t="e">
            <v>#N/A</v>
          </cell>
          <cell r="O2070" t="str">
            <v>Spin-on Oil Filter</v>
          </cell>
        </row>
        <row r="2071">
          <cell r="K2071" t="str">
            <v>LAF8666</v>
          </cell>
          <cell r="L2071" t="str">
            <v>HD</v>
          </cell>
          <cell r="M2071" t="str">
            <v>x</v>
          </cell>
          <cell r="N2071" t="e">
            <v>#N/A</v>
          </cell>
          <cell r="O2071" t="str">
            <v>HD Round Air Filter with Attached Boot</v>
          </cell>
        </row>
        <row r="2072">
          <cell r="K2072" t="str">
            <v>LAF826</v>
          </cell>
          <cell r="L2072" t="str">
            <v>HD</v>
          </cell>
          <cell r="M2072" t="str">
            <v>x</v>
          </cell>
          <cell r="N2072" t="e">
            <v>#N/A</v>
          </cell>
          <cell r="O2072" t="str">
            <v>HD Metal-End Air Filter</v>
          </cell>
        </row>
        <row r="2073">
          <cell r="K2073" t="str">
            <v>LP2217</v>
          </cell>
          <cell r="L2073" t="str">
            <v>HD</v>
          </cell>
          <cell r="M2073" t="str">
            <v>x</v>
          </cell>
          <cell r="N2073" t="e">
            <v>#N/A</v>
          </cell>
          <cell r="O2073" t="str">
            <v>Cartridge Oil Filter</v>
          </cell>
        </row>
        <row r="2074">
          <cell r="K2074" t="str">
            <v>LP2219</v>
          </cell>
          <cell r="L2074" t="str">
            <v>HD</v>
          </cell>
          <cell r="M2074" t="str">
            <v>x</v>
          </cell>
          <cell r="N2074" t="e">
            <v>#N/A</v>
          </cell>
          <cell r="O2074" t="str">
            <v>Cartridge Oil Filter</v>
          </cell>
        </row>
        <row r="2075">
          <cell r="K2075" t="str">
            <v>LH4946</v>
          </cell>
          <cell r="L2075" t="str">
            <v>HD</v>
          </cell>
          <cell r="M2075" t="str">
            <v>x</v>
          </cell>
          <cell r="N2075" t="e">
            <v>#N/A</v>
          </cell>
          <cell r="O2075" t="str">
            <v>Cartridge Hydraulic Filter</v>
          </cell>
        </row>
        <row r="2076">
          <cell r="K2076" t="str">
            <v>LK294CR</v>
          </cell>
          <cell r="L2076" t="str">
            <v>HD</v>
          </cell>
          <cell r="M2076" t="str">
            <v>x</v>
          </cell>
          <cell r="N2076" t="e">
            <v>#N/A</v>
          </cell>
          <cell r="O2076" t="str">
            <v>Carrier Transcold Engine Maintenance Kit</v>
          </cell>
        </row>
        <row r="2077">
          <cell r="K2077" t="str">
            <v>RETAINING</v>
          </cell>
          <cell r="L2077" t="str">
            <v>HD</v>
          </cell>
          <cell r="M2077" t="str">
            <v>x</v>
          </cell>
          <cell r="N2077" t="e">
            <v>#N/A</v>
          </cell>
          <cell r="O2077" t="str">
            <v>Retaining Ring/F-120, 155, 170</v>
          </cell>
        </row>
        <row r="2078">
          <cell r="K2078">
            <v>500</v>
          </cell>
          <cell r="L2078" t="str">
            <v>HD</v>
          </cell>
          <cell r="M2078" t="str">
            <v>x</v>
          </cell>
          <cell r="N2078" t="e">
            <v>#N/A</v>
          </cell>
          <cell r="O2078" t="str">
            <v>DIESEL PK 500</v>
          </cell>
        </row>
        <row r="2079">
          <cell r="K2079" t="str">
            <v>LFF3545</v>
          </cell>
          <cell r="L2079" t="str">
            <v>HD</v>
          </cell>
          <cell r="M2079" t="str">
            <v>x</v>
          </cell>
          <cell r="N2079" t="e">
            <v>#N/A</v>
          </cell>
          <cell r="O2079" t="str">
            <v>Spin-on Fuel Filter</v>
          </cell>
        </row>
        <row r="2080">
          <cell r="K2080" t="str">
            <v>LAF1715</v>
          </cell>
          <cell r="L2080" t="str">
            <v>HD</v>
          </cell>
          <cell r="M2080" t="str">
            <v>x</v>
          </cell>
          <cell r="N2080" t="e">
            <v>#N/A</v>
          </cell>
          <cell r="O2080" t="str">
            <v>Round Inner Air Filter</v>
          </cell>
        </row>
        <row r="2081">
          <cell r="K2081" t="str">
            <v>LAF1717</v>
          </cell>
          <cell r="L2081" t="str">
            <v>HD</v>
          </cell>
          <cell r="M2081" t="str">
            <v>x</v>
          </cell>
          <cell r="N2081" t="e">
            <v>#N/A</v>
          </cell>
          <cell r="O2081" t="str">
            <v>Round Inner Air Filter</v>
          </cell>
        </row>
        <row r="2082">
          <cell r="K2082" t="str">
            <v>LAF8429</v>
          </cell>
          <cell r="L2082" t="str">
            <v>HD</v>
          </cell>
          <cell r="M2082" t="str">
            <v>x</v>
          </cell>
          <cell r="N2082" t="e">
            <v>#N/A</v>
          </cell>
          <cell r="O2082" t="str">
            <v>Flexible Panel Air Filter</v>
          </cell>
        </row>
        <row r="2083">
          <cell r="K2083" t="str">
            <v>LAF8578</v>
          </cell>
          <cell r="L2083" t="str">
            <v>HD</v>
          </cell>
          <cell r="M2083" t="str">
            <v>x</v>
          </cell>
          <cell r="N2083" t="e">
            <v>#N/A</v>
          </cell>
          <cell r="O2083" t="str">
            <v>Round Air Filter</v>
          </cell>
        </row>
        <row r="2084">
          <cell r="K2084" t="str">
            <v>LH4391</v>
          </cell>
          <cell r="L2084" t="str">
            <v>HD</v>
          </cell>
          <cell r="M2084" t="str">
            <v>x</v>
          </cell>
          <cell r="N2084" t="e">
            <v>#N/A</v>
          </cell>
          <cell r="O2084" t="str">
            <v>Cartridge Hydraulic Filter</v>
          </cell>
        </row>
        <row r="2085">
          <cell r="K2085" t="str">
            <v>LFP670G</v>
          </cell>
          <cell r="L2085" t="str">
            <v>HD</v>
          </cell>
          <cell r="M2085" t="str">
            <v>x</v>
          </cell>
          <cell r="N2085" t="e">
            <v>#N/A</v>
          </cell>
          <cell r="O2085" t="str">
            <v>Extended Life Spin-on Oil Filter</v>
          </cell>
        </row>
        <row r="2086">
          <cell r="K2086" t="str">
            <v>L3519F</v>
          </cell>
          <cell r="L2086" t="str">
            <v>HD</v>
          </cell>
          <cell r="M2086" t="str">
            <v>x</v>
          </cell>
          <cell r="N2086" t="e">
            <v>#N/A</v>
          </cell>
          <cell r="O2086" t="str">
            <v>Cartridge Fuel Filter</v>
          </cell>
        </row>
        <row r="2087">
          <cell r="K2087" t="str">
            <v>LFP8250</v>
          </cell>
          <cell r="L2087" t="str">
            <v>HD</v>
          </cell>
          <cell r="M2087" t="str">
            <v>x</v>
          </cell>
          <cell r="N2087" t="e">
            <v>#N/A</v>
          </cell>
          <cell r="O2087" t="str">
            <v>Spin-on Oil Filter</v>
          </cell>
        </row>
        <row r="2088">
          <cell r="K2088" t="str">
            <v>A340</v>
          </cell>
          <cell r="L2088" t="str">
            <v>HD</v>
          </cell>
          <cell r="M2088" t="str">
            <v>x</v>
          </cell>
          <cell r="N2088" t="e">
            <v>#N/A</v>
          </cell>
          <cell r="O2088" t="str">
            <v>Cartridge to Spin-on conversion kit. Contains adaptor lock plate and gaskets. Use LFP670 oil filter</v>
          </cell>
        </row>
        <row r="2089">
          <cell r="K2089" t="str">
            <v>LH9191</v>
          </cell>
          <cell r="L2089" t="str">
            <v>HD</v>
          </cell>
          <cell r="M2089" t="str">
            <v>x</v>
          </cell>
          <cell r="N2089" t="e">
            <v>#N/A</v>
          </cell>
          <cell r="O2089" t="str">
            <v>Cartridge Hydraulic Filter</v>
          </cell>
        </row>
        <row r="2090">
          <cell r="K2090" t="str">
            <v>L3548F</v>
          </cell>
          <cell r="L2090" t="str">
            <v>HD</v>
          </cell>
          <cell r="M2090" t="str">
            <v>x</v>
          </cell>
          <cell r="N2090" t="e">
            <v>#N/A</v>
          </cell>
          <cell r="O2090" t="str">
            <v>Cartridge Fuel Filter</v>
          </cell>
        </row>
        <row r="2091">
          <cell r="K2091" t="str">
            <v>LAF8970</v>
          </cell>
          <cell r="L2091" t="str">
            <v>HD</v>
          </cell>
          <cell r="M2091" t="str">
            <v>x</v>
          </cell>
          <cell r="N2091" t="e">
            <v>#N/A</v>
          </cell>
          <cell r="O2091" t="str">
            <v>HD Metal-End Air Filter</v>
          </cell>
        </row>
        <row r="2092">
          <cell r="K2092" t="str">
            <v>LAF1930</v>
          </cell>
          <cell r="L2092" t="str">
            <v>HD</v>
          </cell>
          <cell r="M2092" t="str">
            <v>x</v>
          </cell>
          <cell r="N2092" t="e">
            <v>#N/A</v>
          </cell>
          <cell r="O2092" t="str">
            <v>HD Metal-End Inner Air Filter</v>
          </cell>
        </row>
        <row r="2093">
          <cell r="K2093" t="str">
            <v>LH4238</v>
          </cell>
          <cell r="L2093" t="str">
            <v>HD</v>
          </cell>
          <cell r="M2093" t="str">
            <v>x</v>
          </cell>
          <cell r="N2093" t="e">
            <v>#N/A</v>
          </cell>
          <cell r="O2093" t="str">
            <v>Cartridge Hydraulic Filter</v>
          </cell>
        </row>
        <row r="2094">
          <cell r="K2094" t="str">
            <v>LFF6961</v>
          </cell>
          <cell r="L2094" t="str">
            <v>HD</v>
          </cell>
          <cell r="M2094" t="str">
            <v>x</v>
          </cell>
          <cell r="N2094" t="e">
            <v>#N/A</v>
          </cell>
          <cell r="O2094" t="str">
            <v>Spin-on Fuel Water Separator Filter</v>
          </cell>
        </row>
        <row r="2095">
          <cell r="K2095" t="str">
            <v>LAF379</v>
          </cell>
          <cell r="L2095" t="str">
            <v>HD</v>
          </cell>
          <cell r="M2095" t="str">
            <v>x</v>
          </cell>
          <cell r="N2095" t="e">
            <v>#N/A</v>
          </cell>
          <cell r="O2095" t="str">
            <v>Round Inner Air Filter with Flanged Endcap</v>
          </cell>
        </row>
        <row r="2096">
          <cell r="K2096" t="str">
            <v>LH4991</v>
          </cell>
          <cell r="L2096" t="str">
            <v>HD</v>
          </cell>
          <cell r="M2096" t="str">
            <v>x</v>
          </cell>
          <cell r="N2096" t="e">
            <v>#N/A</v>
          </cell>
          <cell r="O2096" t="str">
            <v>Cartridge Hydraulic Filter</v>
          </cell>
        </row>
        <row r="2097">
          <cell r="K2097" t="str">
            <v>LH4963</v>
          </cell>
          <cell r="L2097" t="str">
            <v>HD</v>
          </cell>
          <cell r="M2097" t="str">
            <v>x</v>
          </cell>
          <cell r="N2097" t="e">
            <v>#N/A</v>
          </cell>
          <cell r="O2097" t="str">
            <v>Cartridge Hydraulic Filter</v>
          </cell>
        </row>
        <row r="2098">
          <cell r="K2098" t="str">
            <v>LAF1957</v>
          </cell>
          <cell r="L2098" t="str">
            <v>HD</v>
          </cell>
          <cell r="M2098" t="str">
            <v>x</v>
          </cell>
          <cell r="N2098" t="e">
            <v>#N/A</v>
          </cell>
          <cell r="O2098" t="str">
            <v>Round Inner Air Filter with Flanged Endcap</v>
          </cell>
        </row>
        <row r="2099">
          <cell r="K2099" t="str">
            <v>LAF9548</v>
          </cell>
          <cell r="L2099" t="str">
            <v>HD</v>
          </cell>
          <cell r="M2099" t="str">
            <v>x</v>
          </cell>
          <cell r="N2099" t="e">
            <v>#N/A</v>
          </cell>
          <cell r="O2099" t="str">
            <v>Radial Seal Inner Air Filter</v>
          </cell>
        </row>
        <row r="2100">
          <cell r="K2100" t="str">
            <v>LAF3754</v>
          </cell>
          <cell r="L2100" t="str">
            <v>HD</v>
          </cell>
          <cell r="M2100" t="str">
            <v>x</v>
          </cell>
          <cell r="N2100" t="e">
            <v>#N/A</v>
          </cell>
          <cell r="O2100" t="str">
            <v>Metal-End Air Filter with Closed Top End Cap</v>
          </cell>
        </row>
        <row r="2101">
          <cell r="K2101" t="str">
            <v>LAF1472</v>
          </cell>
          <cell r="L2101" t="str">
            <v>HD</v>
          </cell>
          <cell r="M2101" t="str">
            <v>x</v>
          </cell>
          <cell r="N2101" t="e">
            <v>#N/A</v>
          </cell>
          <cell r="O2101" t="str">
            <v>HD Metal-End Air Filter</v>
          </cell>
        </row>
        <row r="2102">
          <cell r="K2102" t="str">
            <v>LP8232</v>
          </cell>
          <cell r="L2102" t="str">
            <v>HD</v>
          </cell>
          <cell r="M2102" t="str">
            <v>x</v>
          </cell>
          <cell r="N2102" t="e">
            <v>#N/A</v>
          </cell>
          <cell r="O2102" t="str">
            <v>Cartridge Hydraulic Filter</v>
          </cell>
        </row>
        <row r="2103">
          <cell r="K2103" t="str">
            <v>LAF745</v>
          </cell>
          <cell r="L2103" t="str">
            <v>HD</v>
          </cell>
          <cell r="M2103" t="str">
            <v>x</v>
          </cell>
          <cell r="N2103" t="e">
            <v>#N/A</v>
          </cell>
          <cell r="O2103" t="str">
            <v>Round Inner Air Filter with Flanged Endcap</v>
          </cell>
        </row>
        <row r="2104">
          <cell r="K2104" t="str">
            <v>LAF225</v>
          </cell>
          <cell r="L2104" t="str">
            <v>HD</v>
          </cell>
          <cell r="M2104" t="str">
            <v>x</v>
          </cell>
          <cell r="N2104" t="e">
            <v>#N/A</v>
          </cell>
          <cell r="O2104" t="str">
            <v>Round Air Filter</v>
          </cell>
        </row>
        <row r="2105">
          <cell r="K2105" t="str">
            <v>LAF8696</v>
          </cell>
          <cell r="L2105" t="str">
            <v>HD</v>
          </cell>
          <cell r="M2105" t="str">
            <v>x</v>
          </cell>
          <cell r="N2105" t="e">
            <v>#N/A</v>
          </cell>
          <cell r="O2105" t="str">
            <v>Rigid Panel Air Filter</v>
          </cell>
        </row>
        <row r="2106">
          <cell r="K2106" t="str">
            <v>LAF1265</v>
          </cell>
          <cell r="L2106" t="str">
            <v>HD</v>
          </cell>
          <cell r="M2106" t="str">
            <v>x</v>
          </cell>
          <cell r="N2106" t="e">
            <v>#N/A</v>
          </cell>
          <cell r="O2106" t="str">
            <v>HD Metal-End Air Filter with Attached Lid</v>
          </cell>
        </row>
        <row r="2107">
          <cell r="K2107" t="str">
            <v>LAF4169</v>
          </cell>
          <cell r="L2107" t="str">
            <v>HD</v>
          </cell>
          <cell r="M2107" t="str">
            <v>x</v>
          </cell>
          <cell r="N2107" t="e">
            <v>#N/A</v>
          </cell>
          <cell r="O2107" t="str">
            <v>Finned Vane Air Filter</v>
          </cell>
        </row>
        <row r="2108">
          <cell r="K2108" t="str">
            <v>LFP5772</v>
          </cell>
          <cell r="L2108" t="str">
            <v>HD</v>
          </cell>
          <cell r="M2108" t="str">
            <v>x</v>
          </cell>
          <cell r="N2108" t="e">
            <v>#N/A</v>
          </cell>
          <cell r="O2108" t="str">
            <v>Spin-on Oil Filter</v>
          </cell>
        </row>
        <row r="2109">
          <cell r="K2109" t="str">
            <v>LFH8456</v>
          </cell>
          <cell r="L2109" t="str">
            <v>HD</v>
          </cell>
          <cell r="M2109" t="str">
            <v>x</v>
          </cell>
          <cell r="N2109" t="e">
            <v>#N/A</v>
          </cell>
          <cell r="O2109" t="str">
            <v>Spin-on Hydraulic Filter</v>
          </cell>
        </row>
        <row r="2110">
          <cell r="K2110" t="str">
            <v>LFF3291</v>
          </cell>
          <cell r="L2110" t="str">
            <v>HD</v>
          </cell>
          <cell r="M2110" t="str">
            <v>x</v>
          </cell>
          <cell r="N2110" t="e">
            <v>#N/A</v>
          </cell>
          <cell r="O2110" t="str">
            <v>Spin-on Fuel Filter</v>
          </cell>
        </row>
        <row r="2111">
          <cell r="K2111" t="str">
            <v>LAF25</v>
          </cell>
          <cell r="L2111" t="str">
            <v>HD</v>
          </cell>
          <cell r="M2111" t="str">
            <v>x</v>
          </cell>
          <cell r="N2111" t="e">
            <v>#N/A</v>
          </cell>
          <cell r="O2111" t="str">
            <v>Round Air Filter</v>
          </cell>
        </row>
        <row r="2112">
          <cell r="K2112" t="str">
            <v>LAF8773</v>
          </cell>
          <cell r="L2112" t="str">
            <v>HD</v>
          </cell>
          <cell r="M2112" t="str">
            <v>x</v>
          </cell>
          <cell r="N2112" t="e">
            <v>#N/A</v>
          </cell>
          <cell r="O2112" t="str">
            <v>Radial Seal Outer Air Filter</v>
          </cell>
        </row>
        <row r="2113">
          <cell r="K2113" t="str">
            <v>LAF8485</v>
          </cell>
          <cell r="L2113" t="str">
            <v>HD</v>
          </cell>
          <cell r="M2113" t="str">
            <v>x</v>
          </cell>
          <cell r="N2113" t="e">
            <v>#N/A</v>
          </cell>
          <cell r="O2113" t="str">
            <v>Panel Air Filter Metal Framed</v>
          </cell>
        </row>
        <row r="2114">
          <cell r="K2114" t="str">
            <v>LAF8338</v>
          </cell>
          <cell r="L2114" t="str">
            <v>HD</v>
          </cell>
          <cell r="M2114" t="str">
            <v>x</v>
          </cell>
          <cell r="N2114" t="e">
            <v>#N/A</v>
          </cell>
          <cell r="O2114" t="str">
            <v>Oval Air Filter</v>
          </cell>
        </row>
        <row r="2115">
          <cell r="K2115" t="str">
            <v>LAF6587MXM</v>
          </cell>
          <cell r="L2115" t="str">
            <v>HD</v>
          </cell>
          <cell r="M2115" t="str">
            <v>x</v>
          </cell>
          <cell r="N2115" t="e">
            <v>#N/A</v>
          </cell>
          <cell r="O2115" t="str">
            <v xml:space="preserve">Nano Tech Air Filter HD Metal-End </v>
          </cell>
        </row>
        <row r="2116">
          <cell r="K2116" t="str">
            <v>LAF1146</v>
          </cell>
          <cell r="L2116" t="str">
            <v>HD</v>
          </cell>
          <cell r="M2116" t="str">
            <v>x</v>
          </cell>
          <cell r="N2116" t="e">
            <v>#N/A</v>
          </cell>
          <cell r="O2116" t="str">
            <v>Metal-End Air Filter with Closed Top End Cap</v>
          </cell>
        </row>
        <row r="2117">
          <cell r="K2117" t="str">
            <v>LH11030V</v>
          </cell>
          <cell r="L2117" t="str">
            <v>HD</v>
          </cell>
          <cell r="M2117" t="str">
            <v>x</v>
          </cell>
          <cell r="N2117" t="e">
            <v>#N/A</v>
          </cell>
          <cell r="O2117" t="str">
            <v>Industrial Cartridge Hydraulic Filter</v>
          </cell>
        </row>
        <row r="2118">
          <cell r="K2118" t="str">
            <v>LAF1764</v>
          </cell>
          <cell r="L2118" t="str">
            <v>HD</v>
          </cell>
          <cell r="M2118" t="str">
            <v>x</v>
          </cell>
          <cell r="N2118" t="e">
            <v>#N/A</v>
          </cell>
          <cell r="O2118" t="str">
            <v>HD Round Air Filter with Attached Lid</v>
          </cell>
        </row>
        <row r="2119">
          <cell r="K2119" t="str">
            <v>LAF8616</v>
          </cell>
          <cell r="L2119" t="str">
            <v>HD</v>
          </cell>
          <cell r="M2119" t="str">
            <v>x</v>
          </cell>
          <cell r="N2119" t="e">
            <v>#N/A</v>
          </cell>
          <cell r="O2119" t="str">
            <v>HD Round Air Filter with Attached Lid</v>
          </cell>
        </row>
        <row r="2120">
          <cell r="K2120" t="str">
            <v>LAF8585</v>
          </cell>
          <cell r="L2120" t="str">
            <v>HD</v>
          </cell>
          <cell r="M2120" t="str">
            <v>x</v>
          </cell>
          <cell r="N2120" t="e">
            <v>#N/A</v>
          </cell>
          <cell r="O2120" t="str">
            <v>HD Metal-End Air Filter-Inner</v>
          </cell>
        </row>
        <row r="2121">
          <cell r="K2121" t="str">
            <v>LAF8584</v>
          </cell>
          <cell r="L2121" t="str">
            <v>HD</v>
          </cell>
          <cell r="M2121" t="str">
            <v>x</v>
          </cell>
          <cell r="N2121" t="e">
            <v>#N/A</v>
          </cell>
          <cell r="O2121" t="str">
            <v>HD Metal-End Air Filter with Attached Lid</v>
          </cell>
        </row>
        <row r="2122">
          <cell r="K2122" t="str">
            <v>LAF8631</v>
          </cell>
          <cell r="L2122" t="str">
            <v>HD</v>
          </cell>
          <cell r="M2122" t="str">
            <v>x</v>
          </cell>
          <cell r="N2122" t="e">
            <v>#N/A</v>
          </cell>
          <cell r="O2122" t="str">
            <v>HD Metal-End Air Filter with Attached Lid</v>
          </cell>
        </row>
        <row r="2123">
          <cell r="K2123" t="str">
            <v>LAF1460</v>
          </cell>
          <cell r="L2123" t="str">
            <v>HD</v>
          </cell>
          <cell r="M2123" t="str">
            <v>x</v>
          </cell>
          <cell r="N2123" t="str">
            <v>LAF1460</v>
          </cell>
          <cell r="O2123" t="str">
            <v>HD Metal-End Air Filter</v>
          </cell>
        </row>
        <row r="2124">
          <cell r="K2124" t="str">
            <v>LAF4121</v>
          </cell>
          <cell r="L2124" t="str">
            <v>HD</v>
          </cell>
          <cell r="M2124" t="str">
            <v>x</v>
          </cell>
          <cell r="N2124" t="e">
            <v>#N/A</v>
          </cell>
          <cell r="O2124" t="str">
            <v>HD Metal-End Air Filter</v>
          </cell>
        </row>
        <row r="2125">
          <cell r="K2125" t="str">
            <v>LAF1935</v>
          </cell>
          <cell r="L2125" t="str">
            <v>HD</v>
          </cell>
          <cell r="M2125" t="str">
            <v>x</v>
          </cell>
          <cell r="N2125" t="e">
            <v>#N/A</v>
          </cell>
          <cell r="O2125" t="str">
            <v>HD Metal-End Air Filter</v>
          </cell>
        </row>
        <row r="2126">
          <cell r="K2126" t="str">
            <v>LAF4193</v>
          </cell>
          <cell r="L2126" t="str">
            <v>HD</v>
          </cell>
          <cell r="M2126" t="str">
            <v>x</v>
          </cell>
          <cell r="N2126" t="e">
            <v>#N/A</v>
          </cell>
          <cell r="O2126" t="str">
            <v>HD Metal-End Air Filter</v>
          </cell>
        </row>
        <row r="2127">
          <cell r="K2127" t="str">
            <v>LAF1753</v>
          </cell>
          <cell r="L2127" t="str">
            <v>HD</v>
          </cell>
          <cell r="M2127" t="str">
            <v>x</v>
          </cell>
          <cell r="N2127" t="e">
            <v>#N/A</v>
          </cell>
          <cell r="O2127" t="str">
            <v>HD Metal-End Air Filter</v>
          </cell>
        </row>
        <row r="2128">
          <cell r="K2128" t="str">
            <v>LAF8997</v>
          </cell>
          <cell r="L2128" t="str">
            <v>HD</v>
          </cell>
          <cell r="M2128" t="str">
            <v>x</v>
          </cell>
          <cell r="N2128" t="e">
            <v>#N/A</v>
          </cell>
          <cell r="O2128" t="str">
            <v>HD Metal-End Air Filter</v>
          </cell>
        </row>
        <row r="2129">
          <cell r="K2129" t="str">
            <v>LAF3586</v>
          </cell>
          <cell r="L2129" t="str">
            <v>HD</v>
          </cell>
          <cell r="M2129" t="str">
            <v>x</v>
          </cell>
          <cell r="N2129" t="e">
            <v>#N/A</v>
          </cell>
          <cell r="O2129" t="str">
            <v>HD Metal-End Air Filter</v>
          </cell>
        </row>
        <row r="2130">
          <cell r="K2130" t="str">
            <v>LAF1762</v>
          </cell>
          <cell r="L2130" t="str">
            <v>HD</v>
          </cell>
          <cell r="M2130" t="str">
            <v>x</v>
          </cell>
          <cell r="N2130" t="e">
            <v>#N/A</v>
          </cell>
          <cell r="O2130" t="str">
            <v>HD Metal-End Air Filter</v>
          </cell>
        </row>
        <row r="2131">
          <cell r="K2131" t="str">
            <v>LAF5781</v>
          </cell>
          <cell r="L2131" t="str">
            <v>HD</v>
          </cell>
          <cell r="M2131" t="str">
            <v>x</v>
          </cell>
          <cell r="N2131" t="e">
            <v>#N/A</v>
          </cell>
          <cell r="O2131" t="str">
            <v>Flexible Panel Air Filter</v>
          </cell>
        </row>
        <row r="2132">
          <cell r="K2132" t="str">
            <v>LAF8729</v>
          </cell>
          <cell r="L2132" t="str">
            <v>HD</v>
          </cell>
          <cell r="M2132" t="str">
            <v>x</v>
          </cell>
          <cell r="N2132" t="e">
            <v>#N/A</v>
          </cell>
          <cell r="O2132" t="str">
            <v>Finned Vane Air Filter</v>
          </cell>
        </row>
        <row r="2133">
          <cell r="K2133" t="str">
            <v>LAF4175</v>
          </cell>
          <cell r="L2133" t="str">
            <v>HD</v>
          </cell>
          <cell r="M2133" t="str">
            <v>x</v>
          </cell>
          <cell r="N2133" t="e">
            <v>#N/A</v>
          </cell>
          <cell r="O2133" t="str">
            <v>Finned Vane Air Filter</v>
          </cell>
        </row>
        <row r="2134">
          <cell r="K2134" t="str">
            <v>LAF4207</v>
          </cell>
          <cell r="L2134" t="str">
            <v>HD</v>
          </cell>
          <cell r="M2134" t="str">
            <v>x</v>
          </cell>
          <cell r="N2134" t="e">
            <v>#N/A</v>
          </cell>
          <cell r="O2134" t="str">
            <v>Finned Vane Air Filter</v>
          </cell>
        </row>
        <row r="2135">
          <cell r="K2135" t="str">
            <v>LAF1968</v>
          </cell>
          <cell r="L2135" t="str">
            <v>HD</v>
          </cell>
          <cell r="M2135" t="str">
            <v>x</v>
          </cell>
          <cell r="N2135" t="e">
            <v>#N/A</v>
          </cell>
          <cell r="O2135" t="str">
            <v>Disposible Housing Air Filter</v>
          </cell>
        </row>
        <row r="2136">
          <cell r="K2136" t="str">
            <v>LP8719</v>
          </cell>
          <cell r="L2136" t="str">
            <v>HD</v>
          </cell>
          <cell r="M2136" t="str">
            <v>x</v>
          </cell>
          <cell r="N2136" t="e">
            <v>#N/A</v>
          </cell>
          <cell r="O2136" t="str">
            <v>Cartridge Oil Filter</v>
          </cell>
        </row>
        <row r="2137">
          <cell r="K2137" t="str">
            <v>LP8278</v>
          </cell>
          <cell r="L2137" t="str">
            <v>HD</v>
          </cell>
          <cell r="M2137" t="str">
            <v>x</v>
          </cell>
          <cell r="N2137" t="e">
            <v>#N/A</v>
          </cell>
          <cell r="O2137" t="str">
            <v>Cartridge Oil Filter</v>
          </cell>
        </row>
        <row r="2138">
          <cell r="K2138" t="str">
            <v>LP176</v>
          </cell>
          <cell r="L2138" t="str">
            <v>HD</v>
          </cell>
          <cell r="M2138" t="str">
            <v>x</v>
          </cell>
          <cell r="N2138" t="e">
            <v>#N/A</v>
          </cell>
          <cell r="O2138" t="str">
            <v>Cartridge Oil Filter</v>
          </cell>
        </row>
        <row r="2139">
          <cell r="K2139" t="str">
            <v>LP5041</v>
          </cell>
          <cell r="L2139" t="str">
            <v>HD</v>
          </cell>
          <cell r="M2139" t="str">
            <v>x</v>
          </cell>
          <cell r="N2139" t="e">
            <v>#N/A</v>
          </cell>
          <cell r="O2139" t="str">
            <v>Cartridge Oil Filter</v>
          </cell>
        </row>
        <row r="2140">
          <cell r="K2140" t="str">
            <v>LP5040</v>
          </cell>
          <cell r="L2140" t="str">
            <v>HD</v>
          </cell>
          <cell r="M2140" t="str">
            <v>x</v>
          </cell>
          <cell r="N2140" t="e">
            <v>#N/A</v>
          </cell>
          <cell r="O2140" t="str">
            <v>Cartridge Oil Filter</v>
          </cell>
        </row>
        <row r="2141">
          <cell r="K2141" t="str">
            <v>LH4239</v>
          </cell>
          <cell r="L2141" t="str">
            <v>HD</v>
          </cell>
          <cell r="M2141" t="str">
            <v>x</v>
          </cell>
          <cell r="N2141" t="e">
            <v>#N/A</v>
          </cell>
          <cell r="O2141" t="str">
            <v>Cartridge Hydraulic Filter</v>
          </cell>
        </row>
        <row r="2142">
          <cell r="K2142" t="str">
            <v>LH95315V</v>
          </cell>
          <cell r="L2142" t="str">
            <v>HD</v>
          </cell>
          <cell r="M2142" t="str">
            <v>x</v>
          </cell>
          <cell r="N2142" t="e">
            <v>#N/A</v>
          </cell>
          <cell r="O2142" t="str">
            <v>Cartridge Hydraulic Filter</v>
          </cell>
        </row>
        <row r="2143">
          <cell r="K2143" t="str">
            <v>LH95361V</v>
          </cell>
          <cell r="L2143" t="str">
            <v>HD</v>
          </cell>
          <cell r="M2143" t="str">
            <v>x</v>
          </cell>
          <cell r="N2143" t="e">
            <v>#N/A</v>
          </cell>
          <cell r="O2143" t="str">
            <v>Cartridge Hydraulic Filter</v>
          </cell>
        </row>
        <row r="2144">
          <cell r="K2144" t="str">
            <v>P422</v>
          </cell>
          <cell r="L2144" t="str">
            <v>HD</v>
          </cell>
          <cell r="M2144" t="str">
            <v>x</v>
          </cell>
          <cell r="N2144" t="e">
            <v>#N/A</v>
          </cell>
          <cell r="O2144" t="str">
            <v>Cartridge Hydraulic Filter</v>
          </cell>
        </row>
        <row r="2145">
          <cell r="K2145" t="str">
            <v>LH4270</v>
          </cell>
          <cell r="L2145" t="str">
            <v>HD</v>
          </cell>
          <cell r="M2145" t="str">
            <v>x</v>
          </cell>
          <cell r="N2145" t="e">
            <v>#N/A</v>
          </cell>
          <cell r="O2145" t="str">
            <v>Cartridge Hydraulic Filter</v>
          </cell>
        </row>
        <row r="2146">
          <cell r="K2146" t="str">
            <v>L155F</v>
          </cell>
          <cell r="L2146" t="str">
            <v>HD</v>
          </cell>
          <cell r="M2146" t="str">
            <v>x</v>
          </cell>
          <cell r="N2146" t="e">
            <v>#N/A</v>
          </cell>
          <cell r="O2146" t="str">
            <v>Cartridge Fuel Filter</v>
          </cell>
        </row>
        <row r="2147">
          <cell r="K2147" t="str">
            <v>LAF4738</v>
          </cell>
          <cell r="L2147" t="str">
            <v>HD</v>
          </cell>
          <cell r="M2147" t="str">
            <v>x</v>
          </cell>
          <cell r="N2147" t="e">
            <v>#N/A</v>
          </cell>
          <cell r="O2147" t="str">
            <v>HD Metal-End Air Filter</v>
          </cell>
        </row>
        <row r="2148">
          <cell r="K2148" t="str">
            <v>LP5597</v>
          </cell>
          <cell r="L2148" t="str">
            <v>HD</v>
          </cell>
          <cell r="M2148" t="str">
            <v>x</v>
          </cell>
          <cell r="N2148" t="e">
            <v>#N/A</v>
          </cell>
          <cell r="O2148" t="str">
            <v>Cartridge Oil Filter</v>
          </cell>
        </row>
        <row r="2149">
          <cell r="K2149" t="str">
            <v>L8924F</v>
          </cell>
          <cell r="L2149" t="str">
            <v>HD</v>
          </cell>
          <cell r="M2149" t="str">
            <v>x</v>
          </cell>
          <cell r="N2149" t="e">
            <v>#N/A</v>
          </cell>
          <cell r="O2149" t="str">
            <v>Cartridge Fuel Filter</v>
          </cell>
        </row>
        <row r="2150">
          <cell r="K2150" t="str">
            <v>LAF1741</v>
          </cell>
          <cell r="L2150" t="str">
            <v>HD</v>
          </cell>
          <cell r="M2150" t="str">
            <v>x</v>
          </cell>
          <cell r="N2150" t="e">
            <v>#N/A</v>
          </cell>
          <cell r="O2150" t="str">
            <v>HD Metal-End Air Filter</v>
          </cell>
        </row>
        <row r="2151">
          <cell r="K2151" t="str">
            <v>LFP8295</v>
          </cell>
          <cell r="L2151" t="str">
            <v>HD</v>
          </cell>
          <cell r="M2151" t="str">
            <v>x</v>
          </cell>
          <cell r="N2151" t="e">
            <v>#N/A</v>
          </cell>
          <cell r="O2151" t="str">
            <v>Spin-on Oil Filter</v>
          </cell>
        </row>
        <row r="2152">
          <cell r="K2152" t="str">
            <v>LK1M</v>
          </cell>
          <cell r="L2152" t="str">
            <v>HD</v>
          </cell>
          <cell r="M2152" t="str">
            <v>x</v>
          </cell>
          <cell r="N2152" t="e">
            <v>#N/A</v>
          </cell>
          <cell r="O2152" t="str">
            <v>Mack Engine Maintenance Kit</v>
          </cell>
        </row>
        <row r="2153">
          <cell r="K2153" t="str">
            <v>LAF1791</v>
          </cell>
          <cell r="L2153" t="str">
            <v>HD</v>
          </cell>
          <cell r="M2153" t="str">
            <v>x</v>
          </cell>
          <cell r="N2153" t="e">
            <v>#N/A</v>
          </cell>
          <cell r="O2153" t="str">
            <v>Finned Vane Air Filter</v>
          </cell>
        </row>
        <row r="2154">
          <cell r="K2154" t="str">
            <v>LAF1946</v>
          </cell>
          <cell r="L2154" t="str">
            <v>HD</v>
          </cell>
          <cell r="M2154" t="str">
            <v>x</v>
          </cell>
          <cell r="N2154" t="e">
            <v>#N/A</v>
          </cell>
          <cell r="O2154" t="str">
            <v>Round Air Filter with Flanged Endcap</v>
          </cell>
        </row>
        <row r="2155">
          <cell r="K2155" t="str">
            <v>LAF4126</v>
          </cell>
          <cell r="L2155" t="str">
            <v>HD</v>
          </cell>
          <cell r="M2155" t="str">
            <v>x</v>
          </cell>
          <cell r="N2155" t="e">
            <v>#N/A</v>
          </cell>
          <cell r="O2155" t="str">
            <v>Panel Air Filter Metal Framed</v>
          </cell>
        </row>
        <row r="2156">
          <cell r="K2156" t="str">
            <v>LAF8833</v>
          </cell>
          <cell r="L2156" t="str">
            <v>HD</v>
          </cell>
          <cell r="M2156" t="str">
            <v>x</v>
          </cell>
          <cell r="N2156" t="e">
            <v>#N/A</v>
          </cell>
          <cell r="O2156" t="str">
            <v>HD Metal-End Air Filter with Attached Lid</v>
          </cell>
        </row>
        <row r="2157">
          <cell r="K2157" t="str">
            <v>LFW5870</v>
          </cell>
          <cell r="L2157" t="str">
            <v>HD</v>
          </cell>
          <cell r="M2157" t="str">
            <v>x</v>
          </cell>
          <cell r="N2157" t="e">
            <v>#N/A</v>
          </cell>
          <cell r="O2157" t="str">
            <v>Spin-on Coolant Filter</v>
          </cell>
        </row>
        <row r="2158">
          <cell r="K2158" t="str">
            <v>LFH4432</v>
          </cell>
          <cell r="L2158" t="str">
            <v>HD</v>
          </cell>
          <cell r="M2158" t="str">
            <v>x</v>
          </cell>
          <cell r="N2158" t="e">
            <v>#N/A</v>
          </cell>
          <cell r="O2158" t="str">
            <v>Spin-on Hydraulic Filter</v>
          </cell>
        </row>
        <row r="2159">
          <cell r="K2159" t="str">
            <v>LAF5955</v>
          </cell>
          <cell r="L2159" t="str">
            <v>HD</v>
          </cell>
          <cell r="M2159" t="str">
            <v>x</v>
          </cell>
          <cell r="N2159" t="e">
            <v>#N/A</v>
          </cell>
          <cell r="O2159" t="str">
            <v>Radial Seal Inner Air Filter</v>
          </cell>
        </row>
        <row r="2160">
          <cell r="K2160" t="str">
            <v>LAF884</v>
          </cell>
          <cell r="L2160" t="str">
            <v>HD</v>
          </cell>
          <cell r="M2160" t="str">
            <v>x</v>
          </cell>
          <cell r="N2160" t="e">
            <v>#N/A</v>
          </cell>
          <cell r="O2160" t="str">
            <v>Metal-End Air Filter with Closed Top End Cap</v>
          </cell>
        </row>
        <row r="2161">
          <cell r="K2161" t="str">
            <v>LAF5889</v>
          </cell>
          <cell r="L2161" t="str">
            <v>HD</v>
          </cell>
          <cell r="M2161" t="str">
            <v>x</v>
          </cell>
          <cell r="N2161" t="e">
            <v>#N/A</v>
          </cell>
          <cell r="O2161" t="str">
            <v>HD Metal-End Air Filter with Attached Lid</v>
          </cell>
        </row>
        <row r="2162">
          <cell r="K2162" t="str">
            <v>LFH8243</v>
          </cell>
          <cell r="L2162" t="str">
            <v>HD</v>
          </cell>
          <cell r="M2162" t="str">
            <v>x</v>
          </cell>
          <cell r="N2162" t="e">
            <v>#N/A</v>
          </cell>
          <cell r="O2162" t="str">
            <v>Spin-on Hydraulic Filter</v>
          </cell>
        </row>
        <row r="2163">
          <cell r="K2163" t="str">
            <v>LAF4350</v>
          </cell>
          <cell r="L2163" t="str">
            <v>HD</v>
          </cell>
          <cell r="M2163" t="str">
            <v>x</v>
          </cell>
          <cell r="N2163" t="e">
            <v>#N/A</v>
          </cell>
          <cell r="O2163" t="str">
            <v>Round Inner Air Filter with Flanged Endcap</v>
          </cell>
        </row>
        <row r="2164">
          <cell r="K2164" t="str">
            <v>LAF6299</v>
          </cell>
          <cell r="L2164" t="str">
            <v>HD</v>
          </cell>
          <cell r="M2164" t="str">
            <v>x</v>
          </cell>
          <cell r="N2164" t="e">
            <v>#N/A</v>
          </cell>
          <cell r="O2164" t="str">
            <v>Metal-End Air Filter with Closed Top End Cap</v>
          </cell>
        </row>
        <row r="2165">
          <cell r="K2165" t="str">
            <v>LAF4310</v>
          </cell>
          <cell r="L2165" t="str">
            <v>HD</v>
          </cell>
          <cell r="M2165" t="str">
            <v>x</v>
          </cell>
          <cell r="N2165" t="e">
            <v>#N/A</v>
          </cell>
          <cell r="O2165" t="str">
            <v>HD Metal-End Air Filter with Attached Lid</v>
          </cell>
        </row>
        <row r="2166">
          <cell r="K2166" t="str">
            <v>LAF8695</v>
          </cell>
          <cell r="L2166" t="str">
            <v>HD</v>
          </cell>
          <cell r="M2166" t="str">
            <v>x</v>
          </cell>
          <cell r="N2166" t="e">
            <v>#N/A</v>
          </cell>
          <cell r="O2166" t="str">
            <v>HD Metal-End Air Filter</v>
          </cell>
        </row>
        <row r="2167">
          <cell r="K2167" t="str">
            <v>LAF22006</v>
          </cell>
          <cell r="L2167" t="str">
            <v>HD</v>
          </cell>
          <cell r="M2167" t="str">
            <v>x</v>
          </cell>
          <cell r="N2167" t="e">
            <v>#N/A</v>
          </cell>
          <cell r="O2167" t="str">
            <v>Disposible Housing Air Filter</v>
          </cell>
        </row>
        <row r="2168">
          <cell r="K2168" t="str">
            <v>LH4100</v>
          </cell>
          <cell r="L2168" t="str">
            <v>HD</v>
          </cell>
          <cell r="M2168" t="str">
            <v>x</v>
          </cell>
          <cell r="N2168" t="e">
            <v>#N/A</v>
          </cell>
          <cell r="O2168" t="str">
            <v>Cartridge Hydraulic Filter</v>
          </cell>
        </row>
        <row r="2169">
          <cell r="K2169" t="str">
            <v>LH9406V</v>
          </cell>
          <cell r="L2169" t="str">
            <v>HD</v>
          </cell>
          <cell r="M2169" t="str">
            <v>x</v>
          </cell>
          <cell r="N2169" t="e">
            <v>#N/A</v>
          </cell>
          <cell r="O2169" t="str">
            <v>Cartridge Hydraulic Filter</v>
          </cell>
        </row>
        <row r="2170">
          <cell r="K2170" t="str">
            <v>L4119F</v>
          </cell>
          <cell r="L2170" t="str">
            <v>HD</v>
          </cell>
          <cell r="M2170" t="str">
            <v>x</v>
          </cell>
          <cell r="N2170" t="e">
            <v>#N/A</v>
          </cell>
          <cell r="O2170" t="str">
            <v>Cartridge Fuel Filter</v>
          </cell>
        </row>
        <row r="2171">
          <cell r="K2171" t="str">
            <v>L3570F</v>
          </cell>
          <cell r="L2171" t="str">
            <v>HD</v>
          </cell>
          <cell r="M2171" t="str">
            <v>x</v>
          </cell>
          <cell r="N2171" t="e">
            <v>#N/A</v>
          </cell>
          <cell r="O2171" t="str">
            <v>Cartridge Fuel Filter</v>
          </cell>
        </row>
        <row r="2172">
          <cell r="K2172" t="str">
            <v>LAF8572</v>
          </cell>
          <cell r="L2172" t="str">
            <v>HD</v>
          </cell>
          <cell r="M2172" t="str">
            <v>x</v>
          </cell>
          <cell r="N2172" t="e">
            <v>#N/A</v>
          </cell>
          <cell r="O2172" t="str">
            <v>Finned Vane Air Filter</v>
          </cell>
        </row>
        <row r="2173">
          <cell r="K2173" t="str">
            <v>OUTLET</v>
          </cell>
          <cell r="L2173" t="str">
            <v>HD</v>
          </cell>
          <cell r="M2173" t="str">
            <v>x</v>
          </cell>
          <cell r="N2173" t="e">
            <v>#N/A</v>
          </cell>
          <cell r="O2173" t="str">
            <v>OUTLET VALVE ASSY</v>
          </cell>
        </row>
        <row r="2174">
          <cell r="K2174">
            <v>135</v>
          </cell>
          <cell r="L2174" t="str">
            <v>HD</v>
          </cell>
          <cell r="M2174" t="str">
            <v>x</v>
          </cell>
          <cell r="N2174" t="e">
            <v>#N/A</v>
          </cell>
          <cell r="O2174" t="str">
            <v>Luber-finer model 135 diesel pak, Fleetpak oil filter</v>
          </cell>
        </row>
        <row r="2175">
          <cell r="K2175" t="str">
            <v>500CT</v>
          </cell>
          <cell r="L2175" t="str">
            <v>HD</v>
          </cell>
          <cell r="M2175" t="str">
            <v>x</v>
          </cell>
          <cell r="N2175" t="e">
            <v>#N/A</v>
          </cell>
          <cell r="O2175" t="str">
            <v>Horizontal Diesel Unit w/Imperial Filter Pack/500-C</v>
          </cell>
        </row>
        <row r="2176">
          <cell r="K2176" t="str">
            <v>F170</v>
          </cell>
          <cell r="L2176" t="str">
            <v>HD</v>
          </cell>
          <cell r="M2176" t="str">
            <v>x</v>
          </cell>
          <cell r="N2176" t="e">
            <v>#N/A</v>
          </cell>
          <cell r="O2176" t="str">
            <v>Head Casting, Aluminum/F-170-W</v>
          </cell>
        </row>
        <row r="2177">
          <cell r="K2177">
            <v>750</v>
          </cell>
          <cell r="L2177" t="str">
            <v>HD</v>
          </cell>
          <cell r="M2177" t="str">
            <v>x</v>
          </cell>
          <cell r="N2177" t="e">
            <v>#N/A</v>
          </cell>
          <cell r="O2177" t="str">
            <v>750-C Lower Housing Shell w/Retaining Ring Only</v>
          </cell>
        </row>
        <row r="2178">
          <cell r="K2178" t="str">
            <v>LFH4984</v>
          </cell>
          <cell r="L2178" t="str">
            <v>HD</v>
          </cell>
          <cell r="N2178" t="e">
            <v>#N/A</v>
          </cell>
          <cell r="O2178" t="str">
            <v>Spin-on Power Steering (Hydraulic) Filter</v>
          </cell>
        </row>
        <row r="2179">
          <cell r="K2179" t="str">
            <v>CAF24005XL</v>
          </cell>
          <cell r="L2179" t="str">
            <v>HD</v>
          </cell>
          <cell r="M2179" t="str">
            <v>x</v>
          </cell>
          <cell r="N2179" t="e">
            <v>#N/A</v>
          </cell>
          <cell r="O2179" t="str">
            <v>Cabin Air Filter (Carbon) Extreme Clean</v>
          </cell>
        </row>
        <row r="2180">
          <cell r="K2180" t="str">
            <v>LFP791</v>
          </cell>
          <cell r="L2180" t="str">
            <v>HD</v>
          </cell>
          <cell r="M2180" t="str">
            <v>x</v>
          </cell>
          <cell r="N2180" t="e">
            <v>#N/A</v>
          </cell>
          <cell r="O2180" t="str">
            <v>Spin-on Oil Filter</v>
          </cell>
        </row>
        <row r="2181">
          <cell r="K2181" t="str">
            <v>L3995F</v>
          </cell>
          <cell r="L2181" t="str">
            <v>HD</v>
          </cell>
          <cell r="M2181" t="str">
            <v>x</v>
          </cell>
          <cell r="N2181" t="e">
            <v>#N/A</v>
          </cell>
          <cell r="O2181" t="str">
            <v>In-Line Fuel Filter</v>
          </cell>
        </row>
        <row r="2182">
          <cell r="K2182" t="str">
            <v>LAF8597</v>
          </cell>
          <cell r="L2182" t="str">
            <v>HD</v>
          </cell>
          <cell r="M2182" t="str">
            <v>x</v>
          </cell>
          <cell r="N2182" t="e">
            <v>#N/A</v>
          </cell>
          <cell r="O2182" t="str">
            <v>Round Air Filter</v>
          </cell>
        </row>
        <row r="2183">
          <cell r="K2183" t="str">
            <v>LFP9024</v>
          </cell>
          <cell r="L2183" t="str">
            <v>HD</v>
          </cell>
          <cell r="M2183" t="str">
            <v>x</v>
          </cell>
          <cell r="N2183" t="e">
            <v>#N/A</v>
          </cell>
          <cell r="O2183" t="str">
            <v>Spin-on Oil Filter</v>
          </cell>
        </row>
        <row r="2184">
          <cell r="K2184" t="str">
            <v>LAF8824</v>
          </cell>
          <cell r="L2184" t="str">
            <v>HD</v>
          </cell>
          <cell r="M2184" t="str">
            <v>x</v>
          </cell>
          <cell r="N2184" t="e">
            <v>#N/A</v>
          </cell>
          <cell r="O2184" t="str">
            <v>HD Metal-End Air Filter</v>
          </cell>
        </row>
        <row r="2185">
          <cell r="K2185" t="str">
            <v>LFP2252</v>
          </cell>
          <cell r="L2185" t="str">
            <v>HD</v>
          </cell>
          <cell r="M2185" t="str">
            <v>x</v>
          </cell>
          <cell r="N2185" t="e">
            <v>#N/A</v>
          </cell>
          <cell r="O2185" t="str">
            <v>Spin-on Oil Filter</v>
          </cell>
        </row>
        <row r="2186">
          <cell r="K2186" t="str">
            <v>LFP9001XL</v>
          </cell>
          <cell r="L2186" t="str">
            <v>HD</v>
          </cell>
          <cell r="O2186" t="str">
            <v>Spin-on Oil Filter</v>
          </cell>
        </row>
        <row r="2187">
          <cell r="K2187" t="str">
            <v>LFP5010</v>
          </cell>
          <cell r="L2187" t="str">
            <v>HD</v>
          </cell>
          <cell r="M2187" t="str">
            <v>x</v>
          </cell>
          <cell r="N2187" t="e">
            <v>#N/A</v>
          </cell>
          <cell r="O2187" t="str">
            <v>Spin-on Oil Filter</v>
          </cell>
        </row>
        <row r="2188">
          <cell r="K2188" t="str">
            <v>L9721F</v>
          </cell>
          <cell r="L2188" t="str">
            <v>HD</v>
          </cell>
          <cell r="M2188" t="str">
            <v>x</v>
          </cell>
          <cell r="N2188" t="e">
            <v>#N/A</v>
          </cell>
          <cell r="O2188" t="str">
            <v>Cartridge Fuel Water Separator Filter</v>
          </cell>
        </row>
        <row r="2189">
          <cell r="K2189" t="str">
            <v>LFP2538</v>
          </cell>
          <cell r="L2189" t="str">
            <v>HD</v>
          </cell>
          <cell r="M2189" t="str">
            <v>x</v>
          </cell>
          <cell r="N2189" t="e">
            <v>#N/A</v>
          </cell>
          <cell r="O2189" t="str">
            <v>Spin-on Oil Filter</v>
          </cell>
        </row>
        <row r="2190">
          <cell r="K2190" t="str">
            <v>LFF1006</v>
          </cell>
          <cell r="L2190" t="str">
            <v>HD</v>
          </cell>
          <cell r="M2190" t="str">
            <v>x</v>
          </cell>
          <cell r="N2190" t="e">
            <v>#N/A</v>
          </cell>
          <cell r="O2190" t="str">
            <v>Box Type Fuel Filter</v>
          </cell>
        </row>
        <row r="2191">
          <cell r="K2191" t="str">
            <v>LAF3551MXM</v>
          </cell>
          <cell r="L2191" t="str">
            <v>HD</v>
          </cell>
          <cell r="M2191" t="str">
            <v>x</v>
          </cell>
          <cell r="N2191" t="e">
            <v>#N/A</v>
          </cell>
          <cell r="O2191" t="str">
            <v xml:space="preserve">Nano Tech HD Round Air Filter w/Attached Lid  </v>
          </cell>
        </row>
        <row r="2192">
          <cell r="K2192" t="str">
            <v>LFP2535</v>
          </cell>
          <cell r="L2192" t="str">
            <v>HD</v>
          </cell>
          <cell r="M2192" t="str">
            <v>x</v>
          </cell>
          <cell r="N2192" t="e">
            <v>#N/A</v>
          </cell>
          <cell r="O2192" t="str">
            <v>Spin-on Oil Filter</v>
          </cell>
        </row>
        <row r="2193">
          <cell r="K2193" t="str">
            <v>LP560HE</v>
          </cell>
          <cell r="L2193" t="str">
            <v>HD</v>
          </cell>
          <cell r="M2193" t="str">
            <v>x</v>
          </cell>
          <cell r="N2193" t="e">
            <v>#N/A</v>
          </cell>
          <cell r="O2193" t="str">
            <v>Cartridge Oil Filter</v>
          </cell>
        </row>
        <row r="2194">
          <cell r="K2194" t="str">
            <v>LFP5971</v>
          </cell>
          <cell r="L2194" t="str">
            <v>HD</v>
          </cell>
          <cell r="M2194" t="str">
            <v>x</v>
          </cell>
          <cell r="N2194" t="e">
            <v>#N/A</v>
          </cell>
          <cell r="O2194" t="str">
            <v>Spin-on Oil Filter</v>
          </cell>
        </row>
        <row r="2195">
          <cell r="K2195" t="str">
            <v>LAF8736</v>
          </cell>
          <cell r="L2195" t="str">
            <v>HD</v>
          </cell>
          <cell r="M2195" t="str">
            <v>x</v>
          </cell>
          <cell r="N2195" t="e">
            <v>#N/A</v>
          </cell>
          <cell r="O2195" t="str">
            <v>Round Air Filter</v>
          </cell>
        </row>
        <row r="2196">
          <cell r="K2196" t="str">
            <v>LP229</v>
          </cell>
          <cell r="L2196" t="str">
            <v>HD</v>
          </cell>
          <cell r="M2196" t="str">
            <v>x</v>
          </cell>
          <cell r="N2196" t="e">
            <v>#N/A</v>
          </cell>
          <cell r="O2196" t="str">
            <v>Cartridge Oil Filter</v>
          </cell>
        </row>
        <row r="2197">
          <cell r="K2197" t="str">
            <v>LFF15-30</v>
          </cell>
          <cell r="L2197" t="str">
            <v>HD</v>
          </cell>
          <cell r="M2197" t="str">
            <v>x</v>
          </cell>
          <cell r="N2197" t="e">
            <v>#N/A</v>
          </cell>
          <cell r="O2197" t="str">
            <v>Fuel Dispensing Filter</v>
          </cell>
        </row>
        <row r="2198">
          <cell r="K2198" t="str">
            <v>LAF3706</v>
          </cell>
          <cell r="L2198" t="str">
            <v>HD</v>
          </cell>
          <cell r="M2198" t="str">
            <v>x</v>
          </cell>
          <cell r="N2198" t="e">
            <v>#N/A</v>
          </cell>
          <cell r="O2198" t="str">
            <v>HD Metal-End Air Filter</v>
          </cell>
        </row>
        <row r="2199">
          <cell r="K2199" t="str">
            <v>LAF5799</v>
          </cell>
          <cell r="L2199" t="str">
            <v>HD</v>
          </cell>
          <cell r="M2199" t="str">
            <v>x</v>
          </cell>
          <cell r="N2199" t="e">
            <v>#N/A</v>
          </cell>
          <cell r="O2199" t="str">
            <v>Flexible Panel Air Filter</v>
          </cell>
        </row>
        <row r="2200">
          <cell r="K2200" t="str">
            <v>LFP5853</v>
          </cell>
          <cell r="L2200" t="str">
            <v>HD</v>
          </cell>
          <cell r="M2200" t="str">
            <v>x</v>
          </cell>
          <cell r="N2200" t="e">
            <v>#N/A</v>
          </cell>
          <cell r="O2200" t="str">
            <v>Spin-on Oil Filter</v>
          </cell>
        </row>
        <row r="2201">
          <cell r="K2201" t="str">
            <v>LAF6769MXM</v>
          </cell>
          <cell r="L2201" t="str">
            <v>HD</v>
          </cell>
          <cell r="M2201" t="str">
            <v>x</v>
          </cell>
          <cell r="N2201" t="e">
            <v>#N/A</v>
          </cell>
          <cell r="O2201" t="str">
            <v xml:space="preserve">Nano Tech Air Filter HD Metal-End </v>
          </cell>
        </row>
        <row r="2202">
          <cell r="K2202" t="str">
            <v>LFH4970</v>
          </cell>
          <cell r="L2202" t="str">
            <v>HD</v>
          </cell>
          <cell r="M2202" t="str">
            <v>x</v>
          </cell>
          <cell r="N2202" t="e">
            <v>#N/A</v>
          </cell>
          <cell r="O2202" t="str">
            <v>Spin-on Hydraulic Filter</v>
          </cell>
        </row>
        <row r="2203">
          <cell r="K2203" t="str">
            <v>LAF466</v>
          </cell>
          <cell r="L2203" t="str">
            <v>HD</v>
          </cell>
          <cell r="M2203" t="str">
            <v>x</v>
          </cell>
          <cell r="N2203" t="e">
            <v>#N/A</v>
          </cell>
          <cell r="O2203" t="str">
            <v>HD Metal-End Air Filter</v>
          </cell>
        </row>
        <row r="2204">
          <cell r="K2204" t="str">
            <v>LH5942</v>
          </cell>
          <cell r="L2204" t="str">
            <v>HD</v>
          </cell>
          <cell r="M2204" t="str">
            <v>x</v>
          </cell>
          <cell r="N2204" t="e">
            <v>#N/A</v>
          </cell>
          <cell r="O2204" t="str">
            <v>Cartridge Hydraulic Filter</v>
          </cell>
        </row>
        <row r="2205">
          <cell r="K2205" t="str">
            <v>LAF1468</v>
          </cell>
          <cell r="L2205" t="str">
            <v>HD</v>
          </cell>
          <cell r="M2205" t="str">
            <v>x</v>
          </cell>
          <cell r="N2205" t="e">
            <v>#N/A</v>
          </cell>
          <cell r="O2205" t="str">
            <v>Rigid Panel Air Filter</v>
          </cell>
        </row>
        <row r="2206">
          <cell r="K2206" t="str">
            <v>CAF24002XL</v>
          </cell>
          <cell r="L2206" t="str">
            <v>HD</v>
          </cell>
          <cell r="M2206" t="str">
            <v>x</v>
          </cell>
          <cell r="N2206" t="e">
            <v>#N/A</v>
          </cell>
          <cell r="O2206" t="str">
            <v>Cabin Air Filter (Carbon) Extreme Clean</v>
          </cell>
        </row>
        <row r="2207">
          <cell r="K2207" t="str">
            <v>LAF8589</v>
          </cell>
          <cell r="L2207" t="str">
            <v>HD</v>
          </cell>
          <cell r="M2207" t="str">
            <v>x</v>
          </cell>
          <cell r="N2207" t="e">
            <v>#N/A</v>
          </cell>
          <cell r="O2207" t="str">
            <v>HD Metal-End Air Filter-Inner</v>
          </cell>
        </row>
        <row r="2208">
          <cell r="K2208" t="str">
            <v>LP5899</v>
          </cell>
          <cell r="L2208" t="str">
            <v>HD</v>
          </cell>
          <cell r="M2208" t="str">
            <v>x</v>
          </cell>
          <cell r="N2208" t="e">
            <v>#N/A</v>
          </cell>
          <cell r="O2208" t="str">
            <v>Cartridge Oil Filter</v>
          </cell>
        </row>
        <row r="2209">
          <cell r="K2209" t="str">
            <v>LH4227</v>
          </cell>
          <cell r="L2209" t="str">
            <v>HD</v>
          </cell>
          <cell r="M2209" t="str">
            <v>x</v>
          </cell>
          <cell r="N2209" t="e">
            <v>#N/A</v>
          </cell>
          <cell r="O2209" t="str">
            <v>Cartridge Hydraulic Filter</v>
          </cell>
        </row>
        <row r="2210">
          <cell r="K2210" t="str">
            <v>LAF4159</v>
          </cell>
          <cell r="L2210" t="str">
            <v>HD</v>
          </cell>
          <cell r="M2210" t="str">
            <v>x</v>
          </cell>
          <cell r="N2210" t="e">
            <v>#N/A</v>
          </cell>
          <cell r="O2210" t="str">
            <v>Round Inner Air Filter</v>
          </cell>
        </row>
        <row r="2211">
          <cell r="K2211" t="str">
            <v>LAF1476</v>
          </cell>
          <cell r="L2211" t="str">
            <v>HD</v>
          </cell>
          <cell r="M2211" t="str">
            <v>x</v>
          </cell>
          <cell r="N2211" t="e">
            <v>#N/A</v>
          </cell>
          <cell r="O2211" t="str">
            <v>HD Metal-End Air Filter</v>
          </cell>
        </row>
        <row r="2212">
          <cell r="K2212" t="str">
            <v>LAF8664</v>
          </cell>
          <cell r="L2212" t="str">
            <v>HD</v>
          </cell>
          <cell r="M2212" t="str">
            <v>x</v>
          </cell>
          <cell r="N2212" t="e">
            <v>#N/A</v>
          </cell>
          <cell r="O2212" t="str">
            <v>HD Metal-End Air Filter with Attached Lid</v>
          </cell>
        </row>
        <row r="2213">
          <cell r="K2213" t="str">
            <v>LAF4501MXM</v>
          </cell>
          <cell r="L2213" t="str">
            <v>HD</v>
          </cell>
          <cell r="M2213" t="str">
            <v>x</v>
          </cell>
          <cell r="N2213" t="e">
            <v>#N/A</v>
          </cell>
          <cell r="O2213" t="str">
            <v>Nano Tech Radial Seal Air Filter</v>
          </cell>
        </row>
        <row r="2214">
          <cell r="K2214" t="str">
            <v>LK282MB</v>
          </cell>
          <cell r="L2214" t="str">
            <v>HD</v>
          </cell>
          <cell r="M2214" t="str">
            <v>x</v>
          </cell>
          <cell r="N2214" t="e">
            <v>#N/A</v>
          </cell>
          <cell r="O2214" t="str">
            <v>Mercedes Benz Engine Maintenance Kit</v>
          </cell>
        </row>
        <row r="2215">
          <cell r="K2215" t="str">
            <v>LAF6998MXM</v>
          </cell>
          <cell r="L2215" t="str">
            <v>HD</v>
          </cell>
          <cell r="M2215" t="str">
            <v>x</v>
          </cell>
          <cell r="N2215" t="e">
            <v>#N/A</v>
          </cell>
          <cell r="O2215" t="str">
            <v>Nano Tech Radial Seal Air Filter</v>
          </cell>
        </row>
        <row r="2216">
          <cell r="K2216" t="str">
            <v>LFF8932</v>
          </cell>
          <cell r="L2216" t="str">
            <v>HD</v>
          </cell>
          <cell r="M2216" t="str">
            <v>x</v>
          </cell>
          <cell r="N2216" t="e">
            <v>#N/A</v>
          </cell>
          <cell r="O2216" t="str">
            <v>Spin-on Fuel Water Separator Filter</v>
          </cell>
        </row>
        <row r="2217">
          <cell r="K2217" t="str">
            <v>LAF5590</v>
          </cell>
          <cell r="L2217" t="str">
            <v>HD</v>
          </cell>
          <cell r="M2217" t="str">
            <v>x</v>
          </cell>
          <cell r="N2217" t="e">
            <v>#N/A</v>
          </cell>
          <cell r="O2217" t="str">
            <v>Metal-End Air Filter, Primary</v>
          </cell>
        </row>
        <row r="2218">
          <cell r="K2218" t="str">
            <v>LFF8806F</v>
          </cell>
          <cell r="L2218" t="str">
            <v>HD</v>
          </cell>
          <cell r="M2218" t="str">
            <v>x</v>
          </cell>
          <cell r="N2218" t="e">
            <v>#N/A</v>
          </cell>
          <cell r="O2218" t="str">
            <v>Spin-on Fuel Water Separator Filter</v>
          </cell>
        </row>
        <row r="2219">
          <cell r="K2219" t="str">
            <v>LFP9930</v>
          </cell>
          <cell r="L2219" t="str">
            <v>HD</v>
          </cell>
          <cell r="M2219" t="str">
            <v>x</v>
          </cell>
          <cell r="N2219" t="e">
            <v>#N/A</v>
          </cell>
          <cell r="O2219" t="str">
            <v>Spin-on Oil Filter</v>
          </cell>
        </row>
        <row r="2220">
          <cell r="K2220" t="str">
            <v>LAF5572</v>
          </cell>
          <cell r="L2220" t="str">
            <v>HD</v>
          </cell>
          <cell r="M2220" t="str">
            <v>x</v>
          </cell>
          <cell r="N2220" t="e">
            <v>#N/A</v>
          </cell>
          <cell r="O2220" t="str">
            <v>HD Metal-End Air Filter</v>
          </cell>
        </row>
        <row r="2221">
          <cell r="K2221" t="str">
            <v>LP2254</v>
          </cell>
          <cell r="L2221" t="str">
            <v>HD</v>
          </cell>
          <cell r="M2221" t="str">
            <v>x</v>
          </cell>
          <cell r="N2221" t="e">
            <v>#N/A</v>
          </cell>
          <cell r="O2221" t="str">
            <v>Cartridge Oil Filter</v>
          </cell>
        </row>
        <row r="2222">
          <cell r="K2222" t="str">
            <v>LFF8093</v>
          </cell>
          <cell r="L2222" t="str">
            <v>HD</v>
          </cell>
          <cell r="M2222" t="str">
            <v>x</v>
          </cell>
          <cell r="N2222" t="e">
            <v>#N/A</v>
          </cell>
          <cell r="O2222" t="str">
            <v>Spin-on Fuel Filter</v>
          </cell>
        </row>
        <row r="2223">
          <cell r="K2223" t="str">
            <v>LAF5598</v>
          </cell>
          <cell r="L2223" t="str">
            <v>HD</v>
          </cell>
          <cell r="M2223" t="str">
            <v>x</v>
          </cell>
          <cell r="N2223" t="e">
            <v>#N/A</v>
          </cell>
          <cell r="O2223" t="str">
            <v>HD Metal-End Air Filter</v>
          </cell>
        </row>
        <row r="2224">
          <cell r="K2224" t="str">
            <v>LAF5951</v>
          </cell>
          <cell r="L2224" t="str">
            <v>HD</v>
          </cell>
          <cell r="M2224" t="str">
            <v>x</v>
          </cell>
          <cell r="N2224" t="e">
            <v>#N/A</v>
          </cell>
          <cell r="O2224" t="str">
            <v>Air Filter</v>
          </cell>
        </row>
        <row r="2225">
          <cell r="K2225" t="str">
            <v>LP5563</v>
          </cell>
          <cell r="L2225" t="str">
            <v>HD</v>
          </cell>
          <cell r="M2225" t="str">
            <v>x</v>
          </cell>
          <cell r="N2225" t="e">
            <v>#N/A</v>
          </cell>
          <cell r="O2225" t="str">
            <v>Cartridge Oil Filter</v>
          </cell>
        </row>
        <row r="2226">
          <cell r="K2226" t="str">
            <v>LAF1803</v>
          </cell>
          <cell r="L2226" t="str">
            <v>HD</v>
          </cell>
          <cell r="M2226" t="str">
            <v>x</v>
          </cell>
          <cell r="N2226" t="str">
            <v>LAF1803</v>
          </cell>
          <cell r="O2226" t="str">
            <v>Bag Type Air Filter</v>
          </cell>
        </row>
        <row r="2227">
          <cell r="K2227" t="str">
            <v>LP5565</v>
          </cell>
          <cell r="L2227" t="str">
            <v>HD</v>
          </cell>
          <cell r="M2227" t="str">
            <v>x</v>
          </cell>
          <cell r="N2227" t="e">
            <v>#N/A</v>
          </cell>
          <cell r="O2227" t="str">
            <v>Cartridge Fuel Filter</v>
          </cell>
        </row>
        <row r="2228">
          <cell r="K2228" t="str">
            <v>L197F</v>
          </cell>
          <cell r="L2228" t="str">
            <v>HD</v>
          </cell>
          <cell r="M2228" t="str">
            <v>x</v>
          </cell>
          <cell r="N2228" t="e">
            <v>#N/A</v>
          </cell>
          <cell r="O2228" t="str">
            <v>Sock Type Fuel Filter</v>
          </cell>
        </row>
        <row r="2229">
          <cell r="K2229" t="str">
            <v>LAF1838</v>
          </cell>
          <cell r="L2229" t="str">
            <v>HD</v>
          </cell>
          <cell r="M2229" t="str">
            <v>x</v>
          </cell>
          <cell r="N2229" t="e">
            <v>#N/A</v>
          </cell>
          <cell r="O2229" t="str">
            <v>Cone Shaped Conical Air Filter</v>
          </cell>
        </row>
        <row r="2230">
          <cell r="K2230" t="str">
            <v>LFP2000K</v>
          </cell>
          <cell r="L2230" t="str">
            <v>HD</v>
          </cell>
          <cell r="M2230" t="str">
            <v>x</v>
          </cell>
          <cell r="N2230" t="e">
            <v>#N/A</v>
          </cell>
          <cell r="O2230" t="str">
            <v>Coalescer Fuel Filter and Mounting Base</v>
          </cell>
        </row>
        <row r="2231">
          <cell r="K2231" t="str">
            <v>FC1HD</v>
          </cell>
          <cell r="L2231" t="str">
            <v>HD</v>
          </cell>
          <cell r="M2231" t="str">
            <v>x</v>
          </cell>
          <cell r="N2231" t="e">
            <v>#N/A</v>
          </cell>
          <cell r="O2231" t="str">
            <v>Oil Filter Cutter for Filters up to 6 inches Diameter</v>
          </cell>
        </row>
        <row r="2232">
          <cell r="K2232" t="str">
            <v>LFP8938</v>
          </cell>
          <cell r="L2232" t="str">
            <v>HD</v>
          </cell>
          <cell r="M2232" t="str">
            <v>x</v>
          </cell>
          <cell r="N2232" t="e">
            <v>#N/A</v>
          </cell>
          <cell r="O2232" t="str">
            <v>Spin-on Oil Filter</v>
          </cell>
        </row>
        <row r="2233">
          <cell r="K2233" t="str">
            <v>LP2246</v>
          </cell>
          <cell r="L2233" t="str">
            <v>HD</v>
          </cell>
          <cell r="M2233" t="str">
            <v>x</v>
          </cell>
          <cell r="N2233" t="e">
            <v>#N/A</v>
          </cell>
          <cell r="O2233" t="str">
            <v>Cartridge Oil Filter</v>
          </cell>
        </row>
        <row r="2234">
          <cell r="K2234" t="str">
            <v>LFP8982</v>
          </cell>
          <cell r="L2234" t="str">
            <v>HD</v>
          </cell>
          <cell r="M2234" t="str">
            <v>x</v>
          </cell>
          <cell r="N2234" t="e">
            <v>#N/A</v>
          </cell>
          <cell r="O2234" t="str">
            <v>Spin-on Oil Filter</v>
          </cell>
        </row>
        <row r="2235">
          <cell r="K2235" t="str">
            <v>LP8708</v>
          </cell>
          <cell r="L2235" t="str">
            <v>HD</v>
          </cell>
          <cell r="M2235" t="str">
            <v>x</v>
          </cell>
          <cell r="N2235" t="e">
            <v>#N/A</v>
          </cell>
          <cell r="O2235" t="str">
            <v>Cartridge Oil Filter</v>
          </cell>
        </row>
        <row r="2236">
          <cell r="K2236" t="str">
            <v>LAF5773</v>
          </cell>
          <cell r="L2236" t="str">
            <v>HD</v>
          </cell>
          <cell r="M2236" t="str">
            <v>x</v>
          </cell>
          <cell r="N2236" t="e">
            <v>#N/A</v>
          </cell>
          <cell r="O2236" t="str">
            <v>Oval Air Filter</v>
          </cell>
        </row>
        <row r="2237">
          <cell r="K2237" t="str">
            <v>LP8992</v>
          </cell>
          <cell r="L2237" t="str">
            <v>HD</v>
          </cell>
          <cell r="M2237" t="str">
            <v>x</v>
          </cell>
          <cell r="N2237" t="e">
            <v>#N/A</v>
          </cell>
          <cell r="O2237" t="str">
            <v>Cartridge Oil Filter</v>
          </cell>
        </row>
        <row r="2238">
          <cell r="K2238" t="str">
            <v>LAF5763</v>
          </cell>
          <cell r="L2238" t="str">
            <v>HD</v>
          </cell>
          <cell r="M2238" t="str">
            <v>x</v>
          </cell>
          <cell r="N2238" t="e">
            <v>#N/A</v>
          </cell>
          <cell r="O2238" t="str">
            <v>Radial Seal Outer Air Filter</v>
          </cell>
        </row>
        <row r="2239">
          <cell r="K2239" t="str">
            <v>L8965F</v>
          </cell>
          <cell r="L2239" t="str">
            <v>HD</v>
          </cell>
          <cell r="M2239" t="str">
            <v>x</v>
          </cell>
          <cell r="N2239" t="e">
            <v>#N/A</v>
          </cell>
          <cell r="O2239" t="str">
            <v>Cartridge Fuel Filter</v>
          </cell>
        </row>
        <row r="2240">
          <cell r="K2240" t="str">
            <v>LAF5764</v>
          </cell>
          <cell r="L2240" t="str">
            <v>HD</v>
          </cell>
          <cell r="M2240" t="str">
            <v>x</v>
          </cell>
          <cell r="N2240" t="e">
            <v>#N/A</v>
          </cell>
          <cell r="O2240" t="str">
            <v>Radial Seal Inner Air Filter</v>
          </cell>
        </row>
        <row r="2241">
          <cell r="K2241" t="str">
            <v>LAF1750</v>
          </cell>
          <cell r="L2241" t="str">
            <v>HD</v>
          </cell>
          <cell r="M2241" t="str">
            <v>x</v>
          </cell>
          <cell r="N2241" t="e">
            <v>#N/A</v>
          </cell>
          <cell r="O2241" t="str">
            <v>HD Metal-End Air Filter</v>
          </cell>
        </row>
        <row r="2242">
          <cell r="K2242" t="str">
            <v>LAF5575</v>
          </cell>
          <cell r="L2242" t="str">
            <v>HD</v>
          </cell>
          <cell r="M2242" t="str">
            <v>x</v>
          </cell>
          <cell r="N2242" t="e">
            <v>#N/A</v>
          </cell>
          <cell r="O2242" t="str">
            <v>HD Metal-End Air Filter</v>
          </cell>
        </row>
        <row r="2243">
          <cell r="K2243" t="str">
            <v>L6267F</v>
          </cell>
          <cell r="L2243" t="str">
            <v>HD</v>
          </cell>
          <cell r="M2243" t="str">
            <v>x</v>
          </cell>
          <cell r="N2243" t="e">
            <v>#N/A</v>
          </cell>
          <cell r="O2243" t="str">
            <v>Snap-lock Fuel/Water Separator Filter</v>
          </cell>
        </row>
        <row r="2244">
          <cell r="K2244" t="str">
            <v>LAF1901</v>
          </cell>
          <cell r="L2244" t="str">
            <v>HD</v>
          </cell>
          <cell r="M2244" t="str">
            <v>x</v>
          </cell>
          <cell r="N2244" t="e">
            <v>#N/A</v>
          </cell>
          <cell r="O2244" t="str">
            <v>HD-Metal End Air Filter</v>
          </cell>
        </row>
        <row r="2245">
          <cell r="K2245" t="str">
            <v>LAF5959</v>
          </cell>
          <cell r="L2245" t="str">
            <v>HD</v>
          </cell>
          <cell r="M2245" t="str">
            <v>x</v>
          </cell>
          <cell r="N2245" t="e">
            <v>#N/A</v>
          </cell>
          <cell r="O2245" t="str">
            <v>Radial Seal Outer Air Filter</v>
          </cell>
        </row>
        <row r="2246">
          <cell r="K2246" t="str">
            <v>LFP8986</v>
          </cell>
          <cell r="L2246" t="str">
            <v>HD</v>
          </cell>
          <cell r="M2246" t="str">
            <v>x</v>
          </cell>
          <cell r="N2246" t="e">
            <v>#N/A</v>
          </cell>
          <cell r="O2246" t="str">
            <v>Spin-on Oil Filter</v>
          </cell>
        </row>
        <row r="2247">
          <cell r="K2247" t="str">
            <v>LP2263</v>
          </cell>
          <cell r="L2247" t="str">
            <v>HD</v>
          </cell>
          <cell r="M2247" t="str">
            <v>x</v>
          </cell>
          <cell r="N2247" t="e">
            <v>#N/A</v>
          </cell>
          <cell r="O2247" t="str">
            <v>Cartridge Oil Filter</v>
          </cell>
        </row>
        <row r="2248">
          <cell r="K2248" t="str">
            <v>LAF8920</v>
          </cell>
          <cell r="L2248" t="str">
            <v>HD</v>
          </cell>
          <cell r="M2248" t="str">
            <v>x</v>
          </cell>
          <cell r="N2248" t="e">
            <v>#N/A</v>
          </cell>
          <cell r="O2248" t="str">
            <v>Radial Seal Outer Air Filter</v>
          </cell>
        </row>
        <row r="2249">
          <cell r="K2249" t="str">
            <v>LAF8559</v>
          </cell>
          <cell r="L2249" t="str">
            <v>HD</v>
          </cell>
          <cell r="M2249" t="str">
            <v>x</v>
          </cell>
          <cell r="N2249" t="e">
            <v>#N/A</v>
          </cell>
          <cell r="O2249" t="str">
            <v>HD Metal-End Air Filter</v>
          </cell>
        </row>
        <row r="2250">
          <cell r="K2250" t="str">
            <v>LFF8040</v>
          </cell>
          <cell r="L2250" t="str">
            <v>HD</v>
          </cell>
          <cell r="M2250" t="str">
            <v>x</v>
          </cell>
          <cell r="N2250" t="e">
            <v>#N/A</v>
          </cell>
          <cell r="O2250" t="str">
            <v>Spin-on Fuel Water Separator Filter</v>
          </cell>
        </row>
        <row r="2251">
          <cell r="K2251" t="str">
            <v>LAF3864</v>
          </cell>
          <cell r="L2251" t="str">
            <v>HD</v>
          </cell>
          <cell r="M2251" t="str">
            <v>x</v>
          </cell>
          <cell r="N2251" t="e">
            <v>#N/A</v>
          </cell>
          <cell r="O2251" t="str">
            <v>Radial Seal Outer Air Filter</v>
          </cell>
        </row>
        <row r="2252">
          <cell r="K2252" t="str">
            <v>LAF5519</v>
          </cell>
          <cell r="L2252" t="str">
            <v>HD</v>
          </cell>
          <cell r="M2252" t="str">
            <v>x</v>
          </cell>
          <cell r="N2252" t="e">
            <v>#N/A</v>
          </cell>
          <cell r="O2252" t="str">
            <v>Finned Vane Air Filter</v>
          </cell>
        </row>
        <row r="2253">
          <cell r="K2253" t="str">
            <v>LAF8558</v>
          </cell>
          <cell r="L2253" t="str">
            <v>HD</v>
          </cell>
          <cell r="M2253" t="str">
            <v>x</v>
          </cell>
          <cell r="N2253" t="e">
            <v>#N/A</v>
          </cell>
          <cell r="O2253" t="str">
            <v>Round Inner Air Filter</v>
          </cell>
        </row>
        <row r="2254">
          <cell r="K2254" t="str">
            <v>LAF250HD</v>
          </cell>
          <cell r="L2254" t="str">
            <v>HD</v>
          </cell>
          <cell r="M2254" t="str">
            <v>x</v>
          </cell>
          <cell r="N2254" t="e">
            <v>#N/A</v>
          </cell>
          <cell r="O2254" t="str">
            <v>HD Metal-End Air Filter</v>
          </cell>
        </row>
        <row r="2255">
          <cell r="K2255" t="str">
            <v>L1133F</v>
          </cell>
          <cell r="L2255" t="str">
            <v>HD</v>
          </cell>
          <cell r="M2255" t="str">
            <v>x</v>
          </cell>
          <cell r="N2255" t="e">
            <v>#N/A</v>
          </cell>
          <cell r="O2255" t="str">
            <v>Cartridge Fuel Filter</v>
          </cell>
        </row>
        <row r="2256">
          <cell r="K2256" t="str">
            <v>LAF3863</v>
          </cell>
          <cell r="L2256" t="str">
            <v>HD</v>
          </cell>
          <cell r="M2256" t="str">
            <v>x</v>
          </cell>
          <cell r="N2256" t="e">
            <v>#N/A</v>
          </cell>
          <cell r="O2256" t="str">
            <v>Radial Seal Inner Air Filter</v>
          </cell>
        </row>
        <row r="2257">
          <cell r="K2257" t="str">
            <v>LAF5439</v>
          </cell>
          <cell r="L2257" t="str">
            <v>HD</v>
          </cell>
          <cell r="M2257" t="str">
            <v>x</v>
          </cell>
          <cell r="N2257" t="e">
            <v>#N/A</v>
          </cell>
          <cell r="O2257" t="str">
            <v>Radial Seal Inner Air Filter</v>
          </cell>
        </row>
        <row r="2258">
          <cell r="K2258" t="str">
            <v>LAF3860</v>
          </cell>
          <cell r="L2258" t="str">
            <v>HD</v>
          </cell>
          <cell r="M2258" t="str">
            <v>x</v>
          </cell>
          <cell r="N2258" t="e">
            <v>#N/A</v>
          </cell>
          <cell r="O2258" t="str">
            <v>Radial Seal Outer Air Filter</v>
          </cell>
        </row>
        <row r="2259">
          <cell r="K2259" t="str">
            <v>L8966F</v>
          </cell>
          <cell r="L2259" t="str">
            <v>HD</v>
          </cell>
          <cell r="M2259" t="str">
            <v>x</v>
          </cell>
          <cell r="N2259" t="e">
            <v>#N/A</v>
          </cell>
          <cell r="O2259" t="str">
            <v>Cartridge Fuel Filter</v>
          </cell>
        </row>
        <row r="2260">
          <cell r="K2260" t="str">
            <v>FP891</v>
          </cell>
          <cell r="L2260" t="str">
            <v>HD</v>
          </cell>
          <cell r="M2260" t="str">
            <v>x</v>
          </cell>
          <cell r="N2260" t="e">
            <v>#N/A</v>
          </cell>
          <cell r="O2260" t="str">
            <v>In-Line Fuel Filter</v>
          </cell>
        </row>
        <row r="2261">
          <cell r="K2261" t="str">
            <v>LAF5878</v>
          </cell>
          <cell r="L2261" t="str">
            <v>HD</v>
          </cell>
          <cell r="M2261" t="str">
            <v>x</v>
          </cell>
          <cell r="N2261" t="e">
            <v>#N/A</v>
          </cell>
          <cell r="O2261" t="str">
            <v>HD Round Finned Air Filter with Attached Lid</v>
          </cell>
        </row>
        <row r="2262">
          <cell r="K2262" t="str">
            <v>L9999F</v>
          </cell>
          <cell r="L2262" t="str">
            <v>HD</v>
          </cell>
          <cell r="M2262" t="str">
            <v>x</v>
          </cell>
          <cell r="N2262" t="e">
            <v>#N/A</v>
          </cell>
          <cell r="O2262" t="str">
            <v>Cartridge Fuel Filter</v>
          </cell>
        </row>
        <row r="2263">
          <cell r="K2263" t="str">
            <v>LFE9374</v>
          </cell>
          <cell r="L2263" t="str">
            <v>HD</v>
          </cell>
          <cell r="M2263" t="str">
            <v>x</v>
          </cell>
          <cell r="N2263" t="e">
            <v>#N/A</v>
          </cell>
          <cell r="O2263" t="str">
            <v>Spin-on Oil Filter</v>
          </cell>
        </row>
        <row r="2264">
          <cell r="K2264" t="str">
            <v>LFP8704</v>
          </cell>
          <cell r="L2264" t="str">
            <v>HD</v>
          </cell>
          <cell r="M2264" t="str">
            <v>x</v>
          </cell>
          <cell r="N2264" t="e">
            <v>#N/A</v>
          </cell>
          <cell r="O2264" t="str">
            <v>Spin-on Oil Filter</v>
          </cell>
        </row>
        <row r="2265">
          <cell r="K2265" t="str">
            <v>LFF8349</v>
          </cell>
          <cell r="L2265" t="str">
            <v>HD</v>
          </cell>
          <cell r="M2265" t="str">
            <v>x</v>
          </cell>
          <cell r="N2265" t="e">
            <v>#N/A</v>
          </cell>
          <cell r="O2265" t="str">
            <v>Spin-on Fuel Water Separator Filter</v>
          </cell>
        </row>
        <row r="2266">
          <cell r="K2266" t="str">
            <v>LH11023V</v>
          </cell>
          <cell r="L2266" t="str">
            <v>HD</v>
          </cell>
          <cell r="M2266" t="str">
            <v>x</v>
          </cell>
          <cell r="N2266" t="e">
            <v>#N/A</v>
          </cell>
          <cell r="O2266" t="str">
            <v>Industrial Cartridge Hydraulic Filter</v>
          </cell>
        </row>
        <row r="2267">
          <cell r="K2267" t="str">
            <v>LH11001</v>
          </cell>
          <cell r="L2267" t="str">
            <v>HD</v>
          </cell>
          <cell r="M2267" t="str">
            <v>x</v>
          </cell>
          <cell r="N2267" t="e">
            <v>#N/A</v>
          </cell>
          <cell r="O2267" t="str">
            <v>Industrial Cartridge Hydraulic Filter</v>
          </cell>
        </row>
        <row r="2268">
          <cell r="K2268" t="str">
            <v>LH11017V</v>
          </cell>
          <cell r="L2268" t="str">
            <v>HD</v>
          </cell>
          <cell r="M2268" t="str">
            <v>x</v>
          </cell>
          <cell r="N2268" t="e">
            <v>#N/A</v>
          </cell>
          <cell r="O2268" t="str">
            <v>Industrial Cartridge Hydraulic Filter</v>
          </cell>
        </row>
        <row r="2269">
          <cell r="K2269" t="str">
            <v>LAF5589</v>
          </cell>
          <cell r="L2269" t="str">
            <v>HD</v>
          </cell>
          <cell r="M2269" t="str">
            <v>x</v>
          </cell>
          <cell r="N2269" t="e">
            <v>#N/A</v>
          </cell>
          <cell r="O2269" t="str">
            <v>HD Metal-End Air Filter</v>
          </cell>
        </row>
        <row r="2270">
          <cell r="K2270" t="str">
            <v>LP165</v>
          </cell>
          <cell r="L2270" t="str">
            <v>HD</v>
          </cell>
          <cell r="M2270" t="str">
            <v>x</v>
          </cell>
          <cell r="N2270" t="e">
            <v>#N/A</v>
          </cell>
          <cell r="O2270" t="str">
            <v>Cartridge Oil Filter</v>
          </cell>
        </row>
        <row r="2271">
          <cell r="K2271" t="str">
            <v>LP8718</v>
          </cell>
          <cell r="L2271" t="str">
            <v>HD</v>
          </cell>
          <cell r="M2271" t="str">
            <v>x</v>
          </cell>
          <cell r="N2271" t="e">
            <v>#N/A</v>
          </cell>
          <cell r="O2271" t="str">
            <v>Cartridge Oil Filter</v>
          </cell>
        </row>
        <row r="2272">
          <cell r="K2272" t="str">
            <v>LP2226</v>
          </cell>
          <cell r="L2272" t="str">
            <v>HD</v>
          </cell>
          <cell r="M2272" t="str">
            <v>x</v>
          </cell>
          <cell r="N2272" t="e">
            <v>#N/A</v>
          </cell>
          <cell r="O2272" t="str">
            <v>Cartridge Oil Filter</v>
          </cell>
        </row>
        <row r="2273">
          <cell r="K2273" t="str">
            <v>LH9240V</v>
          </cell>
          <cell r="L2273" t="str">
            <v>HD</v>
          </cell>
          <cell r="M2273" t="str">
            <v>x</v>
          </cell>
          <cell r="N2273" t="e">
            <v>#N/A</v>
          </cell>
          <cell r="O2273" t="str">
            <v>Cartridge Hydraulic Filter</v>
          </cell>
        </row>
        <row r="2274">
          <cell r="K2274" t="str">
            <v>LH8790</v>
          </cell>
          <cell r="L2274" t="str">
            <v>HD</v>
          </cell>
          <cell r="M2274" t="str">
            <v>x</v>
          </cell>
          <cell r="N2274" t="e">
            <v>#N/A</v>
          </cell>
          <cell r="O2274" t="str">
            <v>Cartridge Hydraulic Filter</v>
          </cell>
        </row>
        <row r="2275">
          <cell r="K2275" t="str">
            <v>L3564F</v>
          </cell>
          <cell r="L2275" t="str">
            <v>HD</v>
          </cell>
          <cell r="M2275" t="str">
            <v>x</v>
          </cell>
          <cell r="N2275" t="e">
            <v>#N/A</v>
          </cell>
          <cell r="O2275" t="str">
            <v>Cartridge Fuel Filter</v>
          </cell>
        </row>
        <row r="2276">
          <cell r="K2276" t="str">
            <v>LAF8566</v>
          </cell>
          <cell r="L2276" t="str">
            <v>HD</v>
          </cell>
          <cell r="M2276" t="str">
            <v>x</v>
          </cell>
          <cell r="N2276" t="e">
            <v>#N/A</v>
          </cell>
          <cell r="O2276" t="str">
            <v>HD Round Air Filter with Attached Lid</v>
          </cell>
        </row>
        <row r="2277">
          <cell r="K2277" t="str">
            <v>LAF3232</v>
          </cell>
          <cell r="L2277" t="str">
            <v>HD</v>
          </cell>
          <cell r="M2277" t="str">
            <v>x</v>
          </cell>
          <cell r="N2277" t="e">
            <v>#N/A</v>
          </cell>
          <cell r="O2277" t="str">
            <v>Finned Vane Air Filter</v>
          </cell>
        </row>
        <row r="2278">
          <cell r="K2278" t="str">
            <v>LH4998</v>
          </cell>
          <cell r="L2278" t="str">
            <v>HD</v>
          </cell>
          <cell r="M2278" t="str">
            <v>x</v>
          </cell>
          <cell r="N2278" t="e">
            <v>#N/A</v>
          </cell>
          <cell r="O2278" t="str">
            <v>Cartridge Hydraulic Filter</v>
          </cell>
        </row>
        <row r="2279">
          <cell r="K2279" t="str">
            <v>LAF8989</v>
          </cell>
          <cell r="L2279" t="str">
            <v>HD</v>
          </cell>
          <cell r="M2279" t="str">
            <v>x</v>
          </cell>
          <cell r="N2279" t="e">
            <v>#N/A</v>
          </cell>
          <cell r="O2279" t="str">
            <v>HD Round Air Filter with Attached Boot</v>
          </cell>
        </row>
        <row r="2280">
          <cell r="K2280" t="str">
            <v>LP2309</v>
          </cell>
          <cell r="L2280" t="str">
            <v>HD</v>
          </cell>
          <cell r="M2280" t="str">
            <v>x</v>
          </cell>
          <cell r="N2280" t="e">
            <v>#N/A</v>
          </cell>
          <cell r="O2280" t="str">
            <v>Cartridge Oil Filter</v>
          </cell>
        </row>
        <row r="2281">
          <cell r="K2281" t="str">
            <v>LAF1722</v>
          </cell>
          <cell r="L2281" t="str">
            <v>HD</v>
          </cell>
          <cell r="M2281" t="str">
            <v>x</v>
          </cell>
          <cell r="N2281" t="e">
            <v>#N/A</v>
          </cell>
          <cell r="O2281" t="str">
            <v>Finned Vane Air Filter</v>
          </cell>
        </row>
        <row r="2282">
          <cell r="K2282" t="str">
            <v>LAF1842</v>
          </cell>
          <cell r="L2282" t="str">
            <v>HD</v>
          </cell>
          <cell r="M2282" t="str">
            <v>x</v>
          </cell>
          <cell r="N2282" t="e">
            <v>#N/A</v>
          </cell>
          <cell r="O2282" t="str">
            <v>Finned Vane Air Filter</v>
          </cell>
        </row>
        <row r="2283">
          <cell r="K2283" t="str">
            <v>LAF511</v>
          </cell>
          <cell r="L2283" t="str">
            <v>HD</v>
          </cell>
          <cell r="M2283" t="str">
            <v>x</v>
          </cell>
          <cell r="N2283" t="e">
            <v>#N/A</v>
          </cell>
          <cell r="O2283" t="str">
            <v>Finned Vane Air Filter</v>
          </cell>
        </row>
        <row r="2284">
          <cell r="K2284" t="str">
            <v>LH8461</v>
          </cell>
          <cell r="L2284" t="str">
            <v>HD</v>
          </cell>
          <cell r="M2284" t="str">
            <v>x</v>
          </cell>
          <cell r="N2284" t="e">
            <v>#N/A</v>
          </cell>
          <cell r="O2284" t="str">
            <v>Cartridge Hydraulic Filter</v>
          </cell>
        </row>
        <row r="2285">
          <cell r="K2285" t="str">
            <v>LAF1004</v>
          </cell>
          <cell r="L2285" t="str">
            <v>HD</v>
          </cell>
          <cell r="M2285" t="str">
            <v>x</v>
          </cell>
          <cell r="N2285" t="e">
            <v>#N/A</v>
          </cell>
          <cell r="O2285" t="str">
            <v>Round Air Filter</v>
          </cell>
        </row>
        <row r="2286">
          <cell r="K2286" t="str">
            <v>LAF8669MXM</v>
          </cell>
          <cell r="L2286" t="str">
            <v>HD</v>
          </cell>
          <cell r="M2286" t="str">
            <v>x</v>
          </cell>
          <cell r="N2286" t="e">
            <v>#N/A</v>
          </cell>
          <cell r="O2286" t="str">
            <v>Nano Tech Radial Seal Air Filter</v>
          </cell>
        </row>
        <row r="2287">
          <cell r="K2287" t="str">
            <v>LAF5981</v>
          </cell>
          <cell r="L2287" t="str">
            <v>HD</v>
          </cell>
          <cell r="M2287" t="str">
            <v>x</v>
          </cell>
          <cell r="N2287" t="e">
            <v>#N/A</v>
          </cell>
          <cell r="O2287" t="str">
            <v>HD Metal-End Air Filter</v>
          </cell>
        </row>
        <row r="2288">
          <cell r="K2288" t="str">
            <v>LH4979</v>
          </cell>
          <cell r="L2288" t="str">
            <v>HD</v>
          </cell>
          <cell r="M2288" t="str">
            <v>x</v>
          </cell>
          <cell r="N2288" t="e">
            <v>#N/A</v>
          </cell>
          <cell r="O2288" t="str">
            <v>Cartridge Hydraulic Filter</v>
          </cell>
        </row>
        <row r="2289">
          <cell r="K2289" t="str">
            <v>LFF8103</v>
          </cell>
          <cell r="L2289" t="str">
            <v>HD</v>
          </cell>
          <cell r="M2289" t="str">
            <v>x</v>
          </cell>
          <cell r="N2289" t="e">
            <v>#N/A</v>
          </cell>
          <cell r="O2289" t="str">
            <v>Spin-on Fuel Filter</v>
          </cell>
        </row>
        <row r="2290">
          <cell r="K2290" t="str">
            <v>LAF4342</v>
          </cell>
          <cell r="L2290" t="str">
            <v>HD</v>
          </cell>
          <cell r="M2290" t="str">
            <v>x</v>
          </cell>
          <cell r="N2290" t="e">
            <v>#N/A</v>
          </cell>
          <cell r="O2290" t="str">
            <v>Pre-cleaner Air Filter</v>
          </cell>
        </row>
        <row r="2291">
          <cell r="K2291" t="str">
            <v>LAF9513</v>
          </cell>
          <cell r="L2291" t="str">
            <v>HD</v>
          </cell>
          <cell r="M2291" t="str">
            <v>x</v>
          </cell>
          <cell r="N2291" t="e">
            <v>#N/A</v>
          </cell>
          <cell r="O2291" t="str">
            <v>HD Metal-End Air Filter</v>
          </cell>
        </row>
        <row r="2292">
          <cell r="K2292" t="str">
            <v>LAF1774</v>
          </cell>
          <cell r="L2292" t="str">
            <v>HD</v>
          </cell>
          <cell r="M2292" t="str">
            <v>x</v>
          </cell>
          <cell r="N2292" t="e">
            <v>#N/A</v>
          </cell>
          <cell r="O2292" t="str">
            <v>HD Metal-End Air Filter</v>
          </cell>
        </row>
        <row r="2293">
          <cell r="K2293" t="str">
            <v>LAF8078</v>
          </cell>
          <cell r="L2293" t="str">
            <v>HD</v>
          </cell>
          <cell r="M2293" t="str">
            <v>x</v>
          </cell>
          <cell r="N2293" t="e">
            <v>#N/A</v>
          </cell>
          <cell r="O2293" t="str">
            <v>HD Metal-End Air Filter</v>
          </cell>
        </row>
        <row r="2294">
          <cell r="K2294" t="str">
            <v>LFP2100K</v>
          </cell>
          <cell r="L2294" t="str">
            <v>HD</v>
          </cell>
          <cell r="M2294" t="str">
            <v>x</v>
          </cell>
          <cell r="N2294" t="e">
            <v>#N/A</v>
          </cell>
          <cell r="O2294" t="str">
            <v>Coalescer Fuel Filter and Mounting Base</v>
          </cell>
        </row>
        <row r="2295">
          <cell r="K2295" t="str">
            <v>LH5741</v>
          </cell>
          <cell r="L2295" t="str">
            <v>HD</v>
          </cell>
          <cell r="M2295" t="str">
            <v>x</v>
          </cell>
          <cell r="N2295" t="e">
            <v>#N/A</v>
          </cell>
          <cell r="O2295" t="str">
            <v>Cartridge Hydraulic Filter</v>
          </cell>
        </row>
        <row r="2296">
          <cell r="K2296" t="str">
            <v>L7583F</v>
          </cell>
          <cell r="L2296" t="str">
            <v>HD</v>
          </cell>
          <cell r="M2296" t="str">
            <v>x</v>
          </cell>
          <cell r="N2296" t="e">
            <v>#N/A</v>
          </cell>
          <cell r="O2296" t="str">
            <v>Cartridge Fuel Filter</v>
          </cell>
        </row>
        <row r="2297">
          <cell r="K2297" t="str">
            <v>LFP8099</v>
          </cell>
          <cell r="L2297" t="str">
            <v>HD</v>
          </cell>
          <cell r="M2297" t="str">
            <v>x</v>
          </cell>
          <cell r="N2297" t="e">
            <v>#N/A</v>
          </cell>
          <cell r="O2297" t="str">
            <v>Spin-on Oil Filter</v>
          </cell>
        </row>
        <row r="2298">
          <cell r="K2298" t="str">
            <v>LAF8087</v>
          </cell>
          <cell r="L2298" t="str">
            <v>HD</v>
          </cell>
          <cell r="M2298" t="str">
            <v>x</v>
          </cell>
          <cell r="N2298" t="e">
            <v>#N/A</v>
          </cell>
          <cell r="O2298" t="str">
            <v>Radial Seal Air Filter</v>
          </cell>
        </row>
        <row r="2299">
          <cell r="K2299" t="str">
            <v>LAF282</v>
          </cell>
          <cell r="L2299" t="str">
            <v>HD</v>
          </cell>
          <cell r="M2299" t="str">
            <v>x</v>
          </cell>
          <cell r="N2299" t="e">
            <v>#N/A</v>
          </cell>
          <cell r="O2299" t="str">
            <v>HD Metal-End Air Filter with Attached Lid</v>
          </cell>
        </row>
        <row r="2300">
          <cell r="K2300" t="str">
            <v>LAF8825</v>
          </cell>
          <cell r="L2300" t="str">
            <v>HD</v>
          </cell>
          <cell r="M2300" t="str">
            <v>x</v>
          </cell>
          <cell r="N2300" t="e">
            <v>#N/A</v>
          </cell>
          <cell r="O2300" t="str">
            <v>HD Metal-End Air Filter</v>
          </cell>
        </row>
        <row r="2301">
          <cell r="K2301" t="str">
            <v>LAF2516</v>
          </cell>
          <cell r="L2301" t="str">
            <v>HD</v>
          </cell>
          <cell r="M2301" t="str">
            <v>x</v>
          </cell>
          <cell r="N2301" t="e">
            <v>#N/A</v>
          </cell>
          <cell r="O2301" t="str">
            <v>HD Metal-End Air Filter</v>
          </cell>
        </row>
        <row r="2302">
          <cell r="K2302" t="str">
            <v>LAF7417</v>
          </cell>
          <cell r="L2302" t="str">
            <v>HD</v>
          </cell>
          <cell r="M2302" t="str">
            <v>x</v>
          </cell>
          <cell r="N2302" t="e">
            <v>#N/A</v>
          </cell>
          <cell r="O2302" t="str">
            <v>Radial Seal Outer Air Filter</v>
          </cell>
        </row>
        <row r="2303">
          <cell r="K2303" t="str">
            <v>LAF8088</v>
          </cell>
          <cell r="L2303" t="str">
            <v>HD</v>
          </cell>
          <cell r="M2303" t="str">
            <v>x</v>
          </cell>
          <cell r="N2303" t="e">
            <v>#N/A</v>
          </cell>
          <cell r="O2303" t="str">
            <v>Radial Seal Air Filter</v>
          </cell>
        </row>
        <row r="2304">
          <cell r="K2304" t="str">
            <v>LAF2542</v>
          </cell>
          <cell r="L2304" t="str">
            <v>HD</v>
          </cell>
          <cell r="M2304" t="str">
            <v>x</v>
          </cell>
          <cell r="N2304" t="e">
            <v>#N/A</v>
          </cell>
          <cell r="O2304" t="str">
            <v>HD Metal-End Inner Air Filter</v>
          </cell>
        </row>
        <row r="2305">
          <cell r="K2305" t="str">
            <v>LP5036</v>
          </cell>
          <cell r="L2305" t="str">
            <v>HD</v>
          </cell>
          <cell r="M2305" t="str">
            <v>x</v>
          </cell>
          <cell r="N2305" t="e">
            <v>#N/A</v>
          </cell>
          <cell r="O2305" t="str">
            <v>Cartridge Oil Filter</v>
          </cell>
        </row>
        <row r="2306">
          <cell r="K2306" t="str">
            <v>LH8599</v>
          </cell>
          <cell r="L2306" t="str">
            <v>HD</v>
          </cell>
          <cell r="M2306" t="str">
            <v>x</v>
          </cell>
          <cell r="N2306" t="e">
            <v>#N/A</v>
          </cell>
          <cell r="O2306" t="str">
            <v>Cartridge Hydraulic Filter</v>
          </cell>
        </row>
        <row r="2307">
          <cell r="K2307" t="str">
            <v>LFF200</v>
          </cell>
          <cell r="L2307" t="str">
            <v>HD</v>
          </cell>
          <cell r="M2307" t="str">
            <v>x</v>
          </cell>
          <cell r="N2307" t="e">
            <v>#N/A</v>
          </cell>
          <cell r="O2307" t="str">
            <v>Spin-on Fuel Filter</v>
          </cell>
        </row>
        <row r="2308">
          <cell r="K2308" t="str">
            <v>LH4913</v>
          </cell>
          <cell r="L2308" t="str">
            <v>HD</v>
          </cell>
          <cell r="M2308" t="str">
            <v>x</v>
          </cell>
          <cell r="N2308" t="e">
            <v>#N/A</v>
          </cell>
          <cell r="O2308" t="str">
            <v>Cartridge Hydraulic Filter</v>
          </cell>
        </row>
        <row r="2309">
          <cell r="K2309" t="str">
            <v>LH5012</v>
          </cell>
          <cell r="L2309" t="str">
            <v>HD</v>
          </cell>
          <cell r="M2309" t="str">
            <v>x</v>
          </cell>
          <cell r="N2309" t="e">
            <v>#N/A</v>
          </cell>
          <cell r="O2309" t="str">
            <v>Cartridge Hydraulic Filter</v>
          </cell>
        </row>
        <row r="2310">
          <cell r="K2310" t="str">
            <v>L5948F</v>
          </cell>
          <cell r="L2310" t="str">
            <v>HD</v>
          </cell>
          <cell r="M2310" t="str">
            <v>x</v>
          </cell>
          <cell r="N2310" t="e">
            <v>#N/A</v>
          </cell>
          <cell r="O2310" t="str">
            <v>Cartridge Fuel Filter</v>
          </cell>
        </row>
        <row r="2311">
          <cell r="K2311" t="str">
            <v>LAF1966</v>
          </cell>
          <cell r="L2311" t="str">
            <v>HD</v>
          </cell>
          <cell r="M2311" t="str">
            <v>x</v>
          </cell>
          <cell r="N2311" t="e">
            <v>#N/A</v>
          </cell>
          <cell r="O2311" t="str">
            <v>Round Air Filter</v>
          </cell>
        </row>
        <row r="2312">
          <cell r="K2312" t="str">
            <v>LAF1215HD</v>
          </cell>
          <cell r="L2312" t="str">
            <v>HD</v>
          </cell>
          <cell r="M2312" t="str">
            <v>x</v>
          </cell>
          <cell r="N2312" t="e">
            <v>#N/A</v>
          </cell>
          <cell r="O2312" t="str">
            <v>Round Air Filter</v>
          </cell>
        </row>
        <row r="2313">
          <cell r="K2313" t="str">
            <v>LAF8497</v>
          </cell>
          <cell r="L2313" t="str">
            <v>HD</v>
          </cell>
          <cell r="M2313" t="str">
            <v>x</v>
          </cell>
          <cell r="N2313" t="e">
            <v>#N/A</v>
          </cell>
          <cell r="O2313" t="str">
            <v>Radial Seal Outer Air Filter</v>
          </cell>
        </row>
        <row r="2314">
          <cell r="K2314" t="str">
            <v>LAF8503</v>
          </cell>
          <cell r="L2314" t="str">
            <v>HD</v>
          </cell>
          <cell r="M2314" t="str">
            <v>x</v>
          </cell>
          <cell r="N2314" t="e">
            <v>#N/A</v>
          </cell>
          <cell r="O2314" t="str">
            <v>HD Round Air Filter with Attached Lid</v>
          </cell>
        </row>
        <row r="2315">
          <cell r="K2315" t="str">
            <v>LAF8077</v>
          </cell>
          <cell r="L2315" t="str">
            <v>HD</v>
          </cell>
          <cell r="M2315" t="str">
            <v>x</v>
          </cell>
          <cell r="N2315" t="e">
            <v>#N/A</v>
          </cell>
          <cell r="O2315" t="str">
            <v>HD Metal-End Inner Air Filter</v>
          </cell>
        </row>
        <row r="2316">
          <cell r="K2316" t="str">
            <v>LAF8518</v>
          </cell>
          <cell r="L2316" t="str">
            <v>HD</v>
          </cell>
          <cell r="M2316" t="str">
            <v>x</v>
          </cell>
          <cell r="N2316" t="e">
            <v>#N/A</v>
          </cell>
          <cell r="O2316" t="str">
            <v>HD Metal-End Air Filter-Inner</v>
          </cell>
        </row>
        <row r="2317">
          <cell r="K2317" t="str">
            <v>LAF3779</v>
          </cell>
          <cell r="L2317" t="str">
            <v>HD</v>
          </cell>
          <cell r="M2317" t="str">
            <v>x</v>
          </cell>
          <cell r="N2317" t="e">
            <v>#N/A</v>
          </cell>
          <cell r="O2317" t="str">
            <v>Finned Vane Air Filter</v>
          </cell>
        </row>
        <row r="2318">
          <cell r="K2318" t="str">
            <v>LAF2528</v>
          </cell>
          <cell r="L2318" t="str">
            <v>HD</v>
          </cell>
          <cell r="M2318" t="str">
            <v>x</v>
          </cell>
          <cell r="N2318" t="e">
            <v>#N/A</v>
          </cell>
          <cell r="O2318" t="str">
            <v>Finned Vane Air Filter</v>
          </cell>
        </row>
        <row r="2319">
          <cell r="K2319" t="str">
            <v>LP2249</v>
          </cell>
          <cell r="L2319" t="str">
            <v>HD</v>
          </cell>
          <cell r="M2319" t="str">
            <v>x</v>
          </cell>
          <cell r="N2319" t="e">
            <v>#N/A</v>
          </cell>
          <cell r="O2319" t="str">
            <v>Cartridge Oil Filter</v>
          </cell>
        </row>
        <row r="2320">
          <cell r="K2320" t="str">
            <v>LP5902</v>
          </cell>
          <cell r="L2320" t="str">
            <v>HD</v>
          </cell>
          <cell r="M2320" t="str">
            <v>x</v>
          </cell>
          <cell r="N2320" t="e">
            <v>#N/A</v>
          </cell>
          <cell r="O2320" t="str">
            <v>Cartridge Oil Filter</v>
          </cell>
        </row>
        <row r="2321">
          <cell r="K2321" t="str">
            <v>LH4993</v>
          </cell>
          <cell r="L2321" t="str">
            <v>HD</v>
          </cell>
          <cell r="M2321" t="str">
            <v>x</v>
          </cell>
          <cell r="N2321" t="e">
            <v>#N/A</v>
          </cell>
          <cell r="O2321" t="str">
            <v>Cartridge Hydraulic Filter</v>
          </cell>
        </row>
        <row r="2322">
          <cell r="K2322" t="str">
            <v>L4115F</v>
          </cell>
          <cell r="L2322" t="str">
            <v>HD</v>
          </cell>
          <cell r="M2322" t="str">
            <v>x</v>
          </cell>
          <cell r="N2322" t="e">
            <v>#N/A</v>
          </cell>
          <cell r="O2322" t="str">
            <v>Cartridge Fuel Filter</v>
          </cell>
        </row>
        <row r="2323">
          <cell r="K2323" t="str">
            <v>L3565F</v>
          </cell>
          <cell r="L2323" t="str">
            <v>HD</v>
          </cell>
          <cell r="M2323" t="str">
            <v>x</v>
          </cell>
          <cell r="N2323" t="e">
            <v>#N/A</v>
          </cell>
          <cell r="O2323" t="str">
            <v>Cartridge Fuel Filter</v>
          </cell>
        </row>
        <row r="2324">
          <cell r="K2324" t="str">
            <v>LK379V</v>
          </cell>
          <cell r="L2324" t="str">
            <v>HD</v>
          </cell>
          <cell r="O2324" t="str">
            <v>Maintenance Kit</v>
          </cell>
        </row>
        <row r="2325">
          <cell r="K2325" t="str">
            <v>LK376V</v>
          </cell>
          <cell r="L2325" t="str">
            <v>HD</v>
          </cell>
          <cell r="O2325" t="str">
            <v>Maintenance Kit</v>
          </cell>
        </row>
        <row r="2326">
          <cell r="K2326" t="str">
            <v>LK372V</v>
          </cell>
          <cell r="L2326" t="str">
            <v>HD</v>
          </cell>
          <cell r="M2326" t="str">
            <v>x</v>
          </cell>
          <cell r="N2326" t="e">
            <v>#N/A</v>
          </cell>
          <cell r="O2326" t="str">
            <v>Volvo Fleet Maintenance Kit</v>
          </cell>
        </row>
        <row r="2327">
          <cell r="K2327" t="str">
            <v>LFP8509</v>
          </cell>
          <cell r="L2327" t="str">
            <v>HD</v>
          </cell>
          <cell r="M2327" t="str">
            <v>x</v>
          </cell>
          <cell r="N2327" t="e">
            <v>#N/A</v>
          </cell>
          <cell r="O2327" t="str">
            <v>Spin-on Oil Filter</v>
          </cell>
        </row>
        <row r="2328">
          <cell r="K2328" t="str">
            <v>LFH4388</v>
          </cell>
          <cell r="L2328" t="str">
            <v>HD</v>
          </cell>
          <cell r="M2328" t="str">
            <v>x</v>
          </cell>
          <cell r="N2328" t="e">
            <v>#N/A</v>
          </cell>
          <cell r="O2328" t="str">
            <v>Spin-on Hydraulic Filter</v>
          </cell>
        </row>
        <row r="2329">
          <cell r="K2329" t="str">
            <v>LFH5014</v>
          </cell>
          <cell r="L2329" t="str">
            <v>HD</v>
          </cell>
          <cell r="M2329" t="str">
            <v>x</v>
          </cell>
          <cell r="N2329" t="e">
            <v>#N/A</v>
          </cell>
          <cell r="O2329" t="str">
            <v>Spin-on Hydraulic Filter</v>
          </cell>
        </row>
        <row r="2330">
          <cell r="K2330" t="str">
            <v>LFH4206</v>
          </cell>
          <cell r="L2330" t="str">
            <v>HD</v>
          </cell>
          <cell r="M2330" t="str">
            <v>x</v>
          </cell>
          <cell r="N2330" t="e">
            <v>#N/A</v>
          </cell>
          <cell r="O2330" t="str">
            <v>Spin-on Hydraulic Filter</v>
          </cell>
        </row>
        <row r="2331">
          <cell r="K2331" t="str">
            <v>KIT1</v>
          </cell>
          <cell r="L2331" t="str">
            <v>HD</v>
          </cell>
          <cell r="M2331" t="str">
            <v>x</v>
          </cell>
          <cell r="N2331" t="e">
            <v>#N/A</v>
          </cell>
          <cell r="O2331" t="str">
            <v>Service Gasket</v>
          </cell>
        </row>
        <row r="2332">
          <cell r="K2332" t="str">
            <v>LAF8530</v>
          </cell>
          <cell r="L2332" t="str">
            <v>HD</v>
          </cell>
          <cell r="M2332" t="str">
            <v>x</v>
          </cell>
          <cell r="N2332" t="e">
            <v>#N/A</v>
          </cell>
          <cell r="O2332" t="str">
            <v>Round Plastisol Air Filter</v>
          </cell>
        </row>
        <row r="2333">
          <cell r="K2333" t="str">
            <v>LAF1775</v>
          </cell>
          <cell r="L2333" t="str">
            <v>HD</v>
          </cell>
          <cell r="M2333" t="str">
            <v>x</v>
          </cell>
          <cell r="N2333" t="e">
            <v>#N/A</v>
          </cell>
          <cell r="O2333" t="str">
            <v>Round Inner Air Filter with Flanged Endcap</v>
          </cell>
        </row>
        <row r="2334">
          <cell r="K2334" t="str">
            <v>LAF189</v>
          </cell>
          <cell r="L2334" t="str">
            <v>HD</v>
          </cell>
          <cell r="M2334" t="str">
            <v>x</v>
          </cell>
          <cell r="N2334" t="e">
            <v>#N/A</v>
          </cell>
          <cell r="O2334" t="str">
            <v>Round Air Filter</v>
          </cell>
        </row>
        <row r="2335">
          <cell r="K2335" t="str">
            <v>LAF5796</v>
          </cell>
          <cell r="L2335" t="str">
            <v>HD</v>
          </cell>
          <cell r="M2335" t="str">
            <v>x</v>
          </cell>
          <cell r="N2335" t="e">
            <v>#N/A</v>
          </cell>
          <cell r="O2335" t="str">
            <v>Round Air Filter</v>
          </cell>
        </row>
        <row r="2336">
          <cell r="K2336" t="str">
            <v>LAF200</v>
          </cell>
          <cell r="L2336" t="str">
            <v>HD</v>
          </cell>
          <cell r="M2336" t="str">
            <v>x</v>
          </cell>
          <cell r="N2336" t="e">
            <v>#N/A</v>
          </cell>
          <cell r="O2336" t="str">
            <v>Round Air Filter</v>
          </cell>
        </row>
        <row r="2337">
          <cell r="K2337" t="str">
            <v>LAF5882</v>
          </cell>
          <cell r="L2337" t="str">
            <v>HD</v>
          </cell>
          <cell r="M2337" t="str">
            <v>x</v>
          </cell>
          <cell r="N2337" t="e">
            <v>#N/A</v>
          </cell>
          <cell r="O2337" t="str">
            <v>Round Air Filter</v>
          </cell>
        </row>
        <row r="2338">
          <cell r="K2338" t="str">
            <v>LAF8496</v>
          </cell>
          <cell r="L2338" t="str">
            <v>HD</v>
          </cell>
          <cell r="M2338" t="str">
            <v>x</v>
          </cell>
          <cell r="N2338" t="e">
            <v>#N/A</v>
          </cell>
          <cell r="O2338" t="str">
            <v>Radial Seal Outer Air Filter</v>
          </cell>
        </row>
        <row r="2339">
          <cell r="K2339" t="str">
            <v>LAF8748</v>
          </cell>
          <cell r="L2339" t="str">
            <v>HD</v>
          </cell>
          <cell r="M2339" t="str">
            <v>x</v>
          </cell>
          <cell r="N2339" t="e">
            <v>#N/A</v>
          </cell>
          <cell r="O2339" t="str">
            <v>Radial Seal Inner Air Filter</v>
          </cell>
        </row>
        <row r="2340">
          <cell r="K2340" t="str">
            <v>LAF2547</v>
          </cell>
          <cell r="L2340" t="str">
            <v>HD</v>
          </cell>
          <cell r="M2340" t="str">
            <v>x</v>
          </cell>
          <cell r="N2340" t="e">
            <v>#N/A</v>
          </cell>
          <cell r="O2340" t="str">
            <v>Heavy Duty Air Filter With Attached Lid</v>
          </cell>
        </row>
        <row r="2341">
          <cell r="K2341" t="str">
            <v>LP5577</v>
          </cell>
          <cell r="L2341" t="str">
            <v>HD</v>
          </cell>
          <cell r="M2341" t="str">
            <v>x</v>
          </cell>
          <cell r="N2341" t="e">
            <v>#N/A</v>
          </cell>
          <cell r="O2341" t="str">
            <v>HD Product</v>
          </cell>
        </row>
        <row r="2342">
          <cell r="K2342" t="str">
            <v>LAF8613</v>
          </cell>
          <cell r="L2342" t="str">
            <v>HD</v>
          </cell>
          <cell r="M2342" t="str">
            <v>x</v>
          </cell>
          <cell r="N2342" t="e">
            <v>#N/A</v>
          </cell>
          <cell r="O2342" t="str">
            <v>HD Metal-End Inner Air Filter</v>
          </cell>
        </row>
        <row r="2343">
          <cell r="K2343" t="str">
            <v>LAF1786</v>
          </cell>
          <cell r="L2343" t="str">
            <v>HD</v>
          </cell>
          <cell r="M2343" t="str">
            <v>x</v>
          </cell>
          <cell r="N2343" t="e">
            <v>#N/A</v>
          </cell>
          <cell r="O2343" t="str">
            <v>HD Metal-End Inner Air Filter</v>
          </cell>
        </row>
        <row r="2344">
          <cell r="K2344" t="str">
            <v>LAF8971</v>
          </cell>
          <cell r="L2344" t="str">
            <v>HD</v>
          </cell>
          <cell r="M2344" t="str">
            <v>x</v>
          </cell>
          <cell r="N2344" t="e">
            <v>#N/A</v>
          </cell>
          <cell r="O2344" t="str">
            <v>HD Metal-End Air Filter</v>
          </cell>
        </row>
        <row r="2345">
          <cell r="K2345" t="str">
            <v>LAF263</v>
          </cell>
          <cell r="L2345" t="str">
            <v>HD</v>
          </cell>
          <cell r="M2345" t="str">
            <v>x</v>
          </cell>
          <cell r="N2345" t="e">
            <v>#N/A</v>
          </cell>
          <cell r="O2345" t="str">
            <v>HD Metal-End Air Filter</v>
          </cell>
        </row>
        <row r="2346">
          <cell r="K2346" t="str">
            <v>LAF8991</v>
          </cell>
          <cell r="L2346" t="str">
            <v>HD</v>
          </cell>
          <cell r="M2346" t="str">
            <v>x</v>
          </cell>
          <cell r="N2346" t="e">
            <v>#N/A</v>
          </cell>
          <cell r="O2346" t="str">
            <v>HD Metal-End Air Filter</v>
          </cell>
        </row>
        <row r="2347">
          <cell r="K2347" t="str">
            <v>L897B</v>
          </cell>
          <cell r="L2347" t="str">
            <v>HD</v>
          </cell>
          <cell r="M2347" t="str">
            <v>x</v>
          </cell>
          <cell r="N2347" t="e">
            <v>#N/A</v>
          </cell>
          <cell r="O2347" t="str">
            <v>Glass Bowl with Sensor Port for LFF8061</v>
          </cell>
        </row>
        <row r="2348">
          <cell r="K2348" t="str">
            <v>LAF1467</v>
          </cell>
          <cell r="L2348" t="str">
            <v>HD</v>
          </cell>
          <cell r="M2348" t="str">
            <v>x</v>
          </cell>
          <cell r="N2348" t="e">
            <v>#N/A</v>
          </cell>
          <cell r="O2348" t="str">
            <v>Finned Vane Air Filter</v>
          </cell>
        </row>
        <row r="2349">
          <cell r="K2349" t="str">
            <v>LAF1976</v>
          </cell>
          <cell r="L2349" t="str">
            <v>HD</v>
          </cell>
          <cell r="M2349" t="str">
            <v>x</v>
          </cell>
          <cell r="N2349" t="str">
            <v>LAF1976</v>
          </cell>
          <cell r="O2349" t="str">
            <v>Finned Vane Air Filter</v>
          </cell>
        </row>
        <row r="2350">
          <cell r="K2350" t="str">
            <v>LK245C</v>
          </cell>
          <cell r="L2350" t="str">
            <v>HD</v>
          </cell>
          <cell r="M2350" t="str">
            <v>x</v>
          </cell>
          <cell r="N2350" t="e">
            <v>#N/A</v>
          </cell>
          <cell r="O2350" t="str">
            <v>Cummins Engine Maintenance Kit</v>
          </cell>
        </row>
        <row r="2351">
          <cell r="K2351" t="str">
            <v>LK327DF</v>
          </cell>
          <cell r="L2351" t="str">
            <v>HD</v>
          </cell>
          <cell r="M2351" t="str">
            <v>x</v>
          </cell>
          <cell r="N2351" t="e">
            <v>#N/A</v>
          </cell>
          <cell r="O2351" t="str">
            <v>Cummins Engine Maintenance Kit</v>
          </cell>
        </row>
        <row r="2352">
          <cell r="K2352" t="str">
            <v>LAF8565</v>
          </cell>
          <cell r="L2352" t="str">
            <v>HD</v>
          </cell>
          <cell r="M2352" t="str">
            <v>x</v>
          </cell>
          <cell r="N2352" t="e">
            <v>#N/A</v>
          </cell>
          <cell r="O2352" t="str">
            <v>Cone Shaped Conical Air Filter</v>
          </cell>
        </row>
        <row r="2353">
          <cell r="K2353" t="str">
            <v>LP2211</v>
          </cell>
          <cell r="L2353" t="str">
            <v>HD</v>
          </cell>
          <cell r="M2353" t="str">
            <v>x</v>
          </cell>
          <cell r="N2353" t="e">
            <v>#N/A</v>
          </cell>
          <cell r="O2353" t="str">
            <v>Cartridge Oil Filter</v>
          </cell>
        </row>
        <row r="2354">
          <cell r="K2354" t="str">
            <v>LH4231</v>
          </cell>
          <cell r="L2354" t="str">
            <v>HD</v>
          </cell>
          <cell r="M2354" t="str">
            <v>x</v>
          </cell>
          <cell r="N2354" t="e">
            <v>#N/A</v>
          </cell>
          <cell r="O2354" t="str">
            <v>Cartridge Hydraulic Filter</v>
          </cell>
        </row>
        <row r="2355">
          <cell r="K2355" t="str">
            <v>LH7048V</v>
          </cell>
          <cell r="L2355" t="str">
            <v>HD</v>
          </cell>
          <cell r="M2355" t="str">
            <v>x</v>
          </cell>
          <cell r="N2355" t="e">
            <v>#N/A</v>
          </cell>
          <cell r="O2355" t="str">
            <v>Cartridge Hydraulic Filter</v>
          </cell>
        </row>
        <row r="2356">
          <cell r="K2356" t="str">
            <v>LP8367</v>
          </cell>
          <cell r="L2356" t="str">
            <v>HD</v>
          </cell>
          <cell r="M2356" t="str">
            <v>x</v>
          </cell>
          <cell r="N2356" t="e">
            <v>#N/A</v>
          </cell>
          <cell r="O2356" t="str">
            <v>Cartridge Hydraulic Filter</v>
          </cell>
        </row>
        <row r="2357">
          <cell r="K2357" t="str">
            <v>LH95304V</v>
          </cell>
          <cell r="L2357" t="str">
            <v>HD</v>
          </cell>
          <cell r="M2357" t="str">
            <v>x</v>
          </cell>
          <cell r="N2357" t="e">
            <v>#N/A</v>
          </cell>
          <cell r="O2357" t="str">
            <v>Cartridge Hydraulic Filter</v>
          </cell>
        </row>
        <row r="2358">
          <cell r="K2358" t="str">
            <v>LH4480</v>
          </cell>
          <cell r="L2358" t="str">
            <v>HD</v>
          </cell>
          <cell r="M2358" t="str">
            <v>x</v>
          </cell>
          <cell r="N2358" t="e">
            <v>#N/A</v>
          </cell>
          <cell r="O2358" t="str">
            <v>Cartridge Hydraulic Filter</v>
          </cell>
        </row>
        <row r="2359">
          <cell r="K2359" t="str">
            <v>LH8510</v>
          </cell>
          <cell r="L2359" t="str">
            <v>HD</v>
          </cell>
          <cell r="M2359" t="str">
            <v>x</v>
          </cell>
          <cell r="N2359" t="e">
            <v>#N/A</v>
          </cell>
          <cell r="O2359" t="str">
            <v>Cartridge Hydraulic Filter</v>
          </cell>
        </row>
        <row r="2360">
          <cell r="K2360" t="str">
            <v>LH5746</v>
          </cell>
          <cell r="L2360" t="str">
            <v>HD</v>
          </cell>
          <cell r="M2360" t="str">
            <v>x</v>
          </cell>
          <cell r="N2360" t="e">
            <v>#N/A</v>
          </cell>
          <cell r="O2360" t="str">
            <v>Cartridge Hydraulic Filter</v>
          </cell>
        </row>
        <row r="2361">
          <cell r="K2361" t="str">
            <v>LH22067</v>
          </cell>
          <cell r="L2361" t="str">
            <v>HD</v>
          </cell>
          <cell r="M2361" t="str">
            <v>x</v>
          </cell>
          <cell r="N2361" t="e">
            <v>#N/A</v>
          </cell>
          <cell r="O2361" t="str">
            <v>Cartridge Hydraulic Filter</v>
          </cell>
        </row>
        <row r="2362">
          <cell r="K2362" t="str">
            <v>LH8788</v>
          </cell>
          <cell r="L2362" t="str">
            <v>HD</v>
          </cell>
          <cell r="M2362" t="str">
            <v>x</v>
          </cell>
          <cell r="N2362" t="e">
            <v>#N/A</v>
          </cell>
          <cell r="O2362" t="str">
            <v>Cartridge Hydraulic Filter</v>
          </cell>
        </row>
        <row r="2363">
          <cell r="K2363" t="str">
            <v>L5839F</v>
          </cell>
          <cell r="L2363" t="str">
            <v>HD</v>
          </cell>
          <cell r="M2363" t="str">
            <v>x</v>
          </cell>
          <cell r="N2363" t="e">
            <v>#N/A</v>
          </cell>
          <cell r="O2363" t="str">
            <v>Cartridge Fuel Filter</v>
          </cell>
        </row>
        <row r="2364">
          <cell r="K2364" t="str">
            <v>L4118F</v>
          </cell>
          <cell r="L2364" t="str">
            <v>HD</v>
          </cell>
          <cell r="M2364" t="str">
            <v>x</v>
          </cell>
          <cell r="N2364" t="e">
            <v>#N/A</v>
          </cell>
          <cell r="O2364" t="str">
            <v>Cartridge Fuel Filter</v>
          </cell>
        </row>
        <row r="2365">
          <cell r="K2365" t="str">
            <v>PACK</v>
          </cell>
          <cell r="L2365" t="str">
            <v>HD</v>
          </cell>
          <cell r="M2365" t="str">
            <v>x</v>
          </cell>
          <cell r="N2365" t="e">
            <v>#N/A</v>
          </cell>
          <cell r="O2365" t="str">
            <v>Washer, Pack Take-Up Assembly/F-120, F-155 &amp; F-170</v>
          </cell>
        </row>
        <row r="2366">
          <cell r="K2366" t="str">
            <v>LK296V</v>
          </cell>
          <cell r="L2366" t="str">
            <v>HD</v>
          </cell>
          <cell r="M2366" t="str">
            <v>x</v>
          </cell>
          <cell r="N2366" t="e">
            <v>#N/A</v>
          </cell>
          <cell r="O2366" t="str">
            <v>Volvo Engine Maintenance Kit</v>
          </cell>
        </row>
        <row r="2367">
          <cell r="K2367" t="str">
            <v>LK271V</v>
          </cell>
          <cell r="L2367" t="str">
            <v>HD</v>
          </cell>
          <cell r="M2367" t="str">
            <v>x</v>
          </cell>
          <cell r="N2367" t="e">
            <v>#N/A</v>
          </cell>
          <cell r="O2367" t="str">
            <v>Volvo Engine Maintenance Kit</v>
          </cell>
        </row>
        <row r="2368">
          <cell r="K2368" t="str">
            <v>LK287V</v>
          </cell>
          <cell r="L2368" t="str">
            <v>HD</v>
          </cell>
          <cell r="M2368" t="str">
            <v>x</v>
          </cell>
          <cell r="N2368" t="e">
            <v>#N/A</v>
          </cell>
          <cell r="O2368" t="str">
            <v>Volvo Engine Maintenance Kit</v>
          </cell>
        </row>
        <row r="2369">
          <cell r="K2369" t="str">
            <v>LK215V</v>
          </cell>
          <cell r="L2369" t="str">
            <v>HD</v>
          </cell>
          <cell r="M2369" t="str">
            <v>x</v>
          </cell>
          <cell r="N2369" t="e">
            <v>#N/A</v>
          </cell>
          <cell r="O2369" t="str">
            <v>Volvo Engine Maintenance Kit</v>
          </cell>
        </row>
        <row r="2370">
          <cell r="K2370" t="str">
            <v>LK274V</v>
          </cell>
          <cell r="L2370" t="str">
            <v>HD</v>
          </cell>
          <cell r="M2370" t="str">
            <v>x</v>
          </cell>
          <cell r="N2370" t="e">
            <v>#N/A</v>
          </cell>
          <cell r="O2370" t="str">
            <v>Volvo Engine Maintenance Kit</v>
          </cell>
        </row>
        <row r="2371">
          <cell r="K2371" t="str">
            <v>LK269V</v>
          </cell>
          <cell r="L2371" t="str">
            <v>HD</v>
          </cell>
          <cell r="M2371" t="str">
            <v>x</v>
          </cell>
          <cell r="N2371" t="e">
            <v>#N/A</v>
          </cell>
          <cell r="O2371" t="str">
            <v>Volvo Engine Maintenance Kit</v>
          </cell>
        </row>
        <row r="2372">
          <cell r="K2372" t="str">
            <v>55-13104</v>
          </cell>
          <cell r="L2372" t="str">
            <v>HD</v>
          </cell>
          <cell r="M2372" t="str">
            <v>x</v>
          </cell>
          <cell r="N2372" t="e">
            <v>#N/A</v>
          </cell>
          <cell r="O2372" t="str">
            <v>VLVE/CAP ASSY</v>
          </cell>
        </row>
        <row r="2373">
          <cell r="K2373" t="str">
            <v>55-13106</v>
          </cell>
          <cell r="L2373" t="str">
            <v>HD</v>
          </cell>
          <cell r="M2373" t="str">
            <v>x</v>
          </cell>
          <cell r="N2373" t="e">
            <v>#N/A</v>
          </cell>
          <cell r="O2373" t="str">
            <v>VLVE/CAP ASSY</v>
          </cell>
        </row>
        <row r="2374">
          <cell r="K2374" t="str">
            <v>VENT</v>
          </cell>
          <cell r="L2374" t="str">
            <v>HD</v>
          </cell>
          <cell r="M2374" t="str">
            <v>x</v>
          </cell>
          <cell r="N2374" t="e">
            <v>#N/A</v>
          </cell>
          <cell r="O2374" t="str">
            <v>Vent Plug/F-170-W</v>
          </cell>
        </row>
        <row r="2375">
          <cell r="K2375" t="str">
            <v>1/8</v>
          </cell>
          <cell r="L2375" t="str">
            <v>HD</v>
          </cell>
          <cell r="M2375" t="str">
            <v>x</v>
          </cell>
          <cell r="N2375" t="e">
            <v>#N/A</v>
          </cell>
          <cell r="O2375" t="str">
            <v>Vent Plug, Hex Head 1/8" N.P.T./F-120, F-155, F-170</v>
          </cell>
        </row>
        <row r="2376">
          <cell r="K2376" t="str">
            <v>LAFP4</v>
          </cell>
          <cell r="L2376" t="str">
            <v>HD</v>
          </cell>
          <cell r="M2376" t="str">
            <v>x</v>
          </cell>
          <cell r="N2376" t="e">
            <v>#N/A</v>
          </cell>
          <cell r="O2376" t="str">
            <v>Tube Type Air Filter</v>
          </cell>
        </row>
        <row r="2377">
          <cell r="K2377" t="str">
            <v>LABEL/DECAL</v>
          </cell>
          <cell r="L2377" t="str">
            <v>HD</v>
          </cell>
          <cell r="M2377" t="str">
            <v>x</v>
          </cell>
          <cell r="N2377" t="e">
            <v>#N/A</v>
          </cell>
          <cell r="O2377" t="str">
            <v>THERMO LABEL</v>
          </cell>
        </row>
        <row r="2378">
          <cell r="K2378" t="str">
            <v>LK336DF</v>
          </cell>
          <cell r="L2378" t="str">
            <v>HD</v>
          </cell>
          <cell r="M2378" t="str">
            <v>x</v>
          </cell>
          <cell r="N2378" t="e">
            <v>#N/A</v>
          </cell>
          <cell r="O2378" t="str">
            <v>Thermo King Engine Maintenance Kit</v>
          </cell>
        </row>
        <row r="2379">
          <cell r="K2379" t="str">
            <v>LK195T</v>
          </cell>
          <cell r="L2379" t="str">
            <v>HD</v>
          </cell>
          <cell r="M2379" t="str">
            <v>x</v>
          </cell>
          <cell r="N2379" t="e">
            <v>#N/A</v>
          </cell>
          <cell r="O2379" t="str">
            <v>Thermo King Engine Maintenance Kit</v>
          </cell>
        </row>
        <row r="2380">
          <cell r="K2380" t="str">
            <v>LK335DF</v>
          </cell>
          <cell r="L2380" t="str">
            <v>HD</v>
          </cell>
          <cell r="M2380" t="str">
            <v>x</v>
          </cell>
          <cell r="N2380" t="e">
            <v>#N/A</v>
          </cell>
          <cell r="O2380" t="str">
            <v>Thermo King Engine Maintenance Kit</v>
          </cell>
        </row>
        <row r="2381">
          <cell r="K2381" t="str">
            <v>LK328DF</v>
          </cell>
          <cell r="L2381" t="str">
            <v>HD</v>
          </cell>
          <cell r="M2381" t="str">
            <v>x</v>
          </cell>
          <cell r="N2381" t="e">
            <v>#N/A</v>
          </cell>
          <cell r="O2381" t="str">
            <v>Thermo King Engine Maintenance Kit</v>
          </cell>
        </row>
        <row r="2382">
          <cell r="K2382" t="str">
            <v>750CT</v>
          </cell>
          <cell r="L2382" t="str">
            <v>HD</v>
          </cell>
          <cell r="M2382" t="str">
            <v>x</v>
          </cell>
          <cell r="N2382" t="e">
            <v>#N/A</v>
          </cell>
          <cell r="O2382" t="str">
            <v>Standard Upright Refining Unit w/Filter Pack/750-C</v>
          </cell>
        </row>
        <row r="2383">
          <cell r="K2383" t="str">
            <v>500CT</v>
          </cell>
          <cell r="L2383" t="str">
            <v>HD</v>
          </cell>
          <cell r="M2383" t="str">
            <v>x</v>
          </cell>
          <cell r="N2383" t="e">
            <v>#N/A</v>
          </cell>
          <cell r="O2383" t="str">
            <v>Standard Upright Refining Unit Filter w/Filter Pack/500-C</v>
          </cell>
        </row>
        <row r="2384">
          <cell r="K2384" t="str">
            <v>PKGD</v>
          </cell>
          <cell r="L2384" t="str">
            <v>HD</v>
          </cell>
          <cell r="M2384" t="str">
            <v>x</v>
          </cell>
          <cell r="N2384" t="e">
            <v>#N/A</v>
          </cell>
          <cell r="O2384" t="str">
            <v>Standard Upright Microcell Unit w/Filter Pack/750-C, CT</v>
          </cell>
        </row>
        <row r="2385">
          <cell r="K2385" t="str">
            <v>750CT</v>
          </cell>
          <cell r="L2385" t="str">
            <v>HD</v>
          </cell>
          <cell r="M2385" t="str">
            <v>x</v>
          </cell>
          <cell r="N2385" t="e">
            <v>#N/A</v>
          </cell>
          <cell r="O2385" t="str">
            <v>Standard Upright 750-C Unit w/Imperial  Diesel Filter Pack</v>
          </cell>
        </row>
        <row r="2386">
          <cell r="K2386" t="str">
            <v>PACK</v>
          </cell>
          <cell r="L2386" t="str">
            <v>HD</v>
          </cell>
          <cell r="M2386" t="str">
            <v>x</v>
          </cell>
          <cell r="N2386" t="e">
            <v>#N/A</v>
          </cell>
          <cell r="O2386" t="str">
            <v>Spring/F-170, F-170-2, F-170-W</v>
          </cell>
        </row>
        <row r="2387">
          <cell r="K2387" t="str">
            <v>PACK</v>
          </cell>
          <cell r="L2387" t="str">
            <v>HD</v>
          </cell>
          <cell r="M2387" t="str">
            <v>x</v>
          </cell>
          <cell r="N2387" t="e">
            <v>#N/A</v>
          </cell>
          <cell r="O2387" t="str">
            <v>Spring Support Wacher, Steel/F-170, F-170-2, F-170-W</v>
          </cell>
        </row>
        <row r="2388">
          <cell r="K2388" t="str">
            <v>LFP8096</v>
          </cell>
          <cell r="L2388" t="str">
            <v>HD</v>
          </cell>
          <cell r="M2388" t="str">
            <v>x</v>
          </cell>
          <cell r="N2388" t="e">
            <v>#N/A</v>
          </cell>
          <cell r="O2388" t="str">
            <v>Spin-on Oil Filter</v>
          </cell>
        </row>
        <row r="2389">
          <cell r="K2389" t="str">
            <v>LFP3830</v>
          </cell>
          <cell r="L2389" t="str">
            <v>HD</v>
          </cell>
          <cell r="M2389" t="str">
            <v>x</v>
          </cell>
          <cell r="N2389" t="e">
            <v>#N/A</v>
          </cell>
          <cell r="O2389" t="str">
            <v>Spin-on Oil Filter</v>
          </cell>
        </row>
        <row r="2390">
          <cell r="K2390" t="str">
            <v>LFP8104</v>
          </cell>
          <cell r="L2390" t="str">
            <v>HD</v>
          </cell>
          <cell r="M2390" t="str">
            <v>x</v>
          </cell>
          <cell r="N2390" t="e">
            <v>#N/A</v>
          </cell>
          <cell r="O2390" t="str">
            <v>Spin-on Oil Filter</v>
          </cell>
        </row>
        <row r="2391">
          <cell r="K2391" t="str">
            <v>LFP8939</v>
          </cell>
          <cell r="L2391" t="str">
            <v>HD</v>
          </cell>
          <cell r="M2391" t="str">
            <v>x</v>
          </cell>
          <cell r="N2391" t="e">
            <v>#N/A</v>
          </cell>
          <cell r="O2391" t="str">
            <v>Spin-on Oil Filter</v>
          </cell>
        </row>
        <row r="2392">
          <cell r="K2392" t="str">
            <v>LFP5825</v>
          </cell>
          <cell r="L2392" t="str">
            <v>HD</v>
          </cell>
          <cell r="M2392" t="str">
            <v>x</v>
          </cell>
          <cell r="N2392" t="e">
            <v>#N/A</v>
          </cell>
          <cell r="O2392" t="str">
            <v>Spin-on Oil Filter</v>
          </cell>
        </row>
        <row r="2393">
          <cell r="K2393" t="str">
            <v>LP2278</v>
          </cell>
          <cell r="L2393" t="str">
            <v>HD</v>
          </cell>
          <cell r="M2393" t="str">
            <v>x</v>
          </cell>
          <cell r="N2393" t="e">
            <v>#N/A</v>
          </cell>
          <cell r="O2393" t="str">
            <v>Spin-on Oil Filter</v>
          </cell>
        </row>
        <row r="2394">
          <cell r="K2394" t="str">
            <v>LFH5939</v>
          </cell>
          <cell r="L2394" t="str">
            <v>HD</v>
          </cell>
          <cell r="M2394" t="str">
            <v>x</v>
          </cell>
          <cell r="N2394" t="e">
            <v>#N/A</v>
          </cell>
          <cell r="O2394" t="str">
            <v>Spin-on Hydraulic Filter</v>
          </cell>
        </row>
        <row r="2395">
          <cell r="K2395" t="str">
            <v>LFH4908</v>
          </cell>
          <cell r="L2395" t="str">
            <v>HD</v>
          </cell>
          <cell r="M2395" t="str">
            <v>x</v>
          </cell>
          <cell r="N2395" t="e">
            <v>#N/A</v>
          </cell>
          <cell r="O2395" t="str">
            <v>Spin-on Hydraulic Filter</v>
          </cell>
        </row>
        <row r="2396">
          <cell r="K2396" t="str">
            <v>LFH95415</v>
          </cell>
          <cell r="L2396" t="str">
            <v>HD</v>
          </cell>
          <cell r="M2396" t="str">
            <v>x</v>
          </cell>
          <cell r="N2396" t="e">
            <v>#N/A</v>
          </cell>
          <cell r="O2396" t="str">
            <v>Spin-on Hydraulic Filter</v>
          </cell>
        </row>
        <row r="2397">
          <cell r="K2397" t="str">
            <v>LFH8282</v>
          </cell>
          <cell r="L2397" t="str">
            <v>HD</v>
          </cell>
          <cell r="M2397" t="str">
            <v>x</v>
          </cell>
          <cell r="N2397" t="e">
            <v>#N/A</v>
          </cell>
          <cell r="O2397" t="str">
            <v>Spin-on Hydraulic Filter</v>
          </cell>
        </row>
        <row r="2398">
          <cell r="K2398" t="str">
            <v>LFF3572</v>
          </cell>
          <cell r="L2398" t="str">
            <v>HD</v>
          </cell>
          <cell r="M2398" t="str">
            <v>x</v>
          </cell>
          <cell r="N2398" t="str">
            <v>LFF3572</v>
          </cell>
          <cell r="O2398" t="str">
            <v>Spin-on Fuel Water Separator Filter</v>
          </cell>
        </row>
        <row r="2399">
          <cell r="K2399" t="str">
            <v>LFF5967</v>
          </cell>
          <cell r="L2399" t="str">
            <v>HD</v>
          </cell>
          <cell r="M2399" t="str">
            <v>x</v>
          </cell>
          <cell r="N2399" t="e">
            <v>#N/A</v>
          </cell>
          <cell r="O2399" t="str">
            <v>Spin-on Fuel Water Separator Filter</v>
          </cell>
        </row>
        <row r="2400">
          <cell r="K2400" t="str">
            <v>LFF3517</v>
          </cell>
          <cell r="L2400" t="str">
            <v>HD</v>
          </cell>
          <cell r="M2400" t="str">
            <v>x</v>
          </cell>
          <cell r="N2400" t="e">
            <v>#N/A</v>
          </cell>
          <cell r="O2400" t="str">
            <v>Spin-on Fuel Filter</v>
          </cell>
        </row>
        <row r="2401">
          <cell r="K2401" t="str">
            <v>LFF3500</v>
          </cell>
          <cell r="L2401" t="str">
            <v>HD</v>
          </cell>
          <cell r="M2401" t="str">
            <v>x</v>
          </cell>
          <cell r="N2401" t="e">
            <v>#N/A</v>
          </cell>
          <cell r="O2401" t="str">
            <v>Spin-on Fuel Filter</v>
          </cell>
        </row>
        <row r="2402">
          <cell r="K2402" t="str">
            <v>FP1000F</v>
          </cell>
          <cell r="L2402" t="str">
            <v>HD</v>
          </cell>
          <cell r="M2402" t="str">
            <v>x</v>
          </cell>
          <cell r="N2402" t="e">
            <v>#N/A</v>
          </cell>
          <cell r="O2402" t="str">
            <v>Spin-on Fuel Filter</v>
          </cell>
        </row>
        <row r="2403">
          <cell r="K2403" t="str">
            <v>LFF8739</v>
          </cell>
          <cell r="L2403" t="str">
            <v>HD</v>
          </cell>
          <cell r="M2403" t="str">
            <v>x</v>
          </cell>
          <cell r="N2403" t="e">
            <v>#N/A</v>
          </cell>
          <cell r="O2403" t="str">
            <v>Spin-on Fuel Filter</v>
          </cell>
        </row>
        <row r="2404">
          <cell r="K2404" t="str">
            <v>LFF8288</v>
          </cell>
          <cell r="L2404" t="str">
            <v>HD</v>
          </cell>
          <cell r="M2404" t="str">
            <v>x</v>
          </cell>
          <cell r="N2404" t="e">
            <v>#N/A</v>
          </cell>
          <cell r="O2404" t="str">
            <v>Spin-on Fuel Filter</v>
          </cell>
        </row>
        <row r="2405">
          <cell r="K2405" t="str">
            <v>LAF22088</v>
          </cell>
          <cell r="L2405" t="str">
            <v>HD</v>
          </cell>
          <cell r="M2405" t="str">
            <v>x</v>
          </cell>
          <cell r="N2405" t="e">
            <v>#N/A</v>
          </cell>
          <cell r="O2405" t="str">
            <v>Special Configuration Air Filter</v>
          </cell>
        </row>
        <row r="2406">
          <cell r="K2406" t="str">
            <v>LAF22048</v>
          </cell>
          <cell r="L2406" t="str">
            <v>HD</v>
          </cell>
          <cell r="M2406" t="str">
            <v>x</v>
          </cell>
          <cell r="N2406" t="e">
            <v>#N/A</v>
          </cell>
          <cell r="O2406" t="str">
            <v>Special Configuration Air Filter</v>
          </cell>
        </row>
        <row r="2407">
          <cell r="K2407" t="str">
            <v>L26</v>
          </cell>
          <cell r="L2407" t="str">
            <v>HD</v>
          </cell>
          <cell r="M2407" t="str">
            <v>x</v>
          </cell>
          <cell r="N2407" t="e">
            <v>#N/A</v>
          </cell>
          <cell r="O2407" t="str">
            <v>Sock Type Oil Filter</v>
          </cell>
        </row>
        <row r="2408">
          <cell r="K2408" t="str">
            <v>L8716F</v>
          </cell>
          <cell r="L2408" t="str">
            <v>HD</v>
          </cell>
          <cell r="M2408" t="str">
            <v>x</v>
          </cell>
          <cell r="N2408" t="e">
            <v>#N/A</v>
          </cell>
          <cell r="O2408" t="str">
            <v>Snap-Lock Fuel Filter</v>
          </cell>
        </row>
        <row r="2409">
          <cell r="K2409" t="str">
            <v>L3923F</v>
          </cell>
          <cell r="L2409" t="str">
            <v>HD</v>
          </cell>
          <cell r="M2409" t="str">
            <v>x</v>
          </cell>
          <cell r="N2409" t="e">
            <v>#N/A</v>
          </cell>
          <cell r="O2409" t="str">
            <v>Snap-Lock Fuel Filter</v>
          </cell>
        </row>
        <row r="2410">
          <cell r="K2410" t="str">
            <v>L3922F</v>
          </cell>
          <cell r="L2410" t="str">
            <v>HD</v>
          </cell>
          <cell r="M2410" t="str">
            <v>x</v>
          </cell>
          <cell r="N2410" t="e">
            <v>#N/A</v>
          </cell>
          <cell r="O2410" t="str">
            <v>Snap-Lock Fuel Filter</v>
          </cell>
        </row>
        <row r="2411">
          <cell r="K2411" t="str">
            <v>L3920F</v>
          </cell>
          <cell r="L2411" t="str">
            <v>HD</v>
          </cell>
          <cell r="M2411" t="str">
            <v>x</v>
          </cell>
          <cell r="N2411" t="e">
            <v>#N/A</v>
          </cell>
          <cell r="O2411" t="str">
            <v>Snap-Lock Fuel Filter</v>
          </cell>
        </row>
        <row r="2412">
          <cell r="K2412" t="str">
            <v>LAF1672</v>
          </cell>
          <cell r="L2412" t="str">
            <v>HD</v>
          </cell>
          <cell r="M2412" t="str">
            <v>x</v>
          </cell>
          <cell r="N2412" t="e">
            <v>#N/A</v>
          </cell>
          <cell r="O2412" t="str">
            <v>Screw On Breather Air Filter</v>
          </cell>
        </row>
        <row r="2413">
          <cell r="K2413" t="str">
            <v>LAF8403</v>
          </cell>
          <cell r="L2413" t="str">
            <v>HD</v>
          </cell>
          <cell r="M2413" t="str">
            <v>x</v>
          </cell>
          <cell r="N2413" t="e">
            <v>#N/A</v>
          </cell>
          <cell r="O2413" t="str">
            <v>Round Plastisol Air Filter</v>
          </cell>
        </row>
        <row r="2414">
          <cell r="K2414" t="str">
            <v>LAF2397</v>
          </cell>
          <cell r="L2414" t="str">
            <v>HD</v>
          </cell>
          <cell r="M2414" t="str">
            <v>x</v>
          </cell>
          <cell r="N2414" t="e">
            <v>#N/A</v>
          </cell>
          <cell r="O2414" t="str">
            <v>Round Inner Air Filter</v>
          </cell>
        </row>
        <row r="2415">
          <cell r="K2415" t="str">
            <v>LAF8377</v>
          </cell>
          <cell r="L2415" t="str">
            <v>HD</v>
          </cell>
          <cell r="M2415" t="str">
            <v>x</v>
          </cell>
          <cell r="N2415" t="e">
            <v>#N/A</v>
          </cell>
          <cell r="O2415" t="str">
            <v>Round Air Filter with Attached Lid</v>
          </cell>
        </row>
        <row r="2416">
          <cell r="K2416" t="str">
            <v>LAF8743</v>
          </cell>
          <cell r="L2416" t="str">
            <v>HD</v>
          </cell>
          <cell r="M2416" t="str">
            <v>x</v>
          </cell>
          <cell r="N2416" t="e">
            <v>#N/A</v>
          </cell>
          <cell r="O2416" t="str">
            <v>Round Air Filter</v>
          </cell>
        </row>
        <row r="2417">
          <cell r="K2417" t="str">
            <v>LAF624</v>
          </cell>
          <cell r="L2417" t="str">
            <v>HD</v>
          </cell>
          <cell r="M2417" t="str">
            <v>x</v>
          </cell>
          <cell r="N2417" t="e">
            <v>#N/A</v>
          </cell>
          <cell r="O2417" t="str">
            <v>Round Air Filter</v>
          </cell>
        </row>
        <row r="2418">
          <cell r="K2418" t="str">
            <v>LAF7533</v>
          </cell>
          <cell r="L2418" t="str">
            <v>HD</v>
          </cell>
          <cell r="M2418" t="str">
            <v>x</v>
          </cell>
          <cell r="N2418" t="e">
            <v>#N/A</v>
          </cell>
          <cell r="O2418" t="str">
            <v>Round Air Filter</v>
          </cell>
        </row>
        <row r="2419">
          <cell r="K2419" t="str">
            <v>LAF22012</v>
          </cell>
          <cell r="L2419" t="str">
            <v>HD</v>
          </cell>
          <cell r="M2419" t="str">
            <v>x</v>
          </cell>
          <cell r="N2419" t="e">
            <v>#N/A</v>
          </cell>
          <cell r="O2419" t="str">
            <v>Round Air Filter</v>
          </cell>
        </row>
        <row r="2420">
          <cell r="K2420" t="str">
            <v>LAF8284</v>
          </cell>
          <cell r="L2420" t="str">
            <v>HD</v>
          </cell>
          <cell r="M2420" t="str">
            <v>x</v>
          </cell>
          <cell r="N2420" t="e">
            <v>#N/A</v>
          </cell>
          <cell r="O2420" t="str">
            <v>Round Air Filter</v>
          </cell>
        </row>
        <row r="2421">
          <cell r="K2421" t="str">
            <v>LAF1962</v>
          </cell>
          <cell r="L2421" t="str">
            <v>HD</v>
          </cell>
          <cell r="M2421" t="str">
            <v>x</v>
          </cell>
          <cell r="N2421" t="e">
            <v>#N/A</v>
          </cell>
          <cell r="O2421" t="str">
            <v>Round Air Filter</v>
          </cell>
        </row>
        <row r="2422">
          <cell r="K2422" t="str">
            <v>LAF4158</v>
          </cell>
          <cell r="L2422" t="str">
            <v>HD</v>
          </cell>
          <cell r="M2422" t="str">
            <v>x</v>
          </cell>
          <cell r="N2422" t="e">
            <v>#N/A</v>
          </cell>
          <cell r="O2422" t="str">
            <v>Round Air Filter</v>
          </cell>
        </row>
        <row r="2423">
          <cell r="K2423" t="str">
            <v>LAF1463</v>
          </cell>
          <cell r="L2423" t="str">
            <v>HD</v>
          </cell>
          <cell r="M2423" t="str">
            <v>x</v>
          </cell>
          <cell r="N2423" t="e">
            <v>#N/A</v>
          </cell>
          <cell r="O2423" t="str">
            <v>Round Air Filter</v>
          </cell>
        </row>
        <row r="2424">
          <cell r="K2424" t="str">
            <v>LAF642</v>
          </cell>
          <cell r="L2424" t="str">
            <v>HD</v>
          </cell>
          <cell r="M2424" t="str">
            <v>x</v>
          </cell>
          <cell r="N2424" t="e">
            <v>#N/A</v>
          </cell>
          <cell r="O2424" t="str">
            <v>Round Air Filter</v>
          </cell>
        </row>
        <row r="2425">
          <cell r="K2425" t="str">
            <v>LAF8508</v>
          </cell>
          <cell r="L2425" t="str">
            <v>HD</v>
          </cell>
          <cell r="M2425" t="str">
            <v>x</v>
          </cell>
          <cell r="N2425" t="e">
            <v>#N/A</v>
          </cell>
          <cell r="O2425" t="str">
            <v>Round Air Filter</v>
          </cell>
        </row>
        <row r="2426">
          <cell r="K2426" t="str">
            <v>LAF8166</v>
          </cell>
          <cell r="L2426" t="str">
            <v>HD</v>
          </cell>
          <cell r="M2426" t="str">
            <v>x</v>
          </cell>
          <cell r="N2426" t="e">
            <v>#N/A</v>
          </cell>
          <cell r="O2426" t="str">
            <v>Round Air Filter</v>
          </cell>
        </row>
        <row r="2427">
          <cell r="K2427" t="str">
            <v>LAF4123</v>
          </cell>
          <cell r="L2427" t="str">
            <v>HD</v>
          </cell>
          <cell r="M2427" t="str">
            <v>x</v>
          </cell>
          <cell r="N2427" t="e">
            <v>#N/A</v>
          </cell>
          <cell r="O2427" t="str">
            <v>Round Air Filter</v>
          </cell>
        </row>
        <row r="2428">
          <cell r="K2428" t="str">
            <v>LAF8400</v>
          </cell>
          <cell r="L2428" t="str">
            <v>HD</v>
          </cell>
          <cell r="M2428" t="str">
            <v>x</v>
          </cell>
          <cell r="N2428" t="e">
            <v>#N/A</v>
          </cell>
          <cell r="O2428" t="str">
            <v>Round Air Filter</v>
          </cell>
        </row>
        <row r="2429">
          <cell r="K2429" t="str">
            <v>LAF1980</v>
          </cell>
          <cell r="L2429" t="str">
            <v>HD</v>
          </cell>
          <cell r="M2429" t="str">
            <v>x</v>
          </cell>
          <cell r="N2429" t="e">
            <v>#N/A</v>
          </cell>
          <cell r="O2429" t="str">
            <v>Round Air Filter</v>
          </cell>
        </row>
        <row r="2430">
          <cell r="K2430" t="str">
            <v>LAF276</v>
          </cell>
          <cell r="L2430" t="str">
            <v>HD</v>
          </cell>
          <cell r="M2430" t="str">
            <v>x</v>
          </cell>
          <cell r="N2430" t="e">
            <v>#N/A</v>
          </cell>
          <cell r="O2430" t="str">
            <v>Round Air Filter</v>
          </cell>
        </row>
        <row r="2431">
          <cell r="K2431" t="str">
            <v>LAF16</v>
          </cell>
          <cell r="L2431" t="str">
            <v>HD</v>
          </cell>
          <cell r="M2431" t="str">
            <v>x</v>
          </cell>
          <cell r="N2431" t="e">
            <v>#N/A</v>
          </cell>
          <cell r="O2431" t="str">
            <v>Round Air Filter</v>
          </cell>
        </row>
        <row r="2432">
          <cell r="K2432" t="str">
            <v>LAF5877</v>
          </cell>
          <cell r="L2432" t="str">
            <v>HD</v>
          </cell>
          <cell r="M2432" t="str">
            <v>x</v>
          </cell>
          <cell r="N2432" t="e">
            <v>#N/A</v>
          </cell>
          <cell r="O2432" t="str">
            <v>Round Air Filter</v>
          </cell>
        </row>
        <row r="2433">
          <cell r="K2433" t="str">
            <v>LAF6008</v>
          </cell>
          <cell r="L2433" t="str">
            <v>HD</v>
          </cell>
          <cell r="M2433" t="str">
            <v>x</v>
          </cell>
          <cell r="N2433" t="e">
            <v>#N/A</v>
          </cell>
          <cell r="O2433" t="str">
            <v>Round Air Filter</v>
          </cell>
        </row>
        <row r="2434">
          <cell r="K2434" t="str">
            <v>LAF22030</v>
          </cell>
          <cell r="L2434" t="str">
            <v>HD</v>
          </cell>
          <cell r="M2434" t="str">
            <v>x</v>
          </cell>
          <cell r="N2434" t="e">
            <v>#N/A</v>
          </cell>
          <cell r="O2434" t="str">
            <v>Round Air Filter</v>
          </cell>
        </row>
        <row r="2435">
          <cell r="K2435" t="str">
            <v>LAF1978</v>
          </cell>
          <cell r="L2435" t="str">
            <v>HD</v>
          </cell>
          <cell r="M2435" t="str">
            <v>x</v>
          </cell>
          <cell r="N2435" t="str">
            <v>LAF1978</v>
          </cell>
          <cell r="O2435" t="str">
            <v>Round Air Filter</v>
          </cell>
        </row>
        <row r="2436">
          <cell r="K2436" t="str">
            <v>LAF4287</v>
          </cell>
          <cell r="L2436" t="str">
            <v>HD</v>
          </cell>
          <cell r="M2436" t="str">
            <v>x</v>
          </cell>
          <cell r="N2436" t="e">
            <v>#N/A</v>
          </cell>
          <cell r="O2436" t="str">
            <v>Rigid Panel Air Filter</v>
          </cell>
        </row>
        <row r="2437">
          <cell r="K2437" t="str">
            <v>LAF130</v>
          </cell>
          <cell r="L2437" t="str">
            <v>HD</v>
          </cell>
          <cell r="M2437" t="str">
            <v>x</v>
          </cell>
          <cell r="N2437" t="e">
            <v>#N/A</v>
          </cell>
          <cell r="O2437" t="str">
            <v>Rigid Panel Air Filter</v>
          </cell>
        </row>
        <row r="2438">
          <cell r="K2438" t="str">
            <v>LAF22035</v>
          </cell>
          <cell r="L2438" t="str">
            <v>HD</v>
          </cell>
          <cell r="M2438" t="str">
            <v>x</v>
          </cell>
          <cell r="N2438" t="e">
            <v>#N/A</v>
          </cell>
          <cell r="O2438" t="str">
            <v>Rigid Panel Air Filter</v>
          </cell>
        </row>
        <row r="2439">
          <cell r="K2439" t="str">
            <v>LAF8782</v>
          </cell>
          <cell r="L2439" t="str">
            <v>HD</v>
          </cell>
          <cell r="M2439" t="str">
            <v>x</v>
          </cell>
          <cell r="N2439" t="e">
            <v>#N/A</v>
          </cell>
          <cell r="O2439" t="str">
            <v>Rigid Panel Air Filter</v>
          </cell>
        </row>
        <row r="2440">
          <cell r="K2440" t="str">
            <v>LAF8125</v>
          </cell>
          <cell r="L2440" t="str">
            <v>HD</v>
          </cell>
          <cell r="M2440" t="str">
            <v>x</v>
          </cell>
          <cell r="N2440" t="e">
            <v>#N/A</v>
          </cell>
          <cell r="O2440" t="str">
            <v>Rigid Panel Air Filter</v>
          </cell>
        </row>
        <row r="2441">
          <cell r="K2441" t="str">
            <v>PKGD</v>
          </cell>
          <cell r="L2441" t="str">
            <v>HD</v>
          </cell>
          <cell r="M2441" t="str">
            <v>x</v>
          </cell>
          <cell r="N2441" t="e">
            <v>#N/A</v>
          </cell>
          <cell r="O2441" t="str">
            <v>Refining Unit w/Floor Base &amp; Filter Pack/750-3C</v>
          </cell>
        </row>
        <row r="2442">
          <cell r="K2442" t="str">
            <v>PKGD</v>
          </cell>
          <cell r="L2442" t="str">
            <v>HD</v>
          </cell>
          <cell r="M2442" t="str">
            <v>x</v>
          </cell>
          <cell r="N2442" t="e">
            <v>#N/A</v>
          </cell>
          <cell r="O2442" t="str">
            <v>Refining Unit w/Floor Base &amp; Filter Pack/750-2</v>
          </cell>
        </row>
        <row r="2443">
          <cell r="K2443" t="str">
            <v>750-C</v>
          </cell>
          <cell r="L2443" t="str">
            <v>HD</v>
          </cell>
          <cell r="M2443" t="str">
            <v>x</v>
          </cell>
          <cell r="N2443" t="e">
            <v>#N/A</v>
          </cell>
          <cell r="O2443" t="str">
            <v>Refining Unit Filter For Fuel and Hydraulic Filtration (Unpainted)</v>
          </cell>
        </row>
        <row r="2444">
          <cell r="K2444" t="str">
            <v>750</v>
          </cell>
          <cell r="L2444" t="str">
            <v>HD</v>
          </cell>
          <cell r="M2444" t="str">
            <v>x</v>
          </cell>
          <cell r="N2444" t="e">
            <v>#N/A</v>
          </cell>
          <cell r="O2444" t="str">
            <v xml:space="preserve">Refining Hydropack/750C, CT Filter </v>
          </cell>
        </row>
        <row r="2445">
          <cell r="K2445" t="str">
            <v>750</v>
          </cell>
          <cell r="L2445" t="str">
            <v>HD</v>
          </cell>
          <cell r="M2445" t="str">
            <v>x</v>
          </cell>
          <cell r="N2445" t="e">
            <v>#N/A</v>
          </cell>
          <cell r="O2445" t="str">
            <v>Refining Filter Pack</v>
          </cell>
        </row>
        <row r="2446">
          <cell r="K2446" t="str">
            <v>LAF5238</v>
          </cell>
          <cell r="L2446" t="str">
            <v>HD</v>
          </cell>
          <cell r="M2446" t="str">
            <v>x</v>
          </cell>
          <cell r="N2446" t="e">
            <v>#N/A</v>
          </cell>
          <cell r="O2446" t="str">
            <v>Radial Seal Outer Air Filter</v>
          </cell>
        </row>
        <row r="2447">
          <cell r="K2447" t="str">
            <v>LAF8998</v>
          </cell>
          <cell r="L2447" t="str">
            <v>HD</v>
          </cell>
          <cell r="M2447" t="str">
            <v>x</v>
          </cell>
          <cell r="N2447" t="e">
            <v>#N/A</v>
          </cell>
          <cell r="O2447" t="str">
            <v>Radial Seal Outer Air Filter</v>
          </cell>
        </row>
        <row r="2448">
          <cell r="K2448" t="str">
            <v>LAF8840</v>
          </cell>
          <cell r="L2448" t="str">
            <v>HD</v>
          </cell>
          <cell r="M2448" t="str">
            <v>x</v>
          </cell>
          <cell r="N2448" t="e">
            <v>#N/A</v>
          </cell>
          <cell r="O2448" t="str">
            <v>Radial Seal Outer Air Filter</v>
          </cell>
        </row>
        <row r="2449">
          <cell r="K2449" t="str">
            <v>LAF8871</v>
          </cell>
          <cell r="L2449" t="str">
            <v>HD</v>
          </cell>
          <cell r="M2449" t="str">
            <v>x</v>
          </cell>
          <cell r="N2449" t="e">
            <v>#N/A</v>
          </cell>
          <cell r="O2449" t="str">
            <v>Radial Seal Outer Air Filter</v>
          </cell>
        </row>
        <row r="2450">
          <cell r="K2450" t="str">
            <v>LAF5044</v>
          </cell>
          <cell r="L2450" t="str">
            <v>HD</v>
          </cell>
          <cell r="M2450" t="str">
            <v>x</v>
          </cell>
          <cell r="N2450" t="e">
            <v>#N/A</v>
          </cell>
          <cell r="O2450" t="str">
            <v>Radial Seal Outer Air Filter</v>
          </cell>
        </row>
        <row r="2451">
          <cell r="K2451" t="str">
            <v>LAF8747</v>
          </cell>
          <cell r="L2451" t="str">
            <v>HD</v>
          </cell>
          <cell r="M2451" t="str">
            <v>x</v>
          </cell>
          <cell r="N2451" t="e">
            <v>#N/A</v>
          </cell>
          <cell r="O2451" t="str">
            <v>Radial Seal Inner Air Filter (Europe Only)</v>
          </cell>
        </row>
        <row r="2452">
          <cell r="K2452" t="str">
            <v>LAF5929</v>
          </cell>
          <cell r="L2452" t="str">
            <v>HD</v>
          </cell>
          <cell r="M2452" t="str">
            <v>x</v>
          </cell>
          <cell r="N2452" t="e">
            <v>#N/A</v>
          </cell>
          <cell r="O2452" t="str">
            <v>Radial Seal Inner Air Filter</v>
          </cell>
        </row>
        <row r="2453">
          <cell r="K2453" t="str">
            <v>LAF3861</v>
          </cell>
          <cell r="L2453" t="str">
            <v>HD</v>
          </cell>
          <cell r="M2453" t="str">
            <v>x</v>
          </cell>
          <cell r="N2453" t="e">
            <v>#N/A</v>
          </cell>
          <cell r="O2453" t="str">
            <v>Radial Seal Inner Air Filter</v>
          </cell>
        </row>
        <row r="2454">
          <cell r="K2454" t="str">
            <v>LAF5615</v>
          </cell>
          <cell r="L2454" t="str">
            <v>HD</v>
          </cell>
          <cell r="M2454" t="str">
            <v>x</v>
          </cell>
          <cell r="N2454" t="e">
            <v>#N/A</v>
          </cell>
          <cell r="O2454" t="str">
            <v>Radial Seal Inner Air Filter</v>
          </cell>
        </row>
        <row r="2455">
          <cell r="K2455" t="str">
            <v>LAF3934</v>
          </cell>
          <cell r="L2455" t="str">
            <v>HD</v>
          </cell>
          <cell r="M2455" t="str">
            <v>x</v>
          </cell>
          <cell r="N2455" t="e">
            <v>#N/A</v>
          </cell>
          <cell r="O2455" t="str">
            <v>Radial Seal Air Filter with Attached Finn</v>
          </cell>
        </row>
        <row r="2456">
          <cell r="K2456" t="str">
            <v>LAF5614</v>
          </cell>
          <cell r="L2456" t="str">
            <v>HD</v>
          </cell>
          <cell r="M2456" t="str">
            <v>x</v>
          </cell>
          <cell r="N2456" t="e">
            <v>#N/A</v>
          </cell>
          <cell r="O2456" t="str">
            <v>Radial Seal Air Filter</v>
          </cell>
        </row>
        <row r="2457">
          <cell r="K2457" t="str">
            <v>LAF4343</v>
          </cell>
          <cell r="L2457" t="str">
            <v>HD</v>
          </cell>
          <cell r="M2457" t="str">
            <v>x</v>
          </cell>
          <cell r="N2457" t="e">
            <v>#N/A</v>
          </cell>
          <cell r="O2457" t="str">
            <v>Pre-cleaner Air Filter</v>
          </cell>
        </row>
        <row r="2458">
          <cell r="K2458" t="str">
            <v>LAF4357</v>
          </cell>
          <cell r="L2458" t="str">
            <v>HD</v>
          </cell>
          <cell r="M2458" t="str">
            <v>x</v>
          </cell>
          <cell r="N2458" t="e">
            <v>#N/A</v>
          </cell>
          <cell r="O2458" t="str">
            <v>Pre-cleaner Air Filter</v>
          </cell>
        </row>
        <row r="2459">
          <cell r="K2459" t="str">
            <v>PKGD</v>
          </cell>
          <cell r="L2459" t="str">
            <v>HD</v>
          </cell>
          <cell r="M2459" t="str">
            <v>x</v>
          </cell>
          <cell r="N2459" t="e">
            <v>#N/A</v>
          </cell>
          <cell r="O2459" t="str">
            <v>PKG UNT &amp; PAC</v>
          </cell>
        </row>
        <row r="2460">
          <cell r="K2460" t="str">
            <v>PKGD</v>
          </cell>
          <cell r="L2460" t="str">
            <v>HD</v>
          </cell>
          <cell r="M2460" t="str">
            <v>x</v>
          </cell>
          <cell r="N2460" t="e">
            <v>#N/A</v>
          </cell>
          <cell r="O2460" t="str">
            <v>PKG UN &amp; PACK</v>
          </cell>
        </row>
        <row r="2461">
          <cell r="K2461" t="str">
            <v>PKGD</v>
          </cell>
          <cell r="L2461" t="str">
            <v>HD</v>
          </cell>
          <cell r="M2461" t="str">
            <v>x</v>
          </cell>
          <cell r="N2461" t="e">
            <v>#N/A</v>
          </cell>
          <cell r="O2461" t="str">
            <v>PKG UN &amp; PACK</v>
          </cell>
        </row>
        <row r="2462">
          <cell r="K2462" t="str">
            <v>PKGD</v>
          </cell>
          <cell r="L2462" t="str">
            <v>HD</v>
          </cell>
          <cell r="M2462" t="str">
            <v>x</v>
          </cell>
          <cell r="N2462" t="e">
            <v>#N/A</v>
          </cell>
          <cell r="O2462" t="str">
            <v>PKG U PK &amp; BS</v>
          </cell>
        </row>
        <row r="2463">
          <cell r="K2463" t="str">
            <v>PKGD</v>
          </cell>
          <cell r="L2463" t="str">
            <v>HD</v>
          </cell>
          <cell r="M2463" t="str">
            <v>x</v>
          </cell>
          <cell r="N2463" t="e">
            <v>#N/A</v>
          </cell>
          <cell r="O2463" t="str">
            <v>PKG PAC &amp; BSE</v>
          </cell>
        </row>
        <row r="2464">
          <cell r="K2464" t="str">
            <v>LAF2527</v>
          </cell>
          <cell r="L2464" t="str">
            <v>HD</v>
          </cell>
          <cell r="M2464" t="str">
            <v>x</v>
          </cell>
          <cell r="N2464" t="str">
            <v>LAF2527</v>
          </cell>
          <cell r="O2464" t="str">
            <v>Panel Air Filter Metal Framed</v>
          </cell>
        </row>
        <row r="2465">
          <cell r="K2465" t="str">
            <v>LAF1788</v>
          </cell>
          <cell r="L2465" t="str">
            <v>HD</v>
          </cell>
          <cell r="M2465" t="str">
            <v>x</v>
          </cell>
          <cell r="N2465" t="e">
            <v>#N/A</v>
          </cell>
          <cell r="O2465" t="str">
            <v>Panel Air Filter Metal Framed</v>
          </cell>
        </row>
        <row r="2466">
          <cell r="K2466" t="str">
            <v>LAF1896</v>
          </cell>
          <cell r="L2466" t="str">
            <v>HD</v>
          </cell>
          <cell r="M2466" t="str">
            <v>x</v>
          </cell>
          <cell r="N2466" t="e">
            <v>#N/A</v>
          </cell>
          <cell r="O2466" t="str">
            <v>Panel Air Filter Metal Framed</v>
          </cell>
        </row>
        <row r="2467">
          <cell r="K2467" t="str">
            <v>LAF22053</v>
          </cell>
          <cell r="L2467" t="str">
            <v>HD</v>
          </cell>
          <cell r="M2467" t="str">
            <v>x</v>
          </cell>
          <cell r="N2467" t="e">
            <v>#N/A</v>
          </cell>
          <cell r="O2467" t="str">
            <v>Panel Air Filter Metal Framed</v>
          </cell>
        </row>
        <row r="2468">
          <cell r="K2468" t="str">
            <v>LAF4164</v>
          </cell>
          <cell r="L2468" t="str">
            <v>HD</v>
          </cell>
          <cell r="M2468" t="str">
            <v>x</v>
          </cell>
          <cell r="N2468" t="e">
            <v>#N/A</v>
          </cell>
          <cell r="O2468" t="str">
            <v>Panel Air Filter Metal Framed</v>
          </cell>
        </row>
        <row r="2469">
          <cell r="K2469" t="str">
            <v>LAF1351</v>
          </cell>
          <cell r="L2469" t="str">
            <v>HD</v>
          </cell>
          <cell r="M2469" t="str">
            <v>x</v>
          </cell>
          <cell r="N2469" t="e">
            <v>#N/A</v>
          </cell>
          <cell r="O2469" t="str">
            <v>Panel Air Filter Metal Framed</v>
          </cell>
        </row>
        <row r="2470">
          <cell r="K2470" t="str">
            <v>LAF1897</v>
          </cell>
          <cell r="L2470" t="str">
            <v>HD</v>
          </cell>
          <cell r="M2470" t="str">
            <v>x</v>
          </cell>
          <cell r="N2470" t="e">
            <v>#N/A</v>
          </cell>
          <cell r="O2470" t="str">
            <v>Panel Air Filter Metal Framed</v>
          </cell>
        </row>
        <row r="2471">
          <cell r="K2471" t="str">
            <v>LAF8775</v>
          </cell>
          <cell r="L2471" t="str">
            <v>HD</v>
          </cell>
          <cell r="M2471" t="str">
            <v>x</v>
          </cell>
          <cell r="N2471" t="e">
            <v>#N/A</v>
          </cell>
          <cell r="O2471" t="str">
            <v>Panel Air Filter Metal Framed</v>
          </cell>
        </row>
        <row r="2472">
          <cell r="K2472" t="str">
            <v>LAF1792</v>
          </cell>
          <cell r="L2472" t="str">
            <v>HD</v>
          </cell>
          <cell r="M2472" t="str">
            <v>x</v>
          </cell>
          <cell r="N2472" t="e">
            <v>#N/A</v>
          </cell>
          <cell r="O2472" t="str">
            <v>Panel Air Filter Metal Framed</v>
          </cell>
        </row>
        <row r="2473">
          <cell r="K2473" t="str">
            <v>LAF1797</v>
          </cell>
          <cell r="L2473" t="str">
            <v>HD</v>
          </cell>
          <cell r="M2473" t="str">
            <v>x</v>
          </cell>
          <cell r="N2473" t="e">
            <v>#N/A</v>
          </cell>
          <cell r="O2473" t="str">
            <v>Panel Air Filter Metal Framed</v>
          </cell>
        </row>
        <row r="2474">
          <cell r="K2474" t="str">
            <v>LAF8697</v>
          </cell>
          <cell r="L2474" t="str">
            <v>HD</v>
          </cell>
          <cell r="M2474" t="str">
            <v>x</v>
          </cell>
          <cell r="N2474" t="e">
            <v>#N/A</v>
          </cell>
          <cell r="O2474" t="str">
            <v>Panel Air Filter</v>
          </cell>
        </row>
        <row r="2475">
          <cell r="K2475" t="str">
            <v>LAF8348</v>
          </cell>
          <cell r="L2475" t="str">
            <v>HD</v>
          </cell>
          <cell r="M2475" t="str">
            <v>x</v>
          </cell>
          <cell r="N2475" t="e">
            <v>#N/A</v>
          </cell>
          <cell r="O2475" t="str">
            <v>Panel Air Filter</v>
          </cell>
        </row>
        <row r="2476">
          <cell r="K2476" t="str">
            <v>PACK</v>
          </cell>
          <cell r="L2476" t="str">
            <v>HD</v>
          </cell>
          <cell r="M2476" t="str">
            <v>x</v>
          </cell>
          <cell r="N2476" t="e">
            <v>#N/A</v>
          </cell>
          <cell r="O2476" t="str">
            <v>Pack Support/363-C</v>
          </cell>
        </row>
        <row r="2477">
          <cell r="K2477">
            <v>4783</v>
          </cell>
          <cell r="L2477" t="str">
            <v>HD</v>
          </cell>
          <cell r="M2477" t="str">
            <v>x</v>
          </cell>
          <cell r="N2477" t="e">
            <v>#N/A</v>
          </cell>
          <cell r="O2477" t="str">
            <v>Pack Support Plate/500-C, 750-C</v>
          </cell>
        </row>
        <row r="2478">
          <cell r="K2478" t="str">
            <v>PACK</v>
          </cell>
          <cell r="L2478" t="str">
            <v>HD</v>
          </cell>
          <cell r="M2478" t="str">
            <v>x</v>
          </cell>
          <cell r="N2478" t="e">
            <v>#N/A</v>
          </cell>
          <cell r="O2478" t="str">
            <v>Pack Support Cup/500-CT, 750-CT (Inverted Units)</v>
          </cell>
        </row>
        <row r="2479">
          <cell r="K2479">
            <v>3248</v>
          </cell>
          <cell r="L2479" t="str">
            <v>HD</v>
          </cell>
          <cell r="M2479" t="str">
            <v>x</v>
          </cell>
          <cell r="N2479" t="e">
            <v>#N/A</v>
          </cell>
          <cell r="O2479" t="str">
            <v>Pack Support Cup/500-C, 750-C (Inverted Units)</v>
          </cell>
        </row>
        <row r="2480">
          <cell r="K2480" t="str">
            <v>5555</v>
          </cell>
          <cell r="L2480" t="str">
            <v>HD</v>
          </cell>
          <cell r="M2480" t="str">
            <v>x</v>
          </cell>
          <cell r="N2480" t="e">
            <v>#N/A</v>
          </cell>
          <cell r="O2480" t="str">
            <v>Pack Hold-down Assembly w/Thermostat/500-CT, 750-CT</v>
          </cell>
        </row>
        <row r="2481">
          <cell r="K2481" t="str">
            <v>3257</v>
          </cell>
          <cell r="L2481" t="str">
            <v>HD</v>
          </cell>
          <cell r="M2481" t="str">
            <v>x</v>
          </cell>
          <cell r="N2481" t="e">
            <v>#N/A</v>
          </cell>
          <cell r="O2481" t="str">
            <v>Pack Hold Down Assembly/750-C (Inverted Unit)</v>
          </cell>
        </row>
        <row r="2482">
          <cell r="K2482" t="str">
            <v>32576</v>
          </cell>
          <cell r="L2482" t="str">
            <v>HD</v>
          </cell>
          <cell r="M2482" t="str">
            <v>x</v>
          </cell>
          <cell r="N2482" t="e">
            <v>#N/A</v>
          </cell>
          <cell r="O2482" t="str">
            <v>Pack Hold Down Assembly w/#6 Orifice/500-C (Inverted Units)</v>
          </cell>
        </row>
        <row r="2483">
          <cell r="K2483" t="str">
            <v>LAF5604</v>
          </cell>
          <cell r="L2483" t="str">
            <v>HD</v>
          </cell>
          <cell r="M2483" t="str">
            <v>x</v>
          </cell>
          <cell r="N2483" t="e">
            <v>#N/A</v>
          </cell>
          <cell r="O2483" t="str">
            <v>Oval Air Filter</v>
          </cell>
        </row>
        <row r="2484">
          <cell r="K2484" t="str">
            <v>LAF22046</v>
          </cell>
          <cell r="L2484" t="str">
            <v>HD</v>
          </cell>
          <cell r="M2484" t="str">
            <v>x</v>
          </cell>
          <cell r="N2484" t="e">
            <v>#N/A</v>
          </cell>
          <cell r="O2484" t="str">
            <v>Oval Air Filter</v>
          </cell>
        </row>
        <row r="2485">
          <cell r="K2485" t="str">
            <v>OUTLET</v>
          </cell>
          <cell r="L2485" t="str">
            <v>HD</v>
          </cell>
          <cell r="M2485" t="str">
            <v>x</v>
          </cell>
          <cell r="N2485" t="e">
            <v>#N/A</v>
          </cell>
          <cell r="O2485" t="str">
            <v>Outlet Tube/750-3C</v>
          </cell>
        </row>
        <row r="2486">
          <cell r="K2486" t="str">
            <v>OUTLET</v>
          </cell>
          <cell r="L2486" t="str">
            <v>HD</v>
          </cell>
          <cell r="M2486" t="str">
            <v>x</v>
          </cell>
          <cell r="N2486" t="e">
            <v>#N/A</v>
          </cell>
          <cell r="O2486" t="str">
            <v>Outlet Tube/750-2C</v>
          </cell>
        </row>
        <row r="2487">
          <cell r="K2487" t="str">
            <v>OUTLT</v>
          </cell>
          <cell r="L2487" t="str">
            <v>HD</v>
          </cell>
          <cell r="M2487" t="str">
            <v>x</v>
          </cell>
          <cell r="N2487" t="e">
            <v>#N/A</v>
          </cell>
          <cell r="O2487" t="str">
            <v>Outlet Tube and Nut Assembly w/Bleeder/750-CT (Inverted Units)</v>
          </cell>
        </row>
        <row r="2488">
          <cell r="K2488" t="str">
            <v>O/T</v>
          </cell>
          <cell r="L2488" t="str">
            <v>HD</v>
          </cell>
          <cell r="M2488" t="str">
            <v>x</v>
          </cell>
          <cell r="N2488" t="e">
            <v>#N/A</v>
          </cell>
          <cell r="O2488" t="str">
            <v>Outlet Tube and Nut Assembly w/Bleeder/500-CT (Inverted Units)</v>
          </cell>
        </row>
        <row r="2489">
          <cell r="K2489" t="str">
            <v>O/T</v>
          </cell>
          <cell r="L2489" t="str">
            <v>HD</v>
          </cell>
          <cell r="M2489" t="str">
            <v>x</v>
          </cell>
          <cell r="N2489" t="e">
            <v>#N/A</v>
          </cell>
          <cell r="O2489" t="str">
            <v>Outlet Tube and Nut Assembly (Std.)/750-CT</v>
          </cell>
        </row>
        <row r="2490">
          <cell r="K2490" t="str">
            <v>O/T</v>
          </cell>
          <cell r="L2490" t="str">
            <v>HD</v>
          </cell>
          <cell r="M2490" t="str">
            <v>x</v>
          </cell>
          <cell r="N2490" t="e">
            <v>#N/A</v>
          </cell>
          <cell r="O2490" t="str">
            <v>Outlet Tube and Nut Assembly (Std.)/500-CT</v>
          </cell>
        </row>
        <row r="2491">
          <cell r="K2491" t="str">
            <v>750</v>
          </cell>
          <cell r="L2491" t="str">
            <v>HD</v>
          </cell>
          <cell r="M2491" t="str">
            <v>x</v>
          </cell>
          <cell r="N2491" t="e">
            <v>#N/A</v>
          </cell>
          <cell r="O2491" t="str">
            <v>Outlet Tube &amp; Nut Assembly w/Bleeder/750-C (Inverted Unit)</v>
          </cell>
        </row>
        <row r="2492">
          <cell r="K2492" t="str">
            <v>O/T</v>
          </cell>
          <cell r="L2492" t="str">
            <v>HD</v>
          </cell>
          <cell r="M2492" t="str">
            <v>x</v>
          </cell>
          <cell r="N2492" t="e">
            <v>#N/A</v>
          </cell>
          <cell r="O2492" t="str">
            <v>Outlet Tube &amp; Nut Assembly w/Bleeder/500-C (Inverted Units)</v>
          </cell>
        </row>
        <row r="2493">
          <cell r="K2493" t="str">
            <v>O/T</v>
          </cell>
          <cell r="L2493" t="str">
            <v>HD</v>
          </cell>
          <cell r="M2493" t="str">
            <v>x</v>
          </cell>
          <cell r="N2493" t="e">
            <v>#N/A</v>
          </cell>
          <cell r="O2493" t="str">
            <v>Outlet Tube &amp; Nut Assembly (Std.)/750-B, C</v>
          </cell>
        </row>
        <row r="2494">
          <cell r="K2494" t="str">
            <v>O/T</v>
          </cell>
          <cell r="L2494" t="str">
            <v>HD</v>
          </cell>
          <cell r="M2494" t="str">
            <v>x</v>
          </cell>
          <cell r="N2494" t="e">
            <v>#N/A</v>
          </cell>
          <cell r="O2494" t="str">
            <v>Outlet Tube &amp; Nut Assembly (Std.)/500-B &amp; C</v>
          </cell>
        </row>
        <row r="2495">
          <cell r="K2495" t="str">
            <v>OUTLET</v>
          </cell>
          <cell r="L2495" t="str">
            <v>HD</v>
          </cell>
          <cell r="M2495" t="str">
            <v>x</v>
          </cell>
          <cell r="N2495" t="e">
            <v>#N/A</v>
          </cell>
          <cell r="O2495" t="str">
            <v>Outlet Post/363-C</v>
          </cell>
        </row>
        <row r="2496">
          <cell r="K2496" t="str">
            <v>OUTLET</v>
          </cell>
          <cell r="L2496" t="str">
            <v>HD</v>
          </cell>
          <cell r="M2496" t="str">
            <v>x</v>
          </cell>
          <cell r="N2496" t="e">
            <v>#N/A</v>
          </cell>
          <cell r="O2496" t="str">
            <v>Outlet Check Valve Assembly/363-C</v>
          </cell>
        </row>
        <row r="2497">
          <cell r="K2497" t="str">
            <v>3776</v>
          </cell>
          <cell r="L2497" t="str">
            <v>HD</v>
          </cell>
          <cell r="M2497" t="str">
            <v>x</v>
          </cell>
          <cell r="N2497" t="e">
            <v>#N/A</v>
          </cell>
          <cell r="O2497" t="str">
            <v>O-Ring, Replaces Cummins 116024</v>
          </cell>
        </row>
        <row r="2498">
          <cell r="K2498">
            <v>21596</v>
          </cell>
          <cell r="L2498" t="str">
            <v>HD</v>
          </cell>
          <cell r="M2498" t="str">
            <v>x</v>
          </cell>
          <cell r="N2498" t="e">
            <v>#N/A</v>
          </cell>
          <cell r="O2498" t="str">
            <v>Orifice Plug, .101" Diameter/500-C, 750-C</v>
          </cell>
        </row>
        <row r="2499">
          <cell r="K2499">
            <v>21594</v>
          </cell>
          <cell r="L2499" t="str">
            <v>HD</v>
          </cell>
          <cell r="M2499" t="str">
            <v>x</v>
          </cell>
          <cell r="N2499" t="e">
            <v>#N/A</v>
          </cell>
          <cell r="O2499" t="str">
            <v>Orifice Plug 750C</v>
          </cell>
        </row>
        <row r="2500">
          <cell r="K2500">
            <v>21595</v>
          </cell>
          <cell r="L2500" t="str">
            <v>HD</v>
          </cell>
          <cell r="M2500" t="str">
            <v>x</v>
          </cell>
          <cell r="N2500" t="e">
            <v>#N/A</v>
          </cell>
          <cell r="O2500" t="str">
            <v>Orifice Plug 750C</v>
          </cell>
        </row>
        <row r="2501">
          <cell r="K2501">
            <v>130612</v>
          </cell>
          <cell r="L2501" t="str">
            <v>HD</v>
          </cell>
          <cell r="M2501" t="str">
            <v>x</v>
          </cell>
          <cell r="N2501" t="e">
            <v>#N/A</v>
          </cell>
          <cell r="O2501" t="str">
            <v>ORIFICE 12/64</v>
          </cell>
        </row>
        <row r="2502">
          <cell r="K2502">
            <v>130610</v>
          </cell>
          <cell r="L2502" t="str">
            <v>HD</v>
          </cell>
          <cell r="M2502" t="str">
            <v>x</v>
          </cell>
          <cell r="N2502" t="e">
            <v>#N/A</v>
          </cell>
          <cell r="O2502" t="str">
            <v>ORIFICE 10/64</v>
          </cell>
        </row>
        <row r="2503">
          <cell r="K2503">
            <v>215993</v>
          </cell>
          <cell r="L2503" t="str">
            <v>HD</v>
          </cell>
          <cell r="M2503" t="str">
            <v>x</v>
          </cell>
          <cell r="N2503" t="e">
            <v>#N/A</v>
          </cell>
          <cell r="O2503" t="str">
            <v>ORIFICE .093</v>
          </cell>
        </row>
        <row r="2504">
          <cell r="K2504" t="str">
            <v>4330</v>
          </cell>
          <cell r="L2504" t="str">
            <v>HD</v>
          </cell>
          <cell r="M2504" t="str">
            <v>x</v>
          </cell>
          <cell r="N2504" t="e">
            <v>#N/A</v>
          </cell>
          <cell r="O2504" t="str">
            <v>Oil Return Fitting/Installation Item</v>
          </cell>
        </row>
        <row r="2505">
          <cell r="K2505" t="str">
            <v>BAGGED</v>
          </cell>
          <cell r="L2505" t="str">
            <v>HD</v>
          </cell>
          <cell r="M2505" t="str">
            <v>x</v>
          </cell>
          <cell r="N2505" t="e">
            <v>#N/A</v>
          </cell>
          <cell r="O2505" t="str">
            <v>No. 8 Orifice Opening size is .125; Flow rate is 2 GPM</v>
          </cell>
        </row>
        <row r="2506">
          <cell r="K2506" t="str">
            <v>BAGGED</v>
          </cell>
          <cell r="L2506" t="str">
            <v>HD</v>
          </cell>
          <cell r="M2506" t="str">
            <v>x</v>
          </cell>
          <cell r="N2506" t="e">
            <v>#N/A</v>
          </cell>
          <cell r="O2506" t="str">
            <v>No. 6 Orifice Opening size is .100; Flow rate is 1.5 GPM</v>
          </cell>
        </row>
        <row r="2507">
          <cell r="K2507" t="str">
            <v>BAGGED</v>
          </cell>
          <cell r="L2507" t="str">
            <v>HD</v>
          </cell>
          <cell r="M2507" t="str">
            <v>x</v>
          </cell>
          <cell r="N2507" t="e">
            <v>#N/A</v>
          </cell>
          <cell r="O2507" t="str">
            <v>No. 5 Orifice Opening size is .078; Flow rate is .8 GPM</v>
          </cell>
        </row>
        <row r="2508">
          <cell r="K2508" t="str">
            <v>LAF1845MXM</v>
          </cell>
          <cell r="L2508" t="str">
            <v>HD</v>
          </cell>
          <cell r="M2508" t="str">
            <v>x</v>
          </cell>
          <cell r="N2508" t="e">
            <v>#N/A</v>
          </cell>
          <cell r="O2508" t="str">
            <v>Nano Tech w/Attached boot Air Filter</v>
          </cell>
        </row>
        <row r="2509">
          <cell r="K2509" t="str">
            <v>LAF1810MXM</v>
          </cell>
          <cell r="L2509" t="str">
            <v>HD</v>
          </cell>
          <cell r="M2509" t="str">
            <v>x</v>
          </cell>
          <cell r="N2509" t="e">
            <v>#N/A</v>
          </cell>
          <cell r="O2509" t="str">
            <v>Nano Tech w/Attached boot Air Filter</v>
          </cell>
        </row>
        <row r="2510">
          <cell r="K2510" t="str">
            <v>LAF4498MXM</v>
          </cell>
          <cell r="L2510" t="str">
            <v>HD</v>
          </cell>
          <cell r="M2510" t="str">
            <v>x</v>
          </cell>
          <cell r="N2510" t="e">
            <v>#N/A</v>
          </cell>
          <cell r="O2510" t="str">
            <v>Nano Tech Radial Seal Air Filter</v>
          </cell>
        </row>
        <row r="2511">
          <cell r="K2511" t="str">
            <v>LAF5022MXM</v>
          </cell>
          <cell r="L2511" t="str">
            <v>HD</v>
          </cell>
          <cell r="M2511" t="str">
            <v>x</v>
          </cell>
          <cell r="N2511" t="e">
            <v>#N/A</v>
          </cell>
          <cell r="O2511" t="str">
            <v>Nano Tech Radial Seal Air Filter</v>
          </cell>
        </row>
        <row r="2512">
          <cell r="K2512" t="str">
            <v>LAF4509MXM</v>
          </cell>
          <cell r="L2512" t="str">
            <v>HD</v>
          </cell>
          <cell r="M2512" t="str">
            <v>x</v>
          </cell>
          <cell r="N2512" t="e">
            <v>#N/A</v>
          </cell>
          <cell r="O2512" t="str">
            <v>Nano Tech Radial Seal Air Filter</v>
          </cell>
        </row>
        <row r="2513">
          <cell r="K2513" t="str">
            <v>LAF8149MXM</v>
          </cell>
          <cell r="L2513" t="str">
            <v>HD</v>
          </cell>
          <cell r="M2513" t="str">
            <v>x</v>
          </cell>
          <cell r="N2513" t="e">
            <v>#N/A</v>
          </cell>
          <cell r="O2513" t="str">
            <v>Nano Tech Radial Seal Air Filter</v>
          </cell>
        </row>
        <row r="2514">
          <cell r="K2514" t="str">
            <v>LAF47MXM</v>
          </cell>
          <cell r="L2514" t="str">
            <v>HD</v>
          </cell>
          <cell r="M2514" t="str">
            <v>x</v>
          </cell>
          <cell r="N2514" t="e">
            <v>#N/A</v>
          </cell>
          <cell r="O2514" t="str">
            <v>Nano Tech Radial Seal Air Filter</v>
          </cell>
        </row>
        <row r="2515">
          <cell r="K2515" t="str">
            <v>LAF3535AMXM</v>
          </cell>
          <cell r="L2515" t="str">
            <v>HD</v>
          </cell>
          <cell r="M2515" t="str">
            <v>x</v>
          </cell>
          <cell r="N2515" t="e">
            <v>#N/A</v>
          </cell>
          <cell r="O2515" t="str">
            <v>Nano Tech Inside-Out Flow Direction Air Filter</v>
          </cell>
        </row>
        <row r="2516">
          <cell r="K2516" t="str">
            <v>LAF3930MXM</v>
          </cell>
          <cell r="L2516" t="str">
            <v>HD</v>
          </cell>
          <cell r="M2516" t="str">
            <v>x</v>
          </cell>
          <cell r="N2516" t="e">
            <v>#N/A</v>
          </cell>
          <cell r="O2516" t="str">
            <v>Nano Tech HD Metal-End Air Filter Outer</v>
          </cell>
        </row>
        <row r="2517">
          <cell r="K2517" t="str">
            <v>LAF4273MXM</v>
          </cell>
          <cell r="L2517" t="str">
            <v>HD</v>
          </cell>
          <cell r="M2517" t="str">
            <v>x</v>
          </cell>
          <cell r="N2517" t="e">
            <v>#N/A</v>
          </cell>
          <cell r="O2517" t="str">
            <v>Nano Tech HD Metal-End Air Filter Outer</v>
          </cell>
        </row>
        <row r="2518">
          <cell r="K2518" t="str">
            <v>LAF334MXM</v>
          </cell>
          <cell r="L2518" t="str">
            <v>HD</v>
          </cell>
          <cell r="M2518" t="str">
            <v>x</v>
          </cell>
          <cell r="N2518" t="e">
            <v>#N/A</v>
          </cell>
          <cell r="O2518" t="str">
            <v xml:space="preserve">Nano Tech HD Metal-End Air Filter </v>
          </cell>
        </row>
        <row r="2519">
          <cell r="K2519" t="str">
            <v>LAF1465MXM</v>
          </cell>
          <cell r="L2519" t="str">
            <v>HD</v>
          </cell>
          <cell r="M2519" t="str">
            <v>x</v>
          </cell>
          <cell r="N2519" t="e">
            <v>#N/A</v>
          </cell>
          <cell r="O2519" t="str">
            <v>Nano Tech HD Metal End Air Filter</v>
          </cell>
        </row>
        <row r="2520">
          <cell r="K2520" t="str">
            <v>LAF6127MXM</v>
          </cell>
          <cell r="L2520" t="str">
            <v>HD</v>
          </cell>
          <cell r="M2520" t="str">
            <v>x</v>
          </cell>
          <cell r="N2520" t="e">
            <v>#N/A</v>
          </cell>
          <cell r="O2520" t="str">
            <v>Nano Tech Air Filter w/Attached boot</v>
          </cell>
        </row>
        <row r="2521">
          <cell r="K2521" t="str">
            <v>LAF5069MXM</v>
          </cell>
          <cell r="L2521" t="str">
            <v>HD</v>
          </cell>
          <cell r="M2521" t="str">
            <v>x</v>
          </cell>
          <cell r="N2521" t="e">
            <v>#N/A</v>
          </cell>
          <cell r="O2521" t="str">
            <v>Nano Tech Air Filter w/Attached boot</v>
          </cell>
        </row>
        <row r="2522">
          <cell r="K2522" t="str">
            <v>LAF6632MXM</v>
          </cell>
          <cell r="L2522" t="str">
            <v>HD</v>
          </cell>
          <cell r="M2522" t="str">
            <v>x</v>
          </cell>
          <cell r="N2522" t="e">
            <v>#N/A</v>
          </cell>
          <cell r="O2522" t="str">
            <v xml:space="preserve">Nano Tech Air Filter HD Metal-End </v>
          </cell>
        </row>
        <row r="2523">
          <cell r="K2523" t="str">
            <v>LAF7413MXM</v>
          </cell>
          <cell r="L2523" t="str">
            <v>HD</v>
          </cell>
          <cell r="M2523" t="str">
            <v>x</v>
          </cell>
          <cell r="N2523" t="e">
            <v>#N/A</v>
          </cell>
          <cell r="O2523" t="str">
            <v xml:space="preserve">Nano Tech Air Filter HD Metal-End </v>
          </cell>
        </row>
        <row r="2524">
          <cell r="K2524" t="str">
            <v>LAF8483MXM</v>
          </cell>
          <cell r="L2524" t="str">
            <v>HD</v>
          </cell>
          <cell r="M2524" t="str">
            <v>x</v>
          </cell>
          <cell r="N2524" t="e">
            <v>#N/A</v>
          </cell>
          <cell r="O2524" t="str">
            <v xml:space="preserve">Nano Tech Air Filter HD Metal-End </v>
          </cell>
        </row>
        <row r="2525">
          <cell r="K2525" t="str">
            <v>MTG</v>
          </cell>
          <cell r="L2525" t="str">
            <v>HD</v>
          </cell>
          <cell r="M2525" t="str">
            <v>x</v>
          </cell>
          <cell r="N2525" t="e">
            <v>#N/A</v>
          </cell>
          <cell r="O2525" t="str">
            <v>Mounting Brkt. Assembly (2 Req.)/500-C, CT, 970-C (1 Brkt., 1 Band), Black/500-C, 750-C, CT</v>
          </cell>
        </row>
        <row r="2526">
          <cell r="K2526" t="str">
            <v>MOUNTING</v>
          </cell>
          <cell r="L2526" t="str">
            <v>HD</v>
          </cell>
          <cell r="M2526" t="str">
            <v>x</v>
          </cell>
          <cell r="N2526" t="e">
            <v>#N/A</v>
          </cell>
          <cell r="O2526" t="str">
            <v>Mounting Bracket Kit--Nuts &amp; Bolts/272C, 363C, 500C, 750C</v>
          </cell>
        </row>
        <row r="2527">
          <cell r="K2527" t="str">
            <v>BKT</v>
          </cell>
          <cell r="L2527" t="str">
            <v>HD</v>
          </cell>
          <cell r="M2527" t="str">
            <v>x</v>
          </cell>
          <cell r="N2527" t="e">
            <v>#N/A</v>
          </cell>
          <cell r="O2527" t="str">
            <v>Mounting Bracket Assembly (2 Req.)/500-C, 750-C, CT, 970-C (1Brkt, 1 Band)</v>
          </cell>
        </row>
        <row r="2528">
          <cell r="K2528" t="str">
            <v>LBR22147</v>
          </cell>
          <cell r="L2528" t="str">
            <v>HD</v>
          </cell>
          <cell r="M2528" t="str">
            <v>x</v>
          </cell>
          <cell r="N2528" t="e">
            <v>#N/A</v>
          </cell>
          <cell r="O2528" t="str">
            <v>Mounting Band</v>
          </cell>
        </row>
        <row r="2529">
          <cell r="K2529" t="str">
            <v>200</v>
          </cell>
          <cell r="L2529" t="str">
            <v>HD</v>
          </cell>
          <cell r="M2529" t="str">
            <v>x</v>
          </cell>
          <cell r="N2529" t="e">
            <v>#N/A</v>
          </cell>
          <cell r="O2529" t="str">
            <v>Microcell w/Rice Hulls/200S</v>
          </cell>
        </row>
        <row r="2530">
          <cell r="K2530" t="str">
            <v>200</v>
          </cell>
          <cell r="L2530" t="str">
            <v>HD</v>
          </cell>
          <cell r="M2530" t="str">
            <v>x</v>
          </cell>
          <cell r="N2530" t="e">
            <v>#N/A</v>
          </cell>
          <cell r="O2530" t="str">
            <v>Microcell w/Rice Hulls/200S</v>
          </cell>
        </row>
        <row r="2531">
          <cell r="K2531" t="str">
            <v>PKGD</v>
          </cell>
          <cell r="L2531" t="str">
            <v>HD</v>
          </cell>
          <cell r="M2531" t="str">
            <v>x</v>
          </cell>
          <cell r="N2531" t="e">
            <v>#N/A</v>
          </cell>
          <cell r="O2531" t="str">
            <v>Microcell Unit w/Floor Base &amp; Filter Pack/750-3C</v>
          </cell>
        </row>
        <row r="2532">
          <cell r="K2532" t="str">
            <v>PKGD</v>
          </cell>
          <cell r="L2532" t="str">
            <v>HD</v>
          </cell>
          <cell r="M2532" t="str">
            <v>x</v>
          </cell>
          <cell r="N2532" t="e">
            <v>#N/A</v>
          </cell>
          <cell r="O2532" t="str">
            <v>Microcell Unit w/Floor Base &amp; Filter Pack/750-2C</v>
          </cell>
        </row>
        <row r="2533">
          <cell r="K2533" t="str">
            <v>272</v>
          </cell>
          <cell r="L2533" t="str">
            <v>HD</v>
          </cell>
          <cell r="M2533" t="str">
            <v>x</v>
          </cell>
          <cell r="N2533" t="e">
            <v>#N/A</v>
          </cell>
          <cell r="O2533" t="str">
            <v>Microcell Hydropack/272C Filter</v>
          </cell>
        </row>
        <row r="2534">
          <cell r="K2534" t="str">
            <v>272</v>
          </cell>
          <cell r="L2534" t="str">
            <v>HD</v>
          </cell>
          <cell r="M2534" t="str">
            <v>x</v>
          </cell>
          <cell r="N2534" t="e">
            <v>#N/A</v>
          </cell>
          <cell r="O2534" t="str">
            <v>Microcell Filter Hydropack/272C Filter</v>
          </cell>
        </row>
        <row r="2535">
          <cell r="K2535" t="str">
            <v>LAF7092</v>
          </cell>
          <cell r="L2535" t="str">
            <v>HD</v>
          </cell>
          <cell r="M2535" t="str">
            <v>x</v>
          </cell>
          <cell r="N2535" t="e">
            <v>#N/A</v>
          </cell>
          <cell r="O2535" t="str">
            <v>Metal-End Air Filter with Closed Top End Cap</v>
          </cell>
        </row>
        <row r="2536">
          <cell r="K2536" t="str">
            <v>LK281MB</v>
          </cell>
          <cell r="L2536" t="str">
            <v>HD</v>
          </cell>
          <cell r="M2536" t="str">
            <v>x</v>
          </cell>
          <cell r="N2536" t="e">
            <v>#N/A</v>
          </cell>
          <cell r="O2536" t="str">
            <v>Mercedes Benz Engine Maintenance Kit</v>
          </cell>
        </row>
        <row r="2537">
          <cell r="K2537" t="str">
            <v>LK323DF</v>
          </cell>
          <cell r="L2537" t="str">
            <v>HD</v>
          </cell>
          <cell r="M2537" t="str">
            <v>x</v>
          </cell>
          <cell r="N2537" t="e">
            <v>#N/A</v>
          </cell>
          <cell r="O2537" t="str">
            <v>Mercedes Benz Engine Maintenance Kit</v>
          </cell>
        </row>
        <row r="2538">
          <cell r="K2538" t="str">
            <v>LK324DF</v>
          </cell>
          <cell r="L2538" t="str">
            <v>HD</v>
          </cell>
          <cell r="M2538" t="str">
            <v>x</v>
          </cell>
          <cell r="N2538" t="e">
            <v>#N/A</v>
          </cell>
          <cell r="O2538" t="str">
            <v>Mercedes Benz Engine Maintenance Kit</v>
          </cell>
        </row>
        <row r="2539">
          <cell r="K2539" t="str">
            <v>LK358DF</v>
          </cell>
          <cell r="L2539" t="str">
            <v>HD</v>
          </cell>
          <cell r="M2539" t="str">
            <v>x</v>
          </cell>
          <cell r="N2539" t="e">
            <v>#N/A</v>
          </cell>
          <cell r="O2539" t="str">
            <v>Mercedes Benz Engine Maintenance Kit</v>
          </cell>
        </row>
        <row r="2540">
          <cell r="K2540" t="str">
            <v>LK346M</v>
          </cell>
          <cell r="L2540" t="str">
            <v>HD</v>
          </cell>
          <cell r="M2540" t="str">
            <v>x</v>
          </cell>
          <cell r="N2540" t="e">
            <v>#N/A</v>
          </cell>
          <cell r="O2540" t="str">
            <v>Mack Engine Maintenance Kit</v>
          </cell>
        </row>
        <row r="2541">
          <cell r="K2541" t="str">
            <v>LK293M</v>
          </cell>
          <cell r="L2541" t="str">
            <v>HD</v>
          </cell>
          <cell r="M2541" t="str">
            <v>x</v>
          </cell>
          <cell r="N2541" t="e">
            <v>#N/A</v>
          </cell>
          <cell r="O2541" t="str">
            <v>Mack Engine Maintenance Kit</v>
          </cell>
        </row>
        <row r="2542">
          <cell r="K2542" t="str">
            <v>LK333DF</v>
          </cell>
          <cell r="L2542" t="str">
            <v>HD</v>
          </cell>
          <cell r="M2542" t="str">
            <v>x</v>
          </cell>
          <cell r="N2542" t="e">
            <v>#N/A</v>
          </cell>
          <cell r="O2542" t="str">
            <v>Mack Engine Maintenance Kit</v>
          </cell>
        </row>
        <row r="2543">
          <cell r="K2543" t="str">
            <v>LK334DF</v>
          </cell>
          <cell r="L2543" t="str">
            <v>HD</v>
          </cell>
          <cell r="M2543" t="str">
            <v>x</v>
          </cell>
          <cell r="N2543" t="e">
            <v>#N/A</v>
          </cell>
          <cell r="O2543" t="str">
            <v>Mack Engine Maintenance Kit</v>
          </cell>
        </row>
        <row r="2544">
          <cell r="K2544" t="str">
            <v>LK332DF</v>
          </cell>
          <cell r="L2544" t="str">
            <v>HD</v>
          </cell>
          <cell r="M2544" t="str">
            <v>x</v>
          </cell>
          <cell r="N2544" t="e">
            <v>#N/A</v>
          </cell>
          <cell r="O2544" t="str">
            <v>Mack Engine Maintenance Kit</v>
          </cell>
        </row>
        <row r="2545">
          <cell r="K2545" t="str">
            <v>LK353M</v>
          </cell>
          <cell r="L2545" t="str">
            <v>HD</v>
          </cell>
          <cell r="M2545" t="str">
            <v>x</v>
          </cell>
          <cell r="N2545" t="e">
            <v>#N/A</v>
          </cell>
          <cell r="O2545" t="str">
            <v>Mack Engine Maintenance Kit</v>
          </cell>
        </row>
        <row r="2546">
          <cell r="K2546" t="str">
            <v>LK2M</v>
          </cell>
          <cell r="L2546" t="str">
            <v>HD</v>
          </cell>
          <cell r="M2546" t="str">
            <v>x</v>
          </cell>
          <cell r="N2546" t="e">
            <v>#N/A</v>
          </cell>
          <cell r="O2546" t="str">
            <v>Mack Engine Maintenance Kit</v>
          </cell>
        </row>
        <row r="2547">
          <cell r="K2547" t="str">
            <v>78</v>
          </cell>
          <cell r="L2547" t="str">
            <v>HD</v>
          </cell>
          <cell r="M2547" t="str">
            <v>x</v>
          </cell>
          <cell r="N2547" t="e">
            <v>#N/A</v>
          </cell>
          <cell r="O2547" t="str">
            <v>Luber-finer model 78 diesel pak detergent type oil filter</v>
          </cell>
        </row>
        <row r="2548">
          <cell r="K2548" t="str">
            <v>155/170</v>
          </cell>
          <cell r="L2548" t="str">
            <v>HD</v>
          </cell>
          <cell r="M2548" t="str">
            <v>x</v>
          </cell>
          <cell r="N2548" t="e">
            <v>#N/A</v>
          </cell>
          <cell r="O2548" t="str">
            <v>Luber-finer F170 diesel fuel filter refining pak</v>
          </cell>
        </row>
        <row r="2549">
          <cell r="K2549">
            <v>120</v>
          </cell>
          <cell r="L2549" t="str">
            <v>HD</v>
          </cell>
          <cell r="M2549" t="str">
            <v>x</v>
          </cell>
          <cell r="N2549" t="e">
            <v>#N/A</v>
          </cell>
          <cell r="O2549" t="str">
            <v>Luber-finer F-120 diesel fuel filter refining pak</v>
          </cell>
        </row>
        <row r="2550">
          <cell r="K2550">
            <v>500</v>
          </cell>
          <cell r="L2550" t="str">
            <v>HD</v>
          </cell>
          <cell r="M2550" t="str">
            <v>x</v>
          </cell>
          <cell r="N2550" t="e">
            <v>#N/A</v>
          </cell>
          <cell r="O2550" t="str">
            <v>Luber-finer 500 Series, Imperial II (single element filter) detergent type lube oil. (4 pack case) Filter</v>
          </cell>
        </row>
        <row r="2551">
          <cell r="K2551">
            <v>970</v>
          </cell>
          <cell r="L2551" t="str">
            <v>HD</v>
          </cell>
          <cell r="M2551" t="str">
            <v>x</v>
          </cell>
          <cell r="N2551" t="e">
            <v>#N/A</v>
          </cell>
          <cell r="O2551" t="str">
            <v>Lower housing Assembly/970-C</v>
          </cell>
        </row>
        <row r="2552">
          <cell r="K2552" t="str">
            <v>750</v>
          </cell>
          <cell r="L2552" t="str">
            <v>HD</v>
          </cell>
          <cell r="M2552" t="str">
            <v>x</v>
          </cell>
          <cell r="N2552" t="e">
            <v>#N/A</v>
          </cell>
          <cell r="O2552" t="str">
            <v>LF750 refining pak-synthetic fluid or solvent filtration</v>
          </cell>
        </row>
        <row r="2553">
          <cell r="K2553" t="str">
            <v>750</v>
          </cell>
          <cell r="L2553" t="str">
            <v>HD</v>
          </cell>
          <cell r="M2553" t="str">
            <v>x</v>
          </cell>
          <cell r="N2553" t="e">
            <v>#N/A</v>
          </cell>
          <cell r="O2553" t="str">
            <v>LF750 refining pak filter for H20 base hydraulic fluids</v>
          </cell>
        </row>
        <row r="2554">
          <cell r="K2554" t="str">
            <v>750</v>
          </cell>
          <cell r="L2554" t="str">
            <v>HD</v>
          </cell>
          <cell r="M2554" t="str">
            <v>x</v>
          </cell>
          <cell r="N2554" t="e">
            <v>#N/A</v>
          </cell>
          <cell r="O2554" t="str">
            <v>LF750 microcell pak-filtration of clear, synthetic fluids or solvents</v>
          </cell>
        </row>
        <row r="2555">
          <cell r="K2555" t="str">
            <v>500</v>
          </cell>
          <cell r="L2555" t="str">
            <v>HD</v>
          </cell>
          <cell r="M2555" t="str">
            <v>x</v>
          </cell>
          <cell r="N2555" t="e">
            <v>#N/A</v>
          </cell>
          <cell r="O2555" t="str">
            <v>LF500 Microcell-Same application as 2764</v>
          </cell>
        </row>
        <row r="2556">
          <cell r="K2556" t="str">
            <v>500</v>
          </cell>
          <cell r="L2556" t="str">
            <v>HD</v>
          </cell>
          <cell r="M2556" t="str">
            <v>x</v>
          </cell>
          <cell r="N2556" t="e">
            <v>#N/A</v>
          </cell>
          <cell r="O2556" t="str">
            <v>LF500 Microcell Same applications as 2763</v>
          </cell>
        </row>
        <row r="2557">
          <cell r="K2557" t="str">
            <v>LDFTK-IQ</v>
          </cell>
          <cell r="L2557" t="str">
            <v>HD</v>
          </cell>
          <cell r="M2557" t="str">
            <v>x</v>
          </cell>
          <cell r="N2557" t="e">
            <v>#N/A</v>
          </cell>
          <cell r="O2557" t="str">
            <v>L-F DIESEL FUEL ANALYSIS KIT</v>
          </cell>
        </row>
        <row r="2558">
          <cell r="K2558" t="str">
            <v>500CT</v>
          </cell>
          <cell r="L2558" t="str">
            <v>HD</v>
          </cell>
          <cell r="M2558" t="str">
            <v>x</v>
          </cell>
          <cell r="N2558" t="e">
            <v>#N/A</v>
          </cell>
          <cell r="O2558" t="str">
            <v>Inverted Diesel Unit w/Imperial Filter Pack/500-C</v>
          </cell>
        </row>
        <row r="2559">
          <cell r="K2559" t="str">
            <v>750CT</v>
          </cell>
          <cell r="L2559" t="str">
            <v>HD</v>
          </cell>
          <cell r="M2559" t="str">
            <v>x</v>
          </cell>
          <cell r="N2559" t="e">
            <v>#N/A</v>
          </cell>
          <cell r="O2559" t="str">
            <v>INVERTED 750C</v>
          </cell>
        </row>
        <row r="2560">
          <cell r="K2560" t="str">
            <v>LK309DF</v>
          </cell>
          <cell r="L2560" t="str">
            <v>HD</v>
          </cell>
          <cell r="M2560" t="str">
            <v>x</v>
          </cell>
          <cell r="N2560" t="e">
            <v>#N/A</v>
          </cell>
          <cell r="O2560" t="str">
            <v>International Engine Maintenance Kit</v>
          </cell>
        </row>
        <row r="2561">
          <cell r="K2561" t="str">
            <v>LK308DF</v>
          </cell>
          <cell r="L2561" t="str">
            <v>HD</v>
          </cell>
          <cell r="M2561" t="str">
            <v>x</v>
          </cell>
          <cell r="N2561" t="e">
            <v>#N/A</v>
          </cell>
          <cell r="O2561" t="str">
            <v>International Engine Maintenance Kit</v>
          </cell>
        </row>
        <row r="2562">
          <cell r="K2562" t="str">
            <v>LK248I</v>
          </cell>
          <cell r="L2562" t="str">
            <v>HD</v>
          </cell>
          <cell r="M2562" t="str">
            <v>x</v>
          </cell>
          <cell r="N2562" t="e">
            <v>#N/A</v>
          </cell>
          <cell r="O2562" t="str">
            <v>International Engine Maintenance Kit</v>
          </cell>
        </row>
        <row r="2563">
          <cell r="K2563" t="str">
            <v>LK359DF</v>
          </cell>
          <cell r="L2563" t="str">
            <v>HD</v>
          </cell>
          <cell r="M2563" t="str">
            <v>x</v>
          </cell>
          <cell r="N2563" t="e">
            <v>#N/A</v>
          </cell>
          <cell r="O2563" t="str">
            <v>International Engine Maintenance Kit</v>
          </cell>
        </row>
        <row r="2564">
          <cell r="K2564" t="str">
            <v>LK318DF</v>
          </cell>
          <cell r="L2564" t="str">
            <v>HD</v>
          </cell>
          <cell r="M2564" t="str">
            <v>x</v>
          </cell>
          <cell r="N2564" t="e">
            <v>#N/A</v>
          </cell>
          <cell r="O2564" t="str">
            <v>International Engine Maintenance Kit</v>
          </cell>
        </row>
        <row r="2565">
          <cell r="K2565" t="str">
            <v>LK224I</v>
          </cell>
          <cell r="L2565" t="str">
            <v>HD</v>
          </cell>
          <cell r="M2565" t="str">
            <v>x</v>
          </cell>
          <cell r="N2565" t="e">
            <v>#N/A</v>
          </cell>
          <cell r="O2565" t="str">
            <v>International Engine Maintenance Kit</v>
          </cell>
        </row>
        <row r="2566">
          <cell r="K2566" t="str">
            <v>LK229I</v>
          </cell>
          <cell r="L2566" t="str">
            <v>HD</v>
          </cell>
          <cell r="M2566" t="str">
            <v>x</v>
          </cell>
          <cell r="N2566" t="e">
            <v>#N/A</v>
          </cell>
          <cell r="O2566" t="str">
            <v>International Engine Maintenance Kit</v>
          </cell>
        </row>
        <row r="2567">
          <cell r="K2567" t="str">
            <v>LK207I</v>
          </cell>
          <cell r="L2567" t="str">
            <v>HD</v>
          </cell>
          <cell r="M2567" t="str">
            <v>x</v>
          </cell>
          <cell r="N2567" t="e">
            <v>#N/A</v>
          </cell>
          <cell r="O2567" t="str">
            <v>International Engine Maintenance Kit</v>
          </cell>
        </row>
        <row r="2568">
          <cell r="K2568" t="str">
            <v>LK330DF</v>
          </cell>
          <cell r="L2568" t="str">
            <v>HD</v>
          </cell>
          <cell r="M2568" t="str">
            <v>x</v>
          </cell>
          <cell r="N2568" t="e">
            <v>#N/A</v>
          </cell>
          <cell r="O2568" t="str">
            <v>International Engine Maintenance Kit</v>
          </cell>
        </row>
        <row r="2569">
          <cell r="K2569" t="str">
            <v>LK206I</v>
          </cell>
          <cell r="L2569" t="str">
            <v>HD</v>
          </cell>
          <cell r="M2569" t="str">
            <v>x</v>
          </cell>
          <cell r="N2569" t="e">
            <v>#N/A</v>
          </cell>
          <cell r="O2569" t="str">
            <v>International Engine Maintenance Kit</v>
          </cell>
        </row>
        <row r="2570">
          <cell r="K2570" t="str">
            <v>LK355DF</v>
          </cell>
          <cell r="L2570" t="str">
            <v>HD</v>
          </cell>
          <cell r="M2570" t="str">
            <v>x</v>
          </cell>
          <cell r="N2570" t="e">
            <v>#N/A</v>
          </cell>
          <cell r="O2570" t="str">
            <v>International Engine Maintenance Kit</v>
          </cell>
        </row>
        <row r="2571">
          <cell r="K2571" t="str">
            <v>LK219I</v>
          </cell>
          <cell r="L2571" t="str">
            <v>HD</v>
          </cell>
          <cell r="M2571" t="str">
            <v>x</v>
          </cell>
          <cell r="N2571" t="e">
            <v>#N/A</v>
          </cell>
          <cell r="O2571" t="str">
            <v>International Engine Maintenance Kit</v>
          </cell>
        </row>
        <row r="2572">
          <cell r="K2572" t="str">
            <v>LK331DF</v>
          </cell>
          <cell r="L2572" t="str">
            <v>HD</v>
          </cell>
          <cell r="M2572" t="str">
            <v>x</v>
          </cell>
          <cell r="N2572" t="e">
            <v>#N/A</v>
          </cell>
          <cell r="O2572" t="str">
            <v>International Engine Maintenance Kit</v>
          </cell>
        </row>
        <row r="2573">
          <cell r="K2573" t="str">
            <v>LK360DF</v>
          </cell>
          <cell r="L2573" t="str">
            <v>HD</v>
          </cell>
          <cell r="M2573" t="str">
            <v>x</v>
          </cell>
          <cell r="N2573" t="e">
            <v>#N/A</v>
          </cell>
          <cell r="O2573" t="str">
            <v>International Engine Maintenance Kit</v>
          </cell>
        </row>
        <row r="2574">
          <cell r="K2574" t="str">
            <v>LK204I</v>
          </cell>
          <cell r="L2574" t="str">
            <v>HD</v>
          </cell>
          <cell r="M2574" t="str">
            <v>x</v>
          </cell>
          <cell r="N2574" t="e">
            <v>#N/A</v>
          </cell>
          <cell r="O2574" t="str">
            <v>International Engine Maintenance Kit</v>
          </cell>
        </row>
        <row r="2575">
          <cell r="K2575" t="str">
            <v>LK186I</v>
          </cell>
          <cell r="L2575" t="str">
            <v>HD</v>
          </cell>
          <cell r="M2575" t="str">
            <v>x</v>
          </cell>
          <cell r="N2575" t="e">
            <v>#N/A</v>
          </cell>
          <cell r="O2575" t="str">
            <v>International Engine Maintenance Kit</v>
          </cell>
        </row>
        <row r="2576">
          <cell r="K2576" t="str">
            <v>LK249I</v>
          </cell>
          <cell r="L2576" t="str">
            <v>HD</v>
          </cell>
          <cell r="M2576" t="str">
            <v>x</v>
          </cell>
          <cell r="N2576" t="e">
            <v>#N/A</v>
          </cell>
          <cell r="O2576" t="str">
            <v>International Engine Maintenance Kit</v>
          </cell>
        </row>
        <row r="2577">
          <cell r="K2577" t="str">
            <v>LK302DF</v>
          </cell>
          <cell r="L2577" t="str">
            <v>HD</v>
          </cell>
          <cell r="M2577" t="str">
            <v>x</v>
          </cell>
          <cell r="N2577" t="e">
            <v>#N/A</v>
          </cell>
          <cell r="O2577" t="str">
            <v>International Engine Maintenance Kit</v>
          </cell>
        </row>
        <row r="2578">
          <cell r="K2578" t="str">
            <v>LFF3944</v>
          </cell>
          <cell r="L2578" t="str">
            <v>HD</v>
          </cell>
          <cell r="M2578" t="str">
            <v>x</v>
          </cell>
          <cell r="N2578" t="e">
            <v>#N/A</v>
          </cell>
          <cell r="O2578" t="str">
            <v>In-Line Fuel Filter</v>
          </cell>
        </row>
        <row r="2579">
          <cell r="K2579" t="str">
            <v>FP886</v>
          </cell>
          <cell r="L2579" t="str">
            <v>HD</v>
          </cell>
          <cell r="M2579" t="str">
            <v>x</v>
          </cell>
          <cell r="N2579" t="e">
            <v>#N/A</v>
          </cell>
          <cell r="O2579" t="str">
            <v>In-Line Fuel Filter</v>
          </cell>
        </row>
        <row r="2580">
          <cell r="K2580" t="str">
            <v>LFF7686</v>
          </cell>
          <cell r="L2580" t="str">
            <v>HD</v>
          </cell>
          <cell r="M2580" t="str">
            <v>x</v>
          </cell>
          <cell r="N2580" t="e">
            <v>#N/A</v>
          </cell>
          <cell r="O2580" t="str">
            <v>In-Line Fuel Filter</v>
          </cell>
        </row>
        <row r="2581">
          <cell r="K2581" t="str">
            <v>SPRING</v>
          </cell>
          <cell r="L2581" t="str">
            <v>HD</v>
          </cell>
          <cell r="M2581" t="str">
            <v>x</v>
          </cell>
          <cell r="N2581" t="e">
            <v>#N/A</v>
          </cell>
          <cell r="O2581" t="str">
            <v>Inlet Valve Spring/500-B, C, 750-B, C</v>
          </cell>
        </row>
        <row r="2582">
          <cell r="K2582" t="str">
            <v>INLET</v>
          </cell>
          <cell r="L2582" t="str">
            <v>HD</v>
          </cell>
          <cell r="M2582" t="str">
            <v>x</v>
          </cell>
          <cell r="N2582" t="e">
            <v>#N/A</v>
          </cell>
          <cell r="O2582" t="str">
            <v>INLET VALVE ASSY</v>
          </cell>
        </row>
        <row r="2583">
          <cell r="K2583" t="str">
            <v>INLET</v>
          </cell>
          <cell r="L2583" t="str">
            <v>HD</v>
          </cell>
          <cell r="M2583" t="str">
            <v>x</v>
          </cell>
          <cell r="N2583" t="e">
            <v>#N/A</v>
          </cell>
          <cell r="O2583" t="str">
            <v>Inlet Valve &amp; Spring/750-2, 2C, 3, 3C</v>
          </cell>
        </row>
        <row r="2584">
          <cell r="K2584">
            <v>18866</v>
          </cell>
          <cell r="L2584" t="str">
            <v>HD</v>
          </cell>
          <cell r="M2584" t="str">
            <v>x</v>
          </cell>
          <cell r="N2584" t="e">
            <v>#N/A</v>
          </cell>
          <cell r="O2584" t="str">
            <v>Inlet Check-Valve Assembly Complete (Opt.#6 Orifice)/500-C, CT, 750-C, CT</v>
          </cell>
        </row>
        <row r="2585">
          <cell r="K2585">
            <v>18865</v>
          </cell>
          <cell r="L2585" t="str">
            <v>HD</v>
          </cell>
          <cell r="M2585" t="str">
            <v>x</v>
          </cell>
          <cell r="N2585" t="e">
            <v>#N/A</v>
          </cell>
          <cell r="O2585" t="str">
            <v>Inlet Check-Valve Assembly Complete (Opt.#5 Orifice)/500-C, CT, 750-C, CT</v>
          </cell>
        </row>
        <row r="2586">
          <cell r="K2586" t="str">
            <v>INLET</v>
          </cell>
          <cell r="L2586" t="str">
            <v>HD</v>
          </cell>
          <cell r="M2586" t="str">
            <v>x</v>
          </cell>
          <cell r="N2586" t="e">
            <v>#N/A</v>
          </cell>
          <cell r="O2586" t="str">
            <v>Inlet Check Valve Assembly/363-C</v>
          </cell>
        </row>
        <row r="2587">
          <cell r="K2587" t="str">
            <v>970C</v>
          </cell>
          <cell r="L2587" t="str">
            <v>HD</v>
          </cell>
          <cell r="M2587" t="str">
            <v>x</v>
          </cell>
          <cell r="N2587" t="e">
            <v>#N/A</v>
          </cell>
          <cell r="O2587" t="str">
            <v>Industrial Full-flow Unit w/LP970-25 Element/970-C Filter</v>
          </cell>
        </row>
        <row r="2588">
          <cell r="K2588" t="str">
            <v>LH6861V</v>
          </cell>
          <cell r="L2588" t="str">
            <v>HD</v>
          </cell>
          <cell r="M2588" t="str">
            <v>x</v>
          </cell>
          <cell r="N2588" t="e">
            <v>#N/A</v>
          </cell>
          <cell r="O2588" t="str">
            <v>Industrial Cartridge Hydraulic Filter</v>
          </cell>
        </row>
        <row r="2589">
          <cell r="K2589" t="str">
            <v>LH22063</v>
          </cell>
          <cell r="L2589" t="str">
            <v>HD</v>
          </cell>
          <cell r="M2589" t="str">
            <v>x</v>
          </cell>
          <cell r="N2589" t="e">
            <v>#N/A</v>
          </cell>
          <cell r="O2589" t="str">
            <v>Industrial Cartridge Hydraulic Filter</v>
          </cell>
        </row>
        <row r="2590">
          <cell r="K2590" t="str">
            <v>LH11018V</v>
          </cell>
          <cell r="L2590" t="str">
            <v>HD</v>
          </cell>
          <cell r="M2590" t="str">
            <v>x</v>
          </cell>
          <cell r="N2590" t="e">
            <v>#N/A</v>
          </cell>
          <cell r="O2590" t="str">
            <v>Industrial Cartridge Hydraulic Filter</v>
          </cell>
        </row>
        <row r="2591">
          <cell r="K2591" t="str">
            <v>LH9558</v>
          </cell>
          <cell r="L2591" t="str">
            <v>HD</v>
          </cell>
          <cell r="M2591" t="str">
            <v>x</v>
          </cell>
          <cell r="N2591" t="e">
            <v>#N/A</v>
          </cell>
          <cell r="O2591" t="str">
            <v>Industrial Cartridge Hydraulic Filter</v>
          </cell>
        </row>
        <row r="2592">
          <cell r="K2592" t="str">
            <v>LH11027</v>
          </cell>
          <cell r="L2592" t="str">
            <v>HD</v>
          </cell>
          <cell r="M2592" t="str">
            <v>x</v>
          </cell>
          <cell r="N2592" t="e">
            <v>#N/A</v>
          </cell>
          <cell r="O2592" t="str">
            <v>Industrial Cartridge Hydraulic Filter</v>
          </cell>
        </row>
        <row r="2593">
          <cell r="K2593" t="str">
            <v>LH11040V</v>
          </cell>
          <cell r="L2593" t="str">
            <v>HD</v>
          </cell>
          <cell r="M2593" t="str">
            <v>x</v>
          </cell>
          <cell r="N2593" t="e">
            <v>#N/A</v>
          </cell>
          <cell r="O2593" t="str">
            <v>Industrial Cartridge Hydraulic Filter</v>
          </cell>
        </row>
        <row r="2594">
          <cell r="K2594" t="str">
            <v>LH11035</v>
          </cell>
          <cell r="L2594" t="str">
            <v>HD</v>
          </cell>
          <cell r="M2594" t="str">
            <v>x</v>
          </cell>
          <cell r="N2594" t="e">
            <v>#N/A</v>
          </cell>
          <cell r="O2594" t="str">
            <v>Industrial Cartridge Hydraulic Filter</v>
          </cell>
        </row>
        <row r="2595">
          <cell r="K2595" t="str">
            <v>LH11044V</v>
          </cell>
          <cell r="L2595" t="str">
            <v>HD</v>
          </cell>
          <cell r="M2595" t="str">
            <v>x</v>
          </cell>
          <cell r="N2595" t="e">
            <v>#N/A</v>
          </cell>
          <cell r="O2595" t="str">
            <v>Industrial Cartridge Hydraulic Filter</v>
          </cell>
        </row>
        <row r="2596">
          <cell r="K2596" t="str">
            <v>LH11025</v>
          </cell>
          <cell r="L2596" t="str">
            <v>HD</v>
          </cell>
          <cell r="M2596" t="str">
            <v>x</v>
          </cell>
          <cell r="N2596" t="e">
            <v>#N/A</v>
          </cell>
          <cell r="O2596" t="str">
            <v>Industrial Cartridge Hydraulic Filter</v>
          </cell>
        </row>
        <row r="2597">
          <cell r="K2597" t="str">
            <v>LH11019V</v>
          </cell>
          <cell r="L2597" t="str">
            <v>HD</v>
          </cell>
          <cell r="M2597" t="str">
            <v>x</v>
          </cell>
          <cell r="N2597" t="e">
            <v>#N/A</v>
          </cell>
          <cell r="O2597" t="str">
            <v>Industrial Cartridge Hydraulic Filter</v>
          </cell>
        </row>
        <row r="2598">
          <cell r="K2598" t="str">
            <v>LH11037V</v>
          </cell>
          <cell r="L2598" t="str">
            <v>HD</v>
          </cell>
          <cell r="M2598" t="str">
            <v>x</v>
          </cell>
          <cell r="N2598" t="e">
            <v>#N/A</v>
          </cell>
          <cell r="O2598" t="str">
            <v>Industrial Cartridge Hydraulic Filter</v>
          </cell>
        </row>
        <row r="2599">
          <cell r="K2599" t="str">
            <v>LH11032V</v>
          </cell>
          <cell r="L2599" t="str">
            <v>HD</v>
          </cell>
          <cell r="M2599" t="str">
            <v>x</v>
          </cell>
          <cell r="N2599" t="e">
            <v>#N/A</v>
          </cell>
          <cell r="O2599" t="str">
            <v>Industrial Cartridge Hydraulic Filter</v>
          </cell>
        </row>
        <row r="2600">
          <cell r="K2600" t="str">
            <v>LH11013V</v>
          </cell>
          <cell r="L2600" t="str">
            <v>HD</v>
          </cell>
          <cell r="M2600" t="str">
            <v>x</v>
          </cell>
          <cell r="N2600" t="e">
            <v>#N/A</v>
          </cell>
          <cell r="O2600" t="str">
            <v>Industrial Cartridge Hydraulic Filter</v>
          </cell>
        </row>
        <row r="2601">
          <cell r="K2601" t="str">
            <v>LH11043V</v>
          </cell>
          <cell r="L2601" t="str">
            <v>HD</v>
          </cell>
          <cell r="M2601" t="str">
            <v>x</v>
          </cell>
          <cell r="N2601" t="e">
            <v>#N/A</v>
          </cell>
          <cell r="O2601" t="str">
            <v>Industrial Cartridge Hydraulic Filter</v>
          </cell>
        </row>
        <row r="2602">
          <cell r="K2602" t="str">
            <v>LH11003V</v>
          </cell>
          <cell r="L2602" t="str">
            <v>HD</v>
          </cell>
          <cell r="M2602" t="str">
            <v>x</v>
          </cell>
          <cell r="N2602" t="e">
            <v>#N/A</v>
          </cell>
          <cell r="O2602" t="str">
            <v>Industrial Cartridge Hydraulic Filter</v>
          </cell>
        </row>
        <row r="2603">
          <cell r="K2603" t="str">
            <v>LH11002V</v>
          </cell>
          <cell r="L2603" t="str">
            <v>HD</v>
          </cell>
          <cell r="M2603" t="str">
            <v>x</v>
          </cell>
          <cell r="N2603" t="e">
            <v>#N/A</v>
          </cell>
          <cell r="O2603" t="str">
            <v>Industrial Cartridge Hydraulic Filter</v>
          </cell>
        </row>
        <row r="2604">
          <cell r="K2604" t="str">
            <v>LH11038V</v>
          </cell>
          <cell r="L2604" t="str">
            <v>HD</v>
          </cell>
          <cell r="M2604" t="str">
            <v>x</v>
          </cell>
          <cell r="N2604" t="e">
            <v>#N/A</v>
          </cell>
          <cell r="O2604" t="str">
            <v>Industrial Cartridge Hydraulic Filter</v>
          </cell>
        </row>
        <row r="2605">
          <cell r="K2605" t="str">
            <v>LH11004</v>
          </cell>
          <cell r="L2605" t="str">
            <v>HD</v>
          </cell>
          <cell r="M2605" t="str">
            <v>x</v>
          </cell>
          <cell r="N2605" t="e">
            <v>#N/A</v>
          </cell>
          <cell r="O2605" t="str">
            <v>Industrial Cartridge Hydraulic Filter</v>
          </cell>
        </row>
        <row r="2606">
          <cell r="K2606" t="str">
            <v>LH11015V</v>
          </cell>
          <cell r="L2606" t="str">
            <v>HD</v>
          </cell>
          <cell r="M2606" t="str">
            <v>x</v>
          </cell>
          <cell r="N2606" t="e">
            <v>#N/A</v>
          </cell>
          <cell r="O2606" t="str">
            <v>Industrial Cartridge Hydraulic Filter</v>
          </cell>
        </row>
        <row r="2607">
          <cell r="K2607" t="str">
            <v>LH7042V</v>
          </cell>
          <cell r="L2607" t="str">
            <v>HD</v>
          </cell>
          <cell r="M2607" t="str">
            <v>x</v>
          </cell>
          <cell r="N2607" t="e">
            <v>#N/A</v>
          </cell>
          <cell r="O2607" t="str">
            <v>Industrial Cartridge Hydraulic Filter</v>
          </cell>
        </row>
        <row r="2608">
          <cell r="K2608" t="str">
            <v>LH11026</v>
          </cell>
          <cell r="L2608" t="str">
            <v>HD</v>
          </cell>
          <cell r="M2608" t="str">
            <v>x</v>
          </cell>
          <cell r="N2608" t="e">
            <v>#N/A</v>
          </cell>
          <cell r="O2608" t="str">
            <v>Industrial Cartridge Hydraulic Filter</v>
          </cell>
        </row>
        <row r="2609">
          <cell r="K2609" t="str">
            <v>LH11031V</v>
          </cell>
          <cell r="L2609" t="str">
            <v>HD</v>
          </cell>
          <cell r="M2609" t="str">
            <v>x</v>
          </cell>
          <cell r="N2609" t="e">
            <v>#N/A</v>
          </cell>
          <cell r="O2609" t="str">
            <v>Industrial Cartridge Hydraulic Filter</v>
          </cell>
        </row>
        <row r="2610">
          <cell r="K2610" t="str">
            <v>LH11016V</v>
          </cell>
          <cell r="L2610" t="str">
            <v>HD</v>
          </cell>
          <cell r="M2610" t="str">
            <v>x</v>
          </cell>
          <cell r="N2610" t="e">
            <v>#N/A</v>
          </cell>
          <cell r="O2610" t="str">
            <v>Industrial Cartridge Hydraulic Filter</v>
          </cell>
        </row>
        <row r="2611">
          <cell r="K2611" t="str">
            <v>LH11036V</v>
          </cell>
          <cell r="L2611" t="str">
            <v>HD</v>
          </cell>
          <cell r="M2611" t="str">
            <v>x</v>
          </cell>
          <cell r="N2611" t="e">
            <v>#N/A</v>
          </cell>
          <cell r="O2611" t="str">
            <v>Industrial Cartridge Hydraulic Filter</v>
          </cell>
        </row>
        <row r="2612">
          <cell r="K2612" t="str">
            <v>LH6649V</v>
          </cell>
          <cell r="L2612" t="str">
            <v>HD</v>
          </cell>
          <cell r="M2612" t="str">
            <v>x</v>
          </cell>
          <cell r="N2612" t="e">
            <v>#N/A</v>
          </cell>
          <cell r="O2612" t="str">
            <v>Industrial Cartridge Hydraulic Filter</v>
          </cell>
        </row>
        <row r="2613">
          <cell r="K2613" t="str">
            <v>LH11020V</v>
          </cell>
          <cell r="L2613" t="str">
            <v>HD</v>
          </cell>
          <cell r="M2613" t="str">
            <v>x</v>
          </cell>
          <cell r="N2613" t="e">
            <v>#N/A</v>
          </cell>
          <cell r="O2613" t="str">
            <v>Industrial Cartridge Hydraulic Filter</v>
          </cell>
        </row>
        <row r="2614">
          <cell r="K2614" t="str">
            <v>LH11029</v>
          </cell>
          <cell r="L2614" t="str">
            <v>HD</v>
          </cell>
          <cell r="M2614" t="str">
            <v>x</v>
          </cell>
          <cell r="N2614" t="e">
            <v>#N/A</v>
          </cell>
          <cell r="O2614" t="str">
            <v>Industrial Cartridge Hydraulic Filter</v>
          </cell>
        </row>
        <row r="2615">
          <cell r="K2615" t="str">
            <v>LH11039V</v>
          </cell>
          <cell r="L2615" t="str">
            <v>HD</v>
          </cell>
          <cell r="M2615" t="str">
            <v>x</v>
          </cell>
          <cell r="N2615" t="e">
            <v>#N/A</v>
          </cell>
          <cell r="O2615" t="str">
            <v>Industrial Cartridge Hydraulic Filter</v>
          </cell>
        </row>
        <row r="2616">
          <cell r="K2616" t="str">
            <v>750</v>
          </cell>
          <cell r="L2616" t="str">
            <v>HD</v>
          </cell>
          <cell r="M2616" t="str">
            <v>x</v>
          </cell>
          <cell r="N2616" t="e">
            <v>#N/A</v>
          </cell>
          <cell r="O2616" t="str">
            <v>HYDROPACK 100 Filter</v>
          </cell>
        </row>
        <row r="2617">
          <cell r="K2617" t="str">
            <v>750CT</v>
          </cell>
          <cell r="L2617" t="str">
            <v>HD</v>
          </cell>
          <cell r="M2617" t="str">
            <v>x</v>
          </cell>
          <cell r="N2617" t="e">
            <v>#N/A</v>
          </cell>
          <cell r="O2617" t="str">
            <v>HRZNTAL 750CT</v>
          </cell>
        </row>
        <row r="2618">
          <cell r="K2618" t="str">
            <v>HSG</v>
          </cell>
          <cell r="L2618" t="str">
            <v>HD</v>
          </cell>
          <cell r="M2618" t="str">
            <v>x</v>
          </cell>
          <cell r="N2618" t="e">
            <v>#N/A</v>
          </cell>
          <cell r="O2618" t="str">
            <v>Housing w/Retaining Ring Only, Black/500-C</v>
          </cell>
        </row>
        <row r="2619">
          <cell r="K2619" t="str">
            <v>HSG.</v>
          </cell>
          <cell r="L2619" t="str">
            <v>HD</v>
          </cell>
          <cell r="M2619" t="str">
            <v>x</v>
          </cell>
          <cell r="N2619" t="e">
            <v>#N/A</v>
          </cell>
          <cell r="O2619" t="str">
            <v>Housing w/Retaining Ring Only, 363C</v>
          </cell>
        </row>
        <row r="2620">
          <cell r="K2620" t="str">
            <v>F170W</v>
          </cell>
          <cell r="L2620" t="str">
            <v>HD</v>
          </cell>
          <cell r="M2620" t="str">
            <v>x</v>
          </cell>
          <cell r="N2620" t="e">
            <v>#N/A</v>
          </cell>
          <cell r="O2620" t="str">
            <v>Housing Only/F-170-W</v>
          </cell>
        </row>
        <row r="2621">
          <cell r="K2621" t="str">
            <v>HOUSING</v>
          </cell>
          <cell r="L2621" t="str">
            <v>HD</v>
          </cell>
          <cell r="M2621" t="str">
            <v>x</v>
          </cell>
          <cell r="N2621" t="e">
            <v>#N/A</v>
          </cell>
          <cell r="O2621" t="str">
            <v>Housing Only/F-170, F-170-2</v>
          </cell>
        </row>
        <row r="2622">
          <cell r="K2622" t="str">
            <v>F170W</v>
          </cell>
          <cell r="L2622" t="str">
            <v>HD</v>
          </cell>
          <cell r="M2622" t="str">
            <v>x</v>
          </cell>
          <cell r="N2622" t="e">
            <v>#N/A</v>
          </cell>
          <cell r="O2622" t="str">
            <v>Housing Assembly/F-170-W</v>
          </cell>
        </row>
        <row r="2623">
          <cell r="K2623" t="str">
            <v>PTD</v>
          </cell>
          <cell r="L2623" t="str">
            <v>HD</v>
          </cell>
          <cell r="M2623" t="str">
            <v>x</v>
          </cell>
          <cell r="N2623" t="e">
            <v>#N/A</v>
          </cell>
          <cell r="O2623" t="str">
            <v>Housing Assembly/F-170, F-170-2</v>
          </cell>
        </row>
        <row r="2624">
          <cell r="K2624" t="str">
            <v>750-3C</v>
          </cell>
          <cell r="L2624" t="str">
            <v>HD</v>
          </cell>
          <cell r="M2624" t="str">
            <v>x</v>
          </cell>
          <cell r="N2624" t="e">
            <v>#N/A</v>
          </cell>
          <cell r="O2624" t="str">
            <v>Housing Assembly w/Retaining Ring, 750-3C</v>
          </cell>
        </row>
        <row r="2625">
          <cell r="K2625" t="str">
            <v>750-2C</v>
          </cell>
          <cell r="L2625" t="str">
            <v>HD</v>
          </cell>
          <cell r="M2625" t="str">
            <v>x</v>
          </cell>
          <cell r="N2625" t="e">
            <v>#N/A</v>
          </cell>
          <cell r="O2625" t="str">
            <v>Housing Assembly w/retaining ring, 750-2C</v>
          </cell>
        </row>
        <row r="2626">
          <cell r="K2626" t="str">
            <v>HOLLOW</v>
          </cell>
          <cell r="L2626" t="str">
            <v>HD</v>
          </cell>
          <cell r="M2626" t="str">
            <v>x</v>
          </cell>
          <cell r="N2626" t="e">
            <v>#N/A</v>
          </cell>
          <cell r="O2626" t="str">
            <v>Hollow Bolt, Inlet/500-B &amp; C, 750-B &amp; C</v>
          </cell>
        </row>
        <row r="2627">
          <cell r="K2627" t="str">
            <v>SPRING</v>
          </cell>
          <cell r="L2627" t="str">
            <v>HD</v>
          </cell>
          <cell r="M2627" t="str">
            <v>x</v>
          </cell>
          <cell r="N2627" t="e">
            <v>#N/A</v>
          </cell>
          <cell r="O2627" t="str">
            <v>Hole Down Spring/750-2, 2C, 3, 3C, F-120, F-155</v>
          </cell>
        </row>
        <row r="2628">
          <cell r="K2628" t="str">
            <v>WASHER</v>
          </cell>
          <cell r="L2628" t="str">
            <v>HD</v>
          </cell>
          <cell r="M2628" t="str">
            <v>x</v>
          </cell>
          <cell r="N2628" t="e">
            <v>#N/A</v>
          </cell>
          <cell r="O2628" t="str">
            <v>Hold Down Washer, Steel/500-C, 750-C, CT</v>
          </cell>
        </row>
        <row r="2629">
          <cell r="K2629" t="str">
            <v>PACK</v>
          </cell>
          <cell r="L2629" t="str">
            <v>HD</v>
          </cell>
          <cell r="M2629" t="str">
            <v>x</v>
          </cell>
          <cell r="N2629" t="e">
            <v>#N/A</v>
          </cell>
          <cell r="O2629" t="str">
            <v>Hold Down Washer, Steel/500-B, 750-B, 2, 2C, 3, 3C</v>
          </cell>
        </row>
        <row r="2630">
          <cell r="K2630" t="str">
            <v>WASHER</v>
          </cell>
          <cell r="L2630" t="str">
            <v>HD</v>
          </cell>
          <cell r="M2630" t="str">
            <v>x</v>
          </cell>
          <cell r="N2630" t="e">
            <v>#N/A</v>
          </cell>
          <cell r="O2630" t="str">
            <v>Hold Down Washer, Buna-N/500-C, 750-C, CT</v>
          </cell>
        </row>
        <row r="2631">
          <cell r="K2631" t="str">
            <v>WASHER</v>
          </cell>
          <cell r="L2631" t="str">
            <v>HD</v>
          </cell>
          <cell r="M2631" t="str">
            <v>x</v>
          </cell>
          <cell r="N2631" t="e">
            <v>#N/A</v>
          </cell>
          <cell r="O2631" t="str">
            <v>Hold Down Washer, Buna-N/500-B, 750-B, 2, 2C, 3, 3C, F-120, F-135, F-170</v>
          </cell>
        </row>
        <row r="2632">
          <cell r="K2632" t="str">
            <v>STUD</v>
          </cell>
          <cell r="L2632" t="str">
            <v>HD</v>
          </cell>
          <cell r="M2632" t="str">
            <v>x</v>
          </cell>
          <cell r="N2632" t="e">
            <v>#N/A</v>
          </cell>
          <cell r="O2632" t="str">
            <v>Hold Down Stud w/o Bleeder for 2258/500C, 750-C</v>
          </cell>
        </row>
        <row r="2633">
          <cell r="K2633" t="str">
            <v>SPRING</v>
          </cell>
          <cell r="L2633" t="str">
            <v>HD</v>
          </cell>
          <cell r="M2633" t="str">
            <v>x</v>
          </cell>
          <cell r="N2633" t="e">
            <v>#N/A</v>
          </cell>
          <cell r="O2633" t="str">
            <v>Hold Down Spring/500-C, 750-C, CT</v>
          </cell>
        </row>
        <row r="2634">
          <cell r="K2634" t="str">
            <v>HOLD</v>
          </cell>
          <cell r="L2634" t="str">
            <v>HD</v>
          </cell>
          <cell r="M2634" t="str">
            <v>x</v>
          </cell>
          <cell r="N2634" t="e">
            <v>#N/A</v>
          </cell>
          <cell r="O2634" t="str">
            <v>Hold Down Plate/970-C</v>
          </cell>
        </row>
        <row r="2635">
          <cell r="K2635" t="str">
            <v>HOLD</v>
          </cell>
          <cell r="L2635" t="str">
            <v>HD</v>
          </cell>
          <cell r="M2635" t="str">
            <v>x</v>
          </cell>
          <cell r="N2635" t="e">
            <v>#N/A</v>
          </cell>
          <cell r="O2635" t="str">
            <v>Hold Down Assembly/970-C</v>
          </cell>
        </row>
        <row r="2636">
          <cell r="K2636">
            <v>2124</v>
          </cell>
          <cell r="L2636" t="str">
            <v>HD</v>
          </cell>
          <cell r="M2636" t="str">
            <v>x</v>
          </cell>
          <cell r="N2636" t="e">
            <v>#N/A</v>
          </cell>
          <cell r="O2636" t="str">
            <v>Hold Down Assembly/750-C</v>
          </cell>
        </row>
        <row r="2637">
          <cell r="K2637" t="str">
            <v>STUD</v>
          </cell>
          <cell r="L2637" t="str">
            <v>HD</v>
          </cell>
          <cell r="M2637" t="str">
            <v>x</v>
          </cell>
          <cell r="N2637" t="e">
            <v>#N/A</v>
          </cell>
          <cell r="O2637" t="str">
            <v>Hold Down Assembly w/Bleeder For Lube Oil/500-C, 750-C</v>
          </cell>
        </row>
        <row r="2638">
          <cell r="K2638">
            <v>21246</v>
          </cell>
          <cell r="L2638" t="str">
            <v>HD</v>
          </cell>
          <cell r="M2638" t="str">
            <v>x</v>
          </cell>
          <cell r="N2638" t="e">
            <v>#N/A</v>
          </cell>
          <cell r="O2638" t="str">
            <v>Hold Down Assembly w/#6 Orifice/500-C</v>
          </cell>
        </row>
        <row r="2639">
          <cell r="K2639">
            <v>21244</v>
          </cell>
          <cell r="L2639" t="str">
            <v>HD</v>
          </cell>
          <cell r="M2639" t="str">
            <v>x</v>
          </cell>
          <cell r="N2639" t="e">
            <v>#N/A</v>
          </cell>
          <cell r="O2639" t="str">
            <v>Hold Down Assembly w/#4 Orifice/500-C</v>
          </cell>
        </row>
        <row r="2640">
          <cell r="K2640" t="str">
            <v>4168</v>
          </cell>
          <cell r="L2640" t="str">
            <v>HD</v>
          </cell>
          <cell r="M2640" t="str">
            <v>x</v>
          </cell>
          <cell r="N2640" t="e">
            <v>#N/A</v>
          </cell>
          <cell r="O2640" t="str">
            <v>Head Screw/F-170, F-1720-2, F-170-W</v>
          </cell>
        </row>
        <row r="2641">
          <cell r="K2641" t="str">
            <v>4167</v>
          </cell>
          <cell r="L2641" t="str">
            <v>HD</v>
          </cell>
          <cell r="M2641" t="str">
            <v>x</v>
          </cell>
          <cell r="N2641" t="e">
            <v>#N/A</v>
          </cell>
          <cell r="O2641" t="str">
            <v>Head Screw Washer, Steel/F-170, F-170-2, F-170-W</v>
          </cell>
        </row>
        <row r="2642">
          <cell r="K2642" t="str">
            <v>4190</v>
          </cell>
          <cell r="L2642" t="str">
            <v>HD</v>
          </cell>
          <cell r="M2642" t="str">
            <v>x</v>
          </cell>
          <cell r="N2642" t="e">
            <v>#N/A</v>
          </cell>
          <cell r="O2642" t="str">
            <v>Head Screw Seal, O-Ring/F-170, F-170-2, F-170-W</v>
          </cell>
        </row>
        <row r="2643">
          <cell r="K2643" t="str">
            <v>4041</v>
          </cell>
          <cell r="L2643" t="str">
            <v>HD</v>
          </cell>
          <cell r="M2643" t="str">
            <v>x</v>
          </cell>
          <cell r="N2643" t="e">
            <v>#N/A</v>
          </cell>
          <cell r="O2643" t="str">
            <v>Head Gasket, Buna-N/F-170, F170-2, F-170-W</v>
          </cell>
        </row>
        <row r="2644">
          <cell r="K2644" t="str">
            <v>F170</v>
          </cell>
          <cell r="L2644" t="str">
            <v>HD</v>
          </cell>
          <cell r="M2644" t="str">
            <v>x</v>
          </cell>
          <cell r="N2644" t="e">
            <v>#N/A</v>
          </cell>
          <cell r="O2644" t="str">
            <v>Head Casting (Cast Iron) F-170</v>
          </cell>
        </row>
        <row r="2645">
          <cell r="K2645" t="str">
            <v>LAF8832</v>
          </cell>
          <cell r="L2645" t="str">
            <v>HD</v>
          </cell>
          <cell r="M2645" t="str">
            <v>x</v>
          </cell>
          <cell r="N2645" t="e">
            <v>#N/A</v>
          </cell>
          <cell r="O2645" t="str">
            <v>HD Round Finned Air Filter with Attached Lid</v>
          </cell>
        </row>
        <row r="2646">
          <cell r="K2646" t="str">
            <v>LAF8979</v>
          </cell>
          <cell r="L2646" t="str">
            <v>HD</v>
          </cell>
          <cell r="M2646" t="str">
            <v>x</v>
          </cell>
          <cell r="N2646" t="e">
            <v>#N/A</v>
          </cell>
          <cell r="O2646" t="str">
            <v>HD Round Finned Air Filter with Attached Lid</v>
          </cell>
        </row>
        <row r="2647">
          <cell r="K2647" t="str">
            <v>LAF8553</v>
          </cell>
          <cell r="L2647" t="str">
            <v>HD</v>
          </cell>
          <cell r="M2647" t="str">
            <v>x</v>
          </cell>
          <cell r="N2647" t="e">
            <v>#N/A</v>
          </cell>
          <cell r="O2647" t="str">
            <v>HD Round Air Filter with Threaded Mounting Stud</v>
          </cell>
        </row>
        <row r="2648">
          <cell r="K2648" t="str">
            <v>LAF8580</v>
          </cell>
          <cell r="L2648" t="str">
            <v>HD</v>
          </cell>
          <cell r="M2648" t="str">
            <v>x</v>
          </cell>
          <cell r="N2648" t="e">
            <v>#N/A</v>
          </cell>
          <cell r="O2648" t="str">
            <v>HD Round Air Filter with Attached Lid</v>
          </cell>
        </row>
        <row r="2649">
          <cell r="K2649" t="str">
            <v>LAF8632</v>
          </cell>
          <cell r="L2649" t="str">
            <v>HD</v>
          </cell>
          <cell r="M2649" t="str">
            <v>x</v>
          </cell>
          <cell r="N2649" t="e">
            <v>#N/A</v>
          </cell>
          <cell r="O2649" t="str">
            <v>HD Round Air Filter with Attached Lid</v>
          </cell>
        </row>
        <row r="2650">
          <cell r="K2650" t="str">
            <v>LAF1728</v>
          </cell>
          <cell r="L2650" t="str">
            <v>HD</v>
          </cell>
          <cell r="M2650" t="str">
            <v>x</v>
          </cell>
          <cell r="N2650" t="e">
            <v>#N/A</v>
          </cell>
          <cell r="O2650" t="str">
            <v>HD Round Air Filter with Attached Lid</v>
          </cell>
        </row>
        <row r="2651">
          <cell r="K2651" t="str">
            <v>LAF8600</v>
          </cell>
          <cell r="L2651" t="str">
            <v>HD</v>
          </cell>
          <cell r="M2651" t="str">
            <v>x</v>
          </cell>
          <cell r="N2651" t="e">
            <v>#N/A</v>
          </cell>
          <cell r="O2651" t="str">
            <v>HD Round Air Filter with Attached Lid</v>
          </cell>
        </row>
        <row r="2652">
          <cell r="K2652" t="str">
            <v>LAF8608</v>
          </cell>
          <cell r="L2652" t="str">
            <v>HD</v>
          </cell>
          <cell r="M2652" t="str">
            <v>x</v>
          </cell>
          <cell r="N2652" t="e">
            <v>#N/A</v>
          </cell>
          <cell r="O2652" t="str">
            <v>HD Round Air Filter with Attached Boot</v>
          </cell>
        </row>
        <row r="2653">
          <cell r="K2653" t="str">
            <v>LAF8611</v>
          </cell>
          <cell r="L2653" t="str">
            <v>HD</v>
          </cell>
          <cell r="M2653" t="str">
            <v>x</v>
          </cell>
          <cell r="N2653" t="e">
            <v>#N/A</v>
          </cell>
          <cell r="O2653" t="str">
            <v>HD Round Air Filter with Attached Boot</v>
          </cell>
        </row>
        <row r="2654">
          <cell r="K2654" t="str">
            <v>LAF6404</v>
          </cell>
          <cell r="L2654" t="str">
            <v>HD</v>
          </cell>
          <cell r="M2654" t="str">
            <v>x</v>
          </cell>
          <cell r="N2654" t="e">
            <v>#N/A</v>
          </cell>
          <cell r="O2654" t="str">
            <v>HD Round Air Filter with Attached Boot</v>
          </cell>
        </row>
        <row r="2655">
          <cell r="K2655" t="str">
            <v>LAF4297</v>
          </cell>
          <cell r="L2655" t="str">
            <v>HD</v>
          </cell>
          <cell r="M2655" t="str">
            <v>x</v>
          </cell>
          <cell r="N2655" t="e">
            <v>#N/A</v>
          </cell>
          <cell r="O2655" t="str">
            <v>HD Round Air Filter with Attached Boot</v>
          </cell>
        </row>
        <row r="2656">
          <cell r="K2656" t="str">
            <v>P7029</v>
          </cell>
          <cell r="L2656" t="str">
            <v>HD</v>
          </cell>
          <cell r="M2656" t="str">
            <v>x</v>
          </cell>
          <cell r="N2656" t="e">
            <v>#N/A</v>
          </cell>
          <cell r="O2656" t="str">
            <v>HD Product</v>
          </cell>
        </row>
        <row r="2657">
          <cell r="K2657" t="str">
            <v>LAF8665</v>
          </cell>
          <cell r="L2657" t="str">
            <v>HD</v>
          </cell>
          <cell r="M2657" t="str">
            <v>x</v>
          </cell>
          <cell r="N2657" t="e">
            <v>#N/A</v>
          </cell>
          <cell r="O2657" t="str">
            <v>HD Metal-End Inner Air Filter</v>
          </cell>
        </row>
        <row r="2658">
          <cell r="K2658" t="str">
            <v>LAF5755</v>
          </cell>
          <cell r="L2658" t="str">
            <v>HD</v>
          </cell>
          <cell r="M2658" t="str">
            <v>x</v>
          </cell>
          <cell r="N2658" t="e">
            <v>#N/A</v>
          </cell>
          <cell r="O2658" t="str">
            <v>HD Metal-End Inner Air Filter</v>
          </cell>
        </row>
        <row r="2659">
          <cell r="K2659" t="str">
            <v>LAF1867</v>
          </cell>
          <cell r="L2659" t="str">
            <v>HD</v>
          </cell>
          <cell r="M2659" t="str">
            <v>x</v>
          </cell>
          <cell r="N2659" t="e">
            <v>#N/A</v>
          </cell>
          <cell r="O2659" t="str">
            <v>HD Metal-End Inner Air Filter</v>
          </cell>
        </row>
        <row r="2660">
          <cell r="K2660" t="str">
            <v>LAF5832</v>
          </cell>
          <cell r="L2660" t="str">
            <v>HD</v>
          </cell>
          <cell r="M2660" t="str">
            <v>x</v>
          </cell>
          <cell r="N2660" t="e">
            <v>#N/A</v>
          </cell>
          <cell r="O2660" t="str">
            <v>HD Metal-End Inner Air Filter</v>
          </cell>
        </row>
        <row r="2661">
          <cell r="K2661" t="str">
            <v>LAF8606</v>
          </cell>
          <cell r="L2661" t="str">
            <v>HD</v>
          </cell>
          <cell r="M2661" t="str">
            <v>x</v>
          </cell>
          <cell r="N2661" t="e">
            <v>#N/A</v>
          </cell>
          <cell r="O2661" t="str">
            <v>HD Metal-End Inner Air Filter</v>
          </cell>
        </row>
        <row r="2662">
          <cell r="K2662" t="str">
            <v>LAF8811</v>
          </cell>
          <cell r="L2662" t="str">
            <v>HD</v>
          </cell>
          <cell r="M2662" t="str">
            <v>x</v>
          </cell>
          <cell r="N2662" t="e">
            <v>#N/A</v>
          </cell>
          <cell r="O2662" t="str">
            <v>HD Metal-End Inner Air Filter</v>
          </cell>
        </row>
        <row r="2663">
          <cell r="K2663" t="str">
            <v>LAF22086</v>
          </cell>
          <cell r="L2663" t="str">
            <v>HD</v>
          </cell>
          <cell r="M2663" t="str">
            <v>x</v>
          </cell>
          <cell r="N2663" t="e">
            <v>#N/A</v>
          </cell>
          <cell r="O2663" t="str">
            <v>HD Metal-End Inner Air Filter</v>
          </cell>
        </row>
        <row r="2664">
          <cell r="K2664" t="str">
            <v>LAF4180</v>
          </cell>
          <cell r="L2664" t="str">
            <v>HD</v>
          </cell>
          <cell r="M2664" t="str">
            <v>x</v>
          </cell>
          <cell r="N2664" t="e">
            <v>#N/A</v>
          </cell>
          <cell r="O2664" t="str">
            <v>HD Metal-End Inner Air Filter</v>
          </cell>
        </row>
        <row r="2665">
          <cell r="K2665" t="str">
            <v>LAF2541</v>
          </cell>
          <cell r="L2665" t="str">
            <v>HD</v>
          </cell>
          <cell r="M2665" t="str">
            <v>x</v>
          </cell>
          <cell r="N2665" t="e">
            <v>#N/A</v>
          </cell>
          <cell r="O2665" t="str">
            <v>HD Metal-End Inner Air Filter</v>
          </cell>
        </row>
        <row r="2666">
          <cell r="K2666" t="str">
            <v>LAF22059</v>
          </cell>
          <cell r="L2666" t="str">
            <v>HD</v>
          </cell>
          <cell r="M2666" t="str">
            <v>x</v>
          </cell>
          <cell r="N2666" t="e">
            <v>#N/A</v>
          </cell>
          <cell r="O2666" t="str">
            <v>HD Metal-End Inner Air Filter</v>
          </cell>
        </row>
        <row r="2667">
          <cell r="K2667" t="str">
            <v>LAF8644</v>
          </cell>
          <cell r="L2667" t="str">
            <v>HD</v>
          </cell>
          <cell r="M2667" t="str">
            <v>x</v>
          </cell>
          <cell r="N2667" t="e">
            <v>#N/A</v>
          </cell>
          <cell r="O2667" t="str">
            <v>HD Metal-End Inner Air Filter</v>
          </cell>
        </row>
        <row r="2668">
          <cell r="K2668" t="str">
            <v>LAF8969</v>
          </cell>
          <cell r="L2668" t="str">
            <v>HD</v>
          </cell>
          <cell r="M2668" t="str">
            <v>x</v>
          </cell>
          <cell r="N2668" t="e">
            <v>#N/A</v>
          </cell>
          <cell r="O2668" t="str">
            <v>HD Metal-End Air Filter-Inner</v>
          </cell>
        </row>
        <row r="2669">
          <cell r="K2669" t="str">
            <v>LAF8598</v>
          </cell>
          <cell r="L2669" t="str">
            <v>HD</v>
          </cell>
          <cell r="M2669" t="str">
            <v>x</v>
          </cell>
          <cell r="N2669" t="e">
            <v>#N/A</v>
          </cell>
          <cell r="O2669" t="str">
            <v>HD Metal-End Air Filter-Inner</v>
          </cell>
        </row>
        <row r="2670">
          <cell r="K2670" t="str">
            <v>LAF8827</v>
          </cell>
          <cell r="L2670" t="str">
            <v>HD</v>
          </cell>
          <cell r="M2670" t="str">
            <v>x</v>
          </cell>
          <cell r="N2670" t="e">
            <v>#N/A</v>
          </cell>
          <cell r="O2670" t="str">
            <v>HD Metal-End Air Filter-Inner</v>
          </cell>
        </row>
        <row r="2671">
          <cell r="K2671" t="str">
            <v>LAF4324</v>
          </cell>
          <cell r="L2671" t="str">
            <v>HD</v>
          </cell>
          <cell r="M2671" t="str">
            <v>x</v>
          </cell>
          <cell r="N2671" t="e">
            <v>#N/A</v>
          </cell>
          <cell r="O2671" t="str">
            <v>HD Metal-End Air Filter with Attached Lid</v>
          </cell>
        </row>
        <row r="2672">
          <cell r="K2672" t="str">
            <v>LAF8626</v>
          </cell>
          <cell r="L2672" t="str">
            <v>HD</v>
          </cell>
          <cell r="M2672" t="str">
            <v>x</v>
          </cell>
          <cell r="N2672" t="e">
            <v>#N/A</v>
          </cell>
          <cell r="O2672" t="str">
            <v>HD Metal-End Air Filter with Attached Lid</v>
          </cell>
        </row>
        <row r="2673">
          <cell r="K2673" t="str">
            <v>LAF8615</v>
          </cell>
          <cell r="L2673" t="str">
            <v>HD</v>
          </cell>
          <cell r="M2673" t="str">
            <v>x</v>
          </cell>
          <cell r="N2673" t="e">
            <v>#N/A</v>
          </cell>
          <cell r="O2673" t="str">
            <v>HD Metal-End Air Filter with Attached Lid</v>
          </cell>
        </row>
        <row r="2674">
          <cell r="K2674" t="str">
            <v>LAF5829</v>
          </cell>
          <cell r="L2674" t="str">
            <v>HD</v>
          </cell>
          <cell r="M2674" t="str">
            <v>x</v>
          </cell>
          <cell r="N2674" t="e">
            <v>#N/A</v>
          </cell>
          <cell r="O2674" t="str">
            <v>HD Metal-End Air Filter with Attached Lid</v>
          </cell>
        </row>
        <row r="2675">
          <cell r="K2675" t="str">
            <v>LAF8763</v>
          </cell>
          <cell r="L2675" t="str">
            <v>HD</v>
          </cell>
          <cell r="M2675" t="str">
            <v>x</v>
          </cell>
          <cell r="N2675" t="e">
            <v>#N/A</v>
          </cell>
          <cell r="O2675" t="str">
            <v>HD Metal-End Air Filter with Attached Lid</v>
          </cell>
        </row>
        <row r="2676">
          <cell r="K2676" t="str">
            <v>LAF8160</v>
          </cell>
          <cell r="L2676" t="str">
            <v>HD</v>
          </cell>
          <cell r="M2676" t="str">
            <v>x</v>
          </cell>
          <cell r="N2676" t="e">
            <v>#N/A</v>
          </cell>
          <cell r="O2676" t="str">
            <v>HD Metal-End Air Filter with Attached Lid</v>
          </cell>
        </row>
        <row r="2677">
          <cell r="K2677" t="str">
            <v>LAF5881</v>
          </cell>
          <cell r="L2677" t="str">
            <v>HD</v>
          </cell>
          <cell r="M2677" t="str">
            <v>x</v>
          </cell>
          <cell r="N2677" t="e">
            <v>#N/A</v>
          </cell>
          <cell r="O2677" t="str">
            <v>HD Metal-End Air Filter with Attached Lid</v>
          </cell>
        </row>
        <row r="2678">
          <cell r="K2678" t="str">
            <v>LAF8066</v>
          </cell>
          <cell r="L2678" t="str">
            <v>HD</v>
          </cell>
          <cell r="M2678" t="str">
            <v>x</v>
          </cell>
          <cell r="N2678" t="e">
            <v>#N/A</v>
          </cell>
          <cell r="O2678" t="str">
            <v>HD Metal-End Air Filter with Attached Lid</v>
          </cell>
        </row>
        <row r="2679">
          <cell r="K2679" t="str">
            <v>LAF4215</v>
          </cell>
          <cell r="L2679" t="str">
            <v>HD</v>
          </cell>
          <cell r="M2679" t="str">
            <v>x</v>
          </cell>
          <cell r="N2679" t="e">
            <v>#N/A</v>
          </cell>
          <cell r="O2679" t="str">
            <v>HD Metal-End Air Filter with Attached Lid</v>
          </cell>
        </row>
        <row r="2680">
          <cell r="K2680" t="str">
            <v>LAF8652</v>
          </cell>
          <cell r="L2680" t="str">
            <v>HD</v>
          </cell>
          <cell r="M2680" t="str">
            <v>x</v>
          </cell>
          <cell r="N2680" t="e">
            <v>#N/A</v>
          </cell>
          <cell r="O2680" t="str">
            <v>HD Metal-End Air Filter with Attached Lid</v>
          </cell>
        </row>
        <row r="2681">
          <cell r="K2681" t="str">
            <v>LAF8162</v>
          </cell>
          <cell r="L2681" t="str">
            <v>HD</v>
          </cell>
          <cell r="M2681" t="str">
            <v>x</v>
          </cell>
          <cell r="N2681" t="e">
            <v>#N/A</v>
          </cell>
          <cell r="O2681" t="str">
            <v>HD Metal-End Air Filter with Attached Lid</v>
          </cell>
        </row>
        <row r="2682">
          <cell r="K2682" t="str">
            <v>LAF5759</v>
          </cell>
          <cell r="L2682" t="str">
            <v>HD</v>
          </cell>
          <cell r="M2682" t="str">
            <v>x</v>
          </cell>
          <cell r="N2682" t="e">
            <v>#N/A</v>
          </cell>
          <cell r="O2682" t="str">
            <v>HD Metal-End Air Filter with Attached Lid</v>
          </cell>
        </row>
        <row r="2683">
          <cell r="K2683" t="str">
            <v>LAF5786</v>
          </cell>
          <cell r="L2683" t="str">
            <v>HD</v>
          </cell>
          <cell r="M2683" t="str">
            <v>x</v>
          </cell>
          <cell r="N2683" t="e">
            <v>#N/A</v>
          </cell>
          <cell r="O2683" t="str">
            <v>HD Metal-End Air Filter with Attached Lid</v>
          </cell>
        </row>
        <row r="2684">
          <cell r="K2684" t="str">
            <v>LAF3715</v>
          </cell>
          <cell r="L2684" t="str">
            <v>HD</v>
          </cell>
          <cell r="M2684" t="str">
            <v>x</v>
          </cell>
          <cell r="N2684" t="e">
            <v>#N/A</v>
          </cell>
          <cell r="O2684" t="str">
            <v>HD Metal-End Air Filter with Attached Lid</v>
          </cell>
        </row>
        <row r="2685">
          <cell r="K2685" t="str">
            <v>LAF8636</v>
          </cell>
          <cell r="L2685" t="str">
            <v>HD</v>
          </cell>
          <cell r="M2685" t="str">
            <v>x</v>
          </cell>
          <cell r="N2685" t="e">
            <v>#N/A</v>
          </cell>
          <cell r="O2685" t="str">
            <v>HD Metal-End Air Filter with Attached Lid</v>
          </cell>
        </row>
        <row r="2686">
          <cell r="K2686" t="str">
            <v>LAF22051</v>
          </cell>
          <cell r="L2686" t="str">
            <v>HD</v>
          </cell>
          <cell r="M2686" t="str">
            <v>x</v>
          </cell>
          <cell r="N2686" t="e">
            <v>#N/A</v>
          </cell>
          <cell r="O2686" t="str">
            <v>HD Metal-End Air Filter</v>
          </cell>
        </row>
        <row r="2687">
          <cell r="K2687" t="str">
            <v>LAF2586</v>
          </cell>
          <cell r="L2687" t="str">
            <v>HD</v>
          </cell>
          <cell r="M2687" t="str">
            <v>x</v>
          </cell>
          <cell r="N2687" t="e">
            <v>#N/A</v>
          </cell>
          <cell r="O2687" t="str">
            <v>HD Metal-End Air Filter</v>
          </cell>
        </row>
        <row r="2688">
          <cell r="K2688" t="str">
            <v>LAF1884</v>
          </cell>
          <cell r="L2688" t="str">
            <v>HD</v>
          </cell>
          <cell r="M2688" t="str">
            <v>x</v>
          </cell>
          <cell r="N2688" t="e">
            <v>#N/A</v>
          </cell>
          <cell r="O2688" t="str">
            <v>HD Metal-End Air Filter</v>
          </cell>
        </row>
        <row r="2689">
          <cell r="K2689" t="str">
            <v>LAF5750</v>
          </cell>
          <cell r="L2689" t="str">
            <v>HD</v>
          </cell>
          <cell r="M2689" t="str">
            <v>x</v>
          </cell>
          <cell r="N2689" t="e">
            <v>#N/A</v>
          </cell>
          <cell r="O2689" t="str">
            <v>HD Metal-End Air Filter</v>
          </cell>
        </row>
        <row r="2690">
          <cell r="K2690" t="str">
            <v>LAF1992</v>
          </cell>
          <cell r="L2690" t="str">
            <v>HD</v>
          </cell>
          <cell r="M2690" t="str">
            <v>x</v>
          </cell>
          <cell r="N2690" t="e">
            <v>#N/A</v>
          </cell>
          <cell r="O2690" t="str">
            <v>HD Metal-End Air Filter</v>
          </cell>
        </row>
        <row r="2691">
          <cell r="K2691" t="str">
            <v>LAF1885</v>
          </cell>
          <cell r="L2691" t="str">
            <v>HD</v>
          </cell>
          <cell r="M2691" t="str">
            <v>x</v>
          </cell>
          <cell r="N2691" t="e">
            <v>#N/A</v>
          </cell>
          <cell r="O2691" t="str">
            <v>HD Metal-End Air Filter</v>
          </cell>
        </row>
        <row r="2692">
          <cell r="K2692" t="str">
            <v>LAF8919</v>
          </cell>
          <cell r="L2692" t="str">
            <v>HD</v>
          </cell>
          <cell r="M2692" t="str">
            <v>x</v>
          </cell>
          <cell r="N2692" t="e">
            <v>#N/A</v>
          </cell>
          <cell r="O2692" t="str">
            <v>HD Metal-End Air Filter</v>
          </cell>
        </row>
        <row r="2693">
          <cell r="K2693" t="str">
            <v>LAF8831</v>
          </cell>
          <cell r="L2693" t="str">
            <v>HD</v>
          </cell>
          <cell r="M2693" t="str">
            <v>x</v>
          </cell>
          <cell r="N2693" t="e">
            <v>#N/A</v>
          </cell>
          <cell r="O2693" t="str">
            <v>HD Metal-End Air Filter</v>
          </cell>
        </row>
        <row r="2694">
          <cell r="K2694" t="str">
            <v>LAF5782</v>
          </cell>
          <cell r="L2694" t="str">
            <v>HD</v>
          </cell>
          <cell r="M2694" t="str">
            <v>x</v>
          </cell>
          <cell r="N2694" t="e">
            <v>#N/A</v>
          </cell>
          <cell r="O2694" t="str">
            <v>HD Metal-End Air Filter</v>
          </cell>
        </row>
        <row r="2695">
          <cell r="K2695" t="str">
            <v>LAF2522</v>
          </cell>
          <cell r="L2695" t="str">
            <v>HD</v>
          </cell>
          <cell r="M2695" t="str">
            <v>x</v>
          </cell>
          <cell r="N2695" t="e">
            <v>#N/A</v>
          </cell>
          <cell r="O2695" t="str">
            <v>HD Metal-End Air Filter</v>
          </cell>
        </row>
        <row r="2696">
          <cell r="K2696" t="str">
            <v>LAF5833</v>
          </cell>
          <cell r="L2696" t="str">
            <v>HD</v>
          </cell>
          <cell r="M2696" t="str">
            <v>x</v>
          </cell>
          <cell r="N2696" t="e">
            <v>#N/A</v>
          </cell>
          <cell r="O2696" t="str">
            <v>HD Metal-End Air Filter</v>
          </cell>
        </row>
        <row r="2697">
          <cell r="K2697" t="str">
            <v>LAF8576</v>
          </cell>
          <cell r="L2697" t="str">
            <v>HD</v>
          </cell>
          <cell r="M2697" t="str">
            <v>x</v>
          </cell>
          <cell r="N2697" t="e">
            <v>#N/A</v>
          </cell>
          <cell r="O2697" t="str">
            <v>HD Metal-End Air Filter</v>
          </cell>
        </row>
        <row r="2698">
          <cell r="K2698" t="str">
            <v>LAF8975</v>
          </cell>
          <cell r="L2698" t="str">
            <v>HD</v>
          </cell>
          <cell r="M2698" t="str">
            <v>x</v>
          </cell>
          <cell r="N2698" t="e">
            <v>#N/A</v>
          </cell>
          <cell r="O2698" t="str">
            <v>HD Metal-End Air Filter</v>
          </cell>
        </row>
        <row r="2699">
          <cell r="K2699" t="str">
            <v>LAF8525</v>
          </cell>
          <cell r="L2699" t="str">
            <v>HD</v>
          </cell>
          <cell r="M2699" t="str">
            <v>x</v>
          </cell>
          <cell r="N2699" t="e">
            <v>#N/A</v>
          </cell>
          <cell r="O2699" t="str">
            <v>HD Metal-End Air Filter</v>
          </cell>
        </row>
        <row r="2700">
          <cell r="K2700" t="str">
            <v>LAF8638</v>
          </cell>
          <cell r="L2700" t="str">
            <v>HD</v>
          </cell>
          <cell r="M2700" t="str">
            <v>x</v>
          </cell>
          <cell r="N2700" t="e">
            <v>#N/A</v>
          </cell>
          <cell r="O2700" t="str">
            <v>HD Metal-End Air Filter</v>
          </cell>
        </row>
        <row r="2701">
          <cell r="K2701" t="str">
            <v>LAF9462</v>
          </cell>
          <cell r="L2701" t="str">
            <v>HD</v>
          </cell>
          <cell r="M2701" t="str">
            <v>x</v>
          </cell>
          <cell r="N2701" t="e">
            <v>#N/A</v>
          </cell>
          <cell r="O2701" t="str">
            <v>HD Metal-End Air Filter</v>
          </cell>
        </row>
        <row r="2702">
          <cell r="K2702" t="str">
            <v>LAF8978</v>
          </cell>
          <cell r="L2702" t="str">
            <v>HD</v>
          </cell>
          <cell r="M2702" t="str">
            <v>x</v>
          </cell>
          <cell r="N2702" t="e">
            <v>#N/A</v>
          </cell>
          <cell r="O2702" t="str">
            <v>HD Metal-End Air Filter</v>
          </cell>
        </row>
        <row r="2703">
          <cell r="K2703" t="str">
            <v>LAF1075</v>
          </cell>
          <cell r="L2703" t="str">
            <v>HD</v>
          </cell>
          <cell r="M2703" t="str">
            <v>x</v>
          </cell>
          <cell r="N2703" t="e">
            <v>#N/A</v>
          </cell>
          <cell r="O2703" t="str">
            <v>HD Metal-End Air Filter</v>
          </cell>
        </row>
        <row r="2704">
          <cell r="K2704" t="str">
            <v>LAF3352</v>
          </cell>
          <cell r="L2704" t="str">
            <v>HD</v>
          </cell>
          <cell r="M2704" t="str">
            <v>x</v>
          </cell>
          <cell r="N2704" t="e">
            <v>#N/A</v>
          </cell>
          <cell r="O2704" t="str">
            <v>HD Metal-End Air Filter</v>
          </cell>
        </row>
        <row r="2705">
          <cell r="K2705" t="str">
            <v>LAF8079</v>
          </cell>
          <cell r="L2705" t="str">
            <v>HD</v>
          </cell>
          <cell r="M2705" t="str">
            <v>x</v>
          </cell>
          <cell r="N2705" t="e">
            <v>#N/A</v>
          </cell>
          <cell r="O2705" t="str">
            <v>HD Metal-End Air Filter</v>
          </cell>
        </row>
        <row r="2706">
          <cell r="K2706" t="str">
            <v>LAF8601</v>
          </cell>
          <cell r="L2706" t="str">
            <v>HD</v>
          </cell>
          <cell r="M2706" t="str">
            <v>x</v>
          </cell>
          <cell r="N2706" t="e">
            <v>#N/A</v>
          </cell>
          <cell r="O2706" t="str">
            <v>HD Metal-End Air Filter</v>
          </cell>
        </row>
        <row r="2707">
          <cell r="K2707" t="str">
            <v>LAF5887</v>
          </cell>
          <cell r="L2707" t="str">
            <v>HD</v>
          </cell>
          <cell r="M2707" t="str">
            <v>x</v>
          </cell>
          <cell r="N2707" t="e">
            <v>#N/A</v>
          </cell>
          <cell r="O2707" t="str">
            <v>HD Metal-End Air Filter</v>
          </cell>
        </row>
        <row r="2708">
          <cell r="K2708" t="str">
            <v>LAF3214</v>
          </cell>
          <cell r="L2708" t="str">
            <v>HD</v>
          </cell>
          <cell r="M2708" t="str">
            <v>x</v>
          </cell>
          <cell r="N2708" t="e">
            <v>#N/A</v>
          </cell>
          <cell r="O2708" t="str">
            <v>HD Metal-End Air Filter</v>
          </cell>
        </row>
        <row r="2709">
          <cell r="K2709" t="str">
            <v>LAF5884</v>
          </cell>
          <cell r="L2709" t="str">
            <v>HD</v>
          </cell>
          <cell r="M2709" t="str">
            <v>x</v>
          </cell>
          <cell r="N2709" t="e">
            <v>#N/A</v>
          </cell>
          <cell r="O2709" t="str">
            <v>HD Metal-End Air Filter</v>
          </cell>
        </row>
        <row r="2710">
          <cell r="K2710" t="str">
            <v>LAF8169</v>
          </cell>
          <cell r="L2710" t="str">
            <v>HD</v>
          </cell>
          <cell r="M2710" t="str">
            <v>x</v>
          </cell>
          <cell r="N2710" t="e">
            <v>#N/A</v>
          </cell>
          <cell r="O2710" t="str">
            <v>HD Metal-End Air Filter</v>
          </cell>
        </row>
        <row r="2711">
          <cell r="K2711" t="str">
            <v>LAF5038</v>
          </cell>
          <cell r="L2711" t="str">
            <v>HD</v>
          </cell>
          <cell r="M2711" t="str">
            <v>x</v>
          </cell>
          <cell r="N2711" t="e">
            <v>#N/A</v>
          </cell>
          <cell r="O2711" t="str">
            <v>HD Metal-End Air Filter</v>
          </cell>
        </row>
        <row r="2712">
          <cell r="K2712" t="str">
            <v>LAF8564</v>
          </cell>
          <cell r="L2712" t="str">
            <v>HD</v>
          </cell>
          <cell r="M2712" t="str">
            <v>x</v>
          </cell>
          <cell r="N2712" t="e">
            <v>#N/A</v>
          </cell>
          <cell r="O2712" t="str">
            <v>HD Metal-End Air Filter</v>
          </cell>
        </row>
        <row r="2713">
          <cell r="K2713" t="str">
            <v>LAF8527</v>
          </cell>
          <cell r="L2713" t="str">
            <v>HD</v>
          </cell>
          <cell r="M2713" t="str">
            <v>x</v>
          </cell>
          <cell r="N2713" t="e">
            <v>#N/A</v>
          </cell>
          <cell r="O2713" t="str">
            <v>HD Metal-End Air Filter</v>
          </cell>
        </row>
        <row r="2714">
          <cell r="K2714" t="str">
            <v>LAF5838</v>
          </cell>
          <cell r="L2714" t="str">
            <v>HD</v>
          </cell>
          <cell r="M2714" t="str">
            <v>x</v>
          </cell>
          <cell r="N2714" t="e">
            <v>#N/A</v>
          </cell>
          <cell r="O2714" t="str">
            <v>HD Metal-End Air Filter</v>
          </cell>
        </row>
        <row r="2715">
          <cell r="K2715" t="str">
            <v>LAF681</v>
          </cell>
          <cell r="L2715" t="str">
            <v>HD</v>
          </cell>
          <cell r="M2715" t="str">
            <v>x</v>
          </cell>
          <cell r="N2715" t="e">
            <v>#N/A</v>
          </cell>
          <cell r="O2715" t="str">
            <v>HD Metal-End Air Filter</v>
          </cell>
        </row>
        <row r="2716">
          <cell r="K2716" t="str">
            <v>LAF8076</v>
          </cell>
          <cell r="L2716" t="str">
            <v>HD</v>
          </cell>
          <cell r="M2716" t="str">
            <v>x</v>
          </cell>
          <cell r="N2716" t="e">
            <v>#N/A</v>
          </cell>
          <cell r="O2716" t="str">
            <v>HD Metal-End Air Filter</v>
          </cell>
        </row>
        <row r="2717">
          <cell r="K2717" t="str">
            <v>LAF4289</v>
          </cell>
          <cell r="L2717" t="str">
            <v>HD</v>
          </cell>
          <cell r="M2717" t="str">
            <v>x</v>
          </cell>
          <cell r="N2717" t="e">
            <v>#N/A</v>
          </cell>
          <cell r="O2717" t="str">
            <v>HD Metal-End Air Filter</v>
          </cell>
        </row>
        <row r="2718">
          <cell r="K2718" t="str">
            <v>LAF8921</v>
          </cell>
          <cell r="L2718" t="str">
            <v>HD</v>
          </cell>
          <cell r="M2718" t="str">
            <v>x</v>
          </cell>
          <cell r="N2718" t="e">
            <v>#N/A</v>
          </cell>
          <cell r="O2718" t="str">
            <v>HD Metal-End Air Filter</v>
          </cell>
        </row>
        <row r="2719">
          <cell r="K2719" t="str">
            <v>LAF4318</v>
          </cell>
          <cell r="L2719" t="str">
            <v>HD</v>
          </cell>
          <cell r="M2719" t="str">
            <v>x</v>
          </cell>
          <cell r="N2719" t="e">
            <v>#N/A</v>
          </cell>
          <cell r="O2719" t="str">
            <v>HD Metal-End Air Filter</v>
          </cell>
        </row>
        <row r="2720">
          <cell r="K2720" t="str">
            <v>LAF4284</v>
          </cell>
          <cell r="L2720" t="str">
            <v>HD</v>
          </cell>
          <cell r="M2720" t="str">
            <v>x</v>
          </cell>
          <cell r="N2720" t="e">
            <v>#N/A</v>
          </cell>
          <cell r="O2720" t="str">
            <v>HD Metal-End Air Filter</v>
          </cell>
        </row>
        <row r="2721">
          <cell r="K2721" t="str">
            <v>LAF22092</v>
          </cell>
          <cell r="L2721" t="str">
            <v>HD</v>
          </cell>
          <cell r="M2721" t="str">
            <v>x</v>
          </cell>
          <cell r="N2721" t="e">
            <v>#N/A</v>
          </cell>
          <cell r="O2721" t="str">
            <v>HD Metal-End Air Filter</v>
          </cell>
        </row>
        <row r="2722">
          <cell r="K2722" t="str">
            <v>LAF5885</v>
          </cell>
          <cell r="L2722" t="str">
            <v>HD</v>
          </cell>
          <cell r="M2722" t="str">
            <v>x</v>
          </cell>
          <cell r="N2722" t="e">
            <v>#N/A</v>
          </cell>
          <cell r="O2722" t="str">
            <v>HD Metal-End Air Filter</v>
          </cell>
        </row>
        <row r="2723">
          <cell r="K2723" t="str">
            <v>LAF4278</v>
          </cell>
          <cell r="L2723" t="str">
            <v>HD</v>
          </cell>
          <cell r="M2723" t="str">
            <v>x</v>
          </cell>
          <cell r="N2723" t="e">
            <v>#N/A</v>
          </cell>
          <cell r="O2723" t="str">
            <v>HD Metal-End Air Filter</v>
          </cell>
        </row>
        <row r="2724">
          <cell r="K2724" t="str">
            <v>LAF8352</v>
          </cell>
          <cell r="L2724" t="str">
            <v>HD</v>
          </cell>
          <cell r="M2724" t="str">
            <v>x</v>
          </cell>
          <cell r="N2724" t="e">
            <v>#N/A</v>
          </cell>
          <cell r="O2724" t="str">
            <v>HD Metal-End Air Filter</v>
          </cell>
        </row>
        <row r="2725">
          <cell r="K2725" t="str">
            <v>LAF8168</v>
          </cell>
          <cell r="L2725" t="str">
            <v>HD</v>
          </cell>
          <cell r="M2725" t="str">
            <v>x</v>
          </cell>
          <cell r="N2725" t="e">
            <v>#N/A</v>
          </cell>
          <cell r="O2725" t="str">
            <v>HD Metal-End Air Filter</v>
          </cell>
        </row>
        <row r="2726">
          <cell r="K2726" t="str">
            <v>LAF4157</v>
          </cell>
          <cell r="L2726" t="str">
            <v>HD</v>
          </cell>
          <cell r="M2726" t="str">
            <v>x</v>
          </cell>
          <cell r="N2726" t="e">
            <v>#N/A</v>
          </cell>
          <cell r="O2726" t="str">
            <v>HD Metal-End Air Filter</v>
          </cell>
        </row>
        <row r="2727">
          <cell r="K2727" t="str">
            <v>LAF22093</v>
          </cell>
          <cell r="L2727" t="str">
            <v>HD</v>
          </cell>
          <cell r="M2727" t="str">
            <v>x</v>
          </cell>
          <cell r="N2727" t="e">
            <v>#N/A</v>
          </cell>
          <cell r="O2727" t="str">
            <v>HD Metal-End Air Filter</v>
          </cell>
        </row>
        <row r="2728">
          <cell r="K2728" t="str">
            <v>LAF8491</v>
          </cell>
          <cell r="L2728" t="str">
            <v>HD</v>
          </cell>
          <cell r="M2728" t="str">
            <v>x</v>
          </cell>
          <cell r="N2728" t="e">
            <v>#N/A</v>
          </cell>
          <cell r="O2728" t="str">
            <v>HD Metal-End Air Filter</v>
          </cell>
        </row>
        <row r="2729">
          <cell r="K2729" t="str">
            <v>LAF8570</v>
          </cell>
          <cell r="L2729" t="str">
            <v>HD</v>
          </cell>
          <cell r="M2729" t="str">
            <v>x</v>
          </cell>
          <cell r="N2729" t="e">
            <v>#N/A</v>
          </cell>
          <cell r="O2729" t="str">
            <v>HD Metal-End Air Filter</v>
          </cell>
        </row>
        <row r="2730">
          <cell r="K2730" t="str">
            <v>LAF5743</v>
          </cell>
          <cell r="L2730" t="str">
            <v>HD</v>
          </cell>
          <cell r="M2730" t="str">
            <v>x</v>
          </cell>
          <cell r="N2730" t="str">
            <v>LAF5743</v>
          </cell>
          <cell r="O2730" t="str">
            <v>HD Metal-End Air Filter</v>
          </cell>
        </row>
        <row r="2731">
          <cell r="K2731" t="str">
            <v>LK305GM</v>
          </cell>
          <cell r="L2731" t="str">
            <v>HD</v>
          </cell>
          <cell r="M2731" t="str">
            <v>x</v>
          </cell>
          <cell r="N2731" t="e">
            <v>#N/A</v>
          </cell>
          <cell r="O2731" t="str">
            <v>General Motors Engine Maintenance Kit</v>
          </cell>
        </row>
        <row r="2732">
          <cell r="K2732" t="str">
            <v>3795</v>
          </cell>
          <cell r="L2732" t="str">
            <v>HD</v>
          </cell>
          <cell r="M2732" t="str">
            <v>x</v>
          </cell>
          <cell r="N2732" t="e">
            <v>#N/A</v>
          </cell>
          <cell r="O2732" t="str">
            <v>Gasket, Square Section Ring, Replaces Cummins 153528</v>
          </cell>
        </row>
        <row r="2733">
          <cell r="K2733" t="str">
            <v>3907</v>
          </cell>
          <cell r="L2733" t="str">
            <v>HD</v>
          </cell>
          <cell r="M2733" t="str">
            <v>x</v>
          </cell>
          <cell r="N2733" t="e">
            <v>#N/A</v>
          </cell>
          <cell r="O2733" t="str">
            <v>Gasket, Replaces Cummins 169802</v>
          </cell>
        </row>
        <row r="2734">
          <cell r="K2734" t="str">
            <v>3915</v>
          </cell>
          <cell r="L2734" t="str">
            <v>HD</v>
          </cell>
          <cell r="M2734" t="str">
            <v>x</v>
          </cell>
          <cell r="N2734" t="e">
            <v>#N/A</v>
          </cell>
          <cell r="O2734" t="str">
            <v>Gasket, Replaces Cummins 163330</v>
          </cell>
        </row>
        <row r="2735">
          <cell r="K2735" t="str">
            <v>3861</v>
          </cell>
          <cell r="L2735" t="str">
            <v>HD</v>
          </cell>
          <cell r="M2735" t="str">
            <v>x</v>
          </cell>
          <cell r="N2735" t="e">
            <v>#N/A</v>
          </cell>
          <cell r="O2735" t="str">
            <v>Gasket, Replaces Cummins 158019</v>
          </cell>
        </row>
        <row r="2736">
          <cell r="K2736" t="str">
            <v>3773</v>
          </cell>
          <cell r="L2736" t="str">
            <v>HD</v>
          </cell>
          <cell r="M2736" t="str">
            <v>x</v>
          </cell>
          <cell r="N2736" t="e">
            <v>#N/A</v>
          </cell>
          <cell r="O2736" t="str">
            <v>Gasket, Replaces Cummins 128801</v>
          </cell>
        </row>
        <row r="2737">
          <cell r="K2737" t="str">
            <v>3912</v>
          </cell>
          <cell r="L2737" t="str">
            <v>HD</v>
          </cell>
          <cell r="M2737" t="str">
            <v>x</v>
          </cell>
          <cell r="N2737" t="e">
            <v>#N/A</v>
          </cell>
          <cell r="O2737" t="str">
            <v>Gasket, Replaces Cummins 110108</v>
          </cell>
        </row>
        <row r="2738">
          <cell r="K2738" t="str">
            <v>3392</v>
          </cell>
          <cell r="L2738" t="str">
            <v>HD</v>
          </cell>
          <cell r="M2738" t="str">
            <v>x</v>
          </cell>
          <cell r="N2738" t="e">
            <v>#N/A</v>
          </cell>
          <cell r="O2738" t="str">
            <v>Gasket, Flat, Retangular/Replaces Cummins 132484</v>
          </cell>
        </row>
        <row r="2739">
          <cell r="K2739" t="str">
            <v>3967B</v>
          </cell>
          <cell r="L2739" t="str">
            <v>HD</v>
          </cell>
          <cell r="M2739" t="str">
            <v>x</v>
          </cell>
          <cell r="N2739" t="e">
            <v>#N/A</v>
          </cell>
          <cell r="O2739" t="str">
            <v>Gasket, Cummins Applied</v>
          </cell>
        </row>
        <row r="2740">
          <cell r="K2740" t="str">
            <v>GASKET</v>
          </cell>
          <cell r="L2740" t="str">
            <v>HD</v>
          </cell>
          <cell r="M2740" t="str">
            <v>x</v>
          </cell>
          <cell r="N2740" t="e">
            <v>#N/A</v>
          </cell>
          <cell r="O2740" t="str">
            <v>GASKET 326-21606</v>
          </cell>
        </row>
        <row r="2741">
          <cell r="K2741" t="str">
            <v>GASKET</v>
          </cell>
          <cell r="L2741" t="str">
            <v>HD</v>
          </cell>
          <cell r="M2741" t="str">
            <v>x</v>
          </cell>
          <cell r="N2741" t="e">
            <v>#N/A</v>
          </cell>
          <cell r="O2741" t="str">
            <v>GASKET 26-13863</v>
          </cell>
        </row>
        <row r="2742">
          <cell r="K2742" t="str">
            <v>LWG4864</v>
          </cell>
          <cell r="L2742" t="str">
            <v>HD</v>
          </cell>
          <cell r="M2742" t="str">
            <v>x</v>
          </cell>
          <cell r="N2742" t="e">
            <v>#N/A</v>
          </cell>
          <cell r="O2742" t="str">
            <v>Gasket</v>
          </cell>
        </row>
        <row r="2743">
          <cell r="K2743" t="str">
            <v>3795B</v>
          </cell>
          <cell r="L2743" t="str">
            <v>HD</v>
          </cell>
          <cell r="M2743" t="str">
            <v>x</v>
          </cell>
          <cell r="N2743" t="e">
            <v>#N/A</v>
          </cell>
          <cell r="O2743" t="str">
            <v>Gasket</v>
          </cell>
        </row>
        <row r="2744">
          <cell r="K2744" t="str">
            <v>LAF5452W</v>
          </cell>
          <cell r="L2744" t="str">
            <v>HD</v>
          </cell>
          <cell r="M2744" t="str">
            <v>x</v>
          </cell>
          <cell r="N2744" t="e">
            <v>#N/A</v>
          </cell>
          <cell r="O2744" t="str">
            <v>Foam Wrap Air Filter</v>
          </cell>
        </row>
        <row r="2745">
          <cell r="K2745" t="str">
            <v>LAF3680</v>
          </cell>
          <cell r="L2745" t="str">
            <v>HD</v>
          </cell>
          <cell r="M2745" t="str">
            <v>x</v>
          </cell>
          <cell r="N2745" t="e">
            <v>#N/A</v>
          </cell>
          <cell r="O2745" t="str">
            <v>Foam Air Filter</v>
          </cell>
        </row>
        <row r="2746">
          <cell r="K2746" t="str">
            <v>FLOOR</v>
          </cell>
          <cell r="L2746" t="str">
            <v>HD</v>
          </cell>
          <cell r="M2746" t="str">
            <v>x</v>
          </cell>
          <cell r="N2746" t="e">
            <v>#N/A</v>
          </cell>
          <cell r="O2746" t="str">
            <v>FLOOR BASE</v>
          </cell>
        </row>
        <row r="2747">
          <cell r="K2747" t="str">
            <v>LAF5716</v>
          </cell>
          <cell r="L2747" t="str">
            <v>HD</v>
          </cell>
          <cell r="M2747" t="str">
            <v>x</v>
          </cell>
          <cell r="N2747" t="e">
            <v>#N/A</v>
          </cell>
          <cell r="O2747" t="str">
            <v>Flexible Panel Air Filter</v>
          </cell>
        </row>
        <row r="2748">
          <cell r="K2748" t="str">
            <v>LAF8645</v>
          </cell>
          <cell r="L2748" t="str">
            <v>HD</v>
          </cell>
          <cell r="M2748" t="str">
            <v>x</v>
          </cell>
          <cell r="N2748" t="e">
            <v>#N/A</v>
          </cell>
          <cell r="O2748" t="str">
            <v>Flexible Panel Air Filter</v>
          </cell>
        </row>
        <row r="2749">
          <cell r="K2749" t="str">
            <v>LAF7185</v>
          </cell>
          <cell r="L2749" t="str">
            <v>HD</v>
          </cell>
          <cell r="M2749" t="str">
            <v>x</v>
          </cell>
          <cell r="N2749" t="e">
            <v>#N/A</v>
          </cell>
          <cell r="O2749" t="str">
            <v>Finned Vane Inner Air Filter</v>
          </cell>
        </row>
        <row r="2750">
          <cell r="K2750" t="str">
            <v>LAF2872</v>
          </cell>
          <cell r="L2750" t="str">
            <v>HD</v>
          </cell>
          <cell r="M2750" t="str">
            <v>x</v>
          </cell>
          <cell r="N2750" t="e">
            <v>#N/A</v>
          </cell>
          <cell r="O2750" t="str">
            <v>Finned Vane Air Filter</v>
          </cell>
        </row>
        <row r="2751">
          <cell r="K2751" t="str">
            <v>LAF1868</v>
          </cell>
          <cell r="L2751" t="str">
            <v>HD</v>
          </cell>
          <cell r="M2751" t="str">
            <v>x</v>
          </cell>
          <cell r="N2751" t="e">
            <v>#N/A</v>
          </cell>
          <cell r="O2751" t="str">
            <v>Finned Vane Air Filter</v>
          </cell>
        </row>
        <row r="2752">
          <cell r="K2752" t="str">
            <v>LAF8637</v>
          </cell>
          <cell r="L2752" t="str">
            <v>HD</v>
          </cell>
          <cell r="M2752" t="str">
            <v>x</v>
          </cell>
          <cell r="N2752" t="e">
            <v>#N/A</v>
          </cell>
          <cell r="O2752" t="str">
            <v>Finned Vane Air Filter</v>
          </cell>
        </row>
        <row r="2753">
          <cell r="K2753" t="str">
            <v>LAF4451</v>
          </cell>
          <cell r="L2753" t="str">
            <v>HD</v>
          </cell>
          <cell r="M2753" t="str">
            <v>x</v>
          </cell>
          <cell r="N2753" t="e">
            <v>#N/A</v>
          </cell>
          <cell r="O2753" t="str">
            <v>Finned Vane Air Filter</v>
          </cell>
        </row>
        <row r="2754">
          <cell r="K2754" t="str">
            <v>LAF8985</v>
          </cell>
          <cell r="L2754" t="str">
            <v>HD</v>
          </cell>
          <cell r="M2754" t="str">
            <v>x</v>
          </cell>
          <cell r="N2754" t="e">
            <v>#N/A</v>
          </cell>
          <cell r="O2754" t="str">
            <v>Finned Vane Air Filter</v>
          </cell>
        </row>
        <row r="2755">
          <cell r="K2755" t="str">
            <v>LAF8528</v>
          </cell>
          <cell r="L2755" t="str">
            <v>HD</v>
          </cell>
          <cell r="M2755" t="str">
            <v>x</v>
          </cell>
          <cell r="N2755" t="e">
            <v>#N/A</v>
          </cell>
          <cell r="O2755" t="str">
            <v>Finned Vane Air Filter</v>
          </cell>
        </row>
        <row r="2756">
          <cell r="K2756" t="str">
            <v>LAF4356</v>
          </cell>
          <cell r="L2756" t="str">
            <v>HD</v>
          </cell>
          <cell r="M2756" t="str">
            <v>x</v>
          </cell>
          <cell r="N2756" t="e">
            <v>#N/A</v>
          </cell>
          <cell r="O2756" t="str">
            <v>Finned Vane Air Filter</v>
          </cell>
        </row>
        <row r="2757">
          <cell r="K2757" t="str">
            <v>LAF8675</v>
          </cell>
          <cell r="L2757" t="str">
            <v>HD</v>
          </cell>
          <cell r="M2757" t="str">
            <v>x</v>
          </cell>
          <cell r="N2757" t="e">
            <v>#N/A</v>
          </cell>
          <cell r="O2757" t="str">
            <v>Finned Vane Air Filter</v>
          </cell>
        </row>
        <row r="2758">
          <cell r="K2758" t="str">
            <v>LAF4280</v>
          </cell>
          <cell r="L2758" t="str">
            <v>HD</v>
          </cell>
          <cell r="M2758" t="str">
            <v>x</v>
          </cell>
          <cell r="N2758" t="e">
            <v>#N/A</v>
          </cell>
          <cell r="O2758" t="str">
            <v>Finned Vane Air Filter</v>
          </cell>
        </row>
        <row r="2759">
          <cell r="K2759" t="str">
            <v>LAF8517</v>
          </cell>
          <cell r="L2759" t="str">
            <v>HD</v>
          </cell>
          <cell r="M2759" t="str">
            <v>x</v>
          </cell>
          <cell r="N2759" t="e">
            <v>#N/A</v>
          </cell>
          <cell r="O2759" t="str">
            <v>Finned Vane Air Filter</v>
          </cell>
        </row>
        <row r="2760">
          <cell r="K2760" t="str">
            <v>LAF22081</v>
          </cell>
          <cell r="L2760" t="str">
            <v>HD</v>
          </cell>
          <cell r="M2760" t="str">
            <v>x</v>
          </cell>
          <cell r="N2760" t="e">
            <v>#N/A</v>
          </cell>
          <cell r="O2760" t="str">
            <v>Finned Vane Air Filter</v>
          </cell>
        </row>
        <row r="2761">
          <cell r="K2761" t="str">
            <v>LAF22037</v>
          </cell>
          <cell r="L2761" t="str">
            <v>HD</v>
          </cell>
          <cell r="M2761" t="str">
            <v>x</v>
          </cell>
          <cell r="N2761" t="e">
            <v>#N/A</v>
          </cell>
          <cell r="O2761" t="str">
            <v>Finned Vane Air Filter</v>
          </cell>
        </row>
        <row r="2762">
          <cell r="K2762" t="str">
            <v>LFW22138XL</v>
          </cell>
          <cell r="L2762" t="str">
            <v>HD</v>
          </cell>
          <cell r="M2762" t="str">
            <v>x</v>
          </cell>
          <cell r="N2762" t="e">
            <v>#N/A</v>
          </cell>
          <cell r="O2762" t="str">
            <v>Extended Life Spin-on Coolant Filter</v>
          </cell>
        </row>
        <row r="2763">
          <cell r="K2763" t="str">
            <v>LK343DXL</v>
          </cell>
          <cell r="L2763" t="str">
            <v>HD</v>
          </cell>
          <cell r="M2763" t="str">
            <v>x</v>
          </cell>
          <cell r="N2763" t="e">
            <v>#N/A</v>
          </cell>
          <cell r="O2763" t="str">
            <v>Extended Life Detroit Diesel Engine Maintenance Kit</v>
          </cell>
        </row>
        <row r="2764">
          <cell r="K2764" t="str">
            <v>LK286DXL</v>
          </cell>
          <cell r="L2764" t="str">
            <v>HD</v>
          </cell>
          <cell r="M2764" t="str">
            <v>x</v>
          </cell>
          <cell r="N2764" t="e">
            <v>#N/A</v>
          </cell>
          <cell r="O2764" t="str">
            <v>Extended Life Detroit Diesel Engine Maintenance Kit</v>
          </cell>
        </row>
        <row r="2765">
          <cell r="K2765" t="str">
            <v>LAF1671</v>
          </cell>
          <cell r="L2765" t="str">
            <v>HD</v>
          </cell>
          <cell r="M2765" t="str">
            <v>x</v>
          </cell>
          <cell r="N2765" t="e">
            <v>#N/A</v>
          </cell>
          <cell r="O2765" t="str">
            <v>Engine Crankcase Breather Element Air Filter</v>
          </cell>
        </row>
        <row r="2766">
          <cell r="K2766" t="str">
            <v>FW4C</v>
          </cell>
          <cell r="L2766" t="str">
            <v>HD</v>
          </cell>
          <cell r="M2766" t="str">
            <v>x</v>
          </cell>
          <cell r="N2766" t="e">
            <v>#N/A</v>
          </cell>
          <cell r="O2766" t="str">
            <v>End Cap Filter Removal Wrench for 14 flute 2.65" filters.</v>
          </cell>
        </row>
        <row r="2767">
          <cell r="K2767" t="str">
            <v>DCF9723</v>
          </cell>
          <cell r="L2767" t="str">
            <v>HD</v>
          </cell>
          <cell r="M2767" t="str">
            <v>x</v>
          </cell>
          <cell r="N2767" t="e">
            <v>#N/A</v>
          </cell>
          <cell r="O2767" t="str">
            <v>Dust Collection Filter</v>
          </cell>
        </row>
        <row r="2768">
          <cell r="K2768" t="str">
            <v>ZINC</v>
          </cell>
          <cell r="L2768" t="str">
            <v>HD</v>
          </cell>
          <cell r="M2768" t="str">
            <v>x</v>
          </cell>
          <cell r="N2768" t="e">
            <v>#N/A</v>
          </cell>
          <cell r="O2768" t="str">
            <v>Drain Plug/500-B, C, 750-B &amp; C, CT</v>
          </cell>
        </row>
        <row r="2769">
          <cell r="K2769" t="str">
            <v>DRAIN</v>
          </cell>
          <cell r="L2769" t="str">
            <v>HD</v>
          </cell>
          <cell r="M2769" t="str">
            <v>x</v>
          </cell>
          <cell r="N2769" t="e">
            <v>#N/A</v>
          </cell>
          <cell r="O2769" t="str">
            <v>DRAIN PLUG</v>
          </cell>
        </row>
        <row r="2770">
          <cell r="K2770" t="str">
            <v>4277</v>
          </cell>
          <cell r="L2770" t="str">
            <v>HD</v>
          </cell>
          <cell r="M2770" t="str">
            <v>x</v>
          </cell>
          <cell r="N2770" t="e">
            <v>#N/A</v>
          </cell>
          <cell r="O2770" t="str">
            <v>Drain Cock/F-170, F-170-W</v>
          </cell>
        </row>
        <row r="2771">
          <cell r="K2771">
            <v>2416</v>
          </cell>
          <cell r="L2771" t="str">
            <v>HD</v>
          </cell>
          <cell r="M2771" t="str">
            <v>x</v>
          </cell>
          <cell r="N2771" t="e">
            <v>#N/A</v>
          </cell>
          <cell r="O2771" t="str">
            <v>Drain Cock, 1/4" N.P.T./272-C, 363-C, F-120, 115, 170</v>
          </cell>
        </row>
        <row r="2772">
          <cell r="K2772" t="str">
            <v>F170</v>
          </cell>
          <cell r="L2772" t="str">
            <v>HD</v>
          </cell>
          <cell r="M2772" t="str">
            <v>x</v>
          </cell>
          <cell r="N2772" t="e">
            <v>#N/A</v>
          </cell>
          <cell r="O2772" t="str">
            <v>Double Head Casting (Cast Iron)/F-170-2</v>
          </cell>
        </row>
        <row r="2773">
          <cell r="K2773" t="str">
            <v>LAF22097</v>
          </cell>
          <cell r="L2773" t="str">
            <v>HD</v>
          </cell>
          <cell r="M2773" t="str">
            <v>x</v>
          </cell>
          <cell r="N2773" t="e">
            <v>#N/A</v>
          </cell>
          <cell r="O2773" t="str">
            <v>Disposible Housing Air Filter</v>
          </cell>
        </row>
        <row r="2774">
          <cell r="K2774" t="str">
            <v>LAF8732</v>
          </cell>
          <cell r="L2774" t="str">
            <v>HD</v>
          </cell>
          <cell r="M2774" t="str">
            <v>x</v>
          </cell>
          <cell r="N2774" t="e">
            <v>#N/A</v>
          </cell>
          <cell r="O2774" t="str">
            <v>Disposible Housing Air Filter</v>
          </cell>
        </row>
        <row r="2775">
          <cell r="K2775" t="str">
            <v>LAF8805</v>
          </cell>
          <cell r="L2775" t="str">
            <v>HD</v>
          </cell>
          <cell r="M2775" t="str">
            <v>x</v>
          </cell>
          <cell r="N2775" t="e">
            <v>#N/A</v>
          </cell>
          <cell r="O2775" t="str">
            <v>Disposible Housing Air Filter</v>
          </cell>
        </row>
        <row r="2776">
          <cell r="K2776" t="str">
            <v>LAF7456</v>
          </cell>
          <cell r="L2776" t="str">
            <v>HD</v>
          </cell>
          <cell r="M2776" t="str">
            <v>x</v>
          </cell>
          <cell r="N2776" t="e">
            <v>#N/A</v>
          </cell>
          <cell r="O2776" t="str">
            <v>Disposible Housing Air Filter</v>
          </cell>
        </row>
        <row r="2777">
          <cell r="K2777" t="str">
            <v>PKGD</v>
          </cell>
          <cell r="L2777" t="str">
            <v>HD</v>
          </cell>
          <cell r="M2777" t="str">
            <v>x</v>
          </cell>
          <cell r="N2777" t="e">
            <v>#N/A</v>
          </cell>
          <cell r="O2777" t="str">
            <v>Diesel Unit w/Wall Brakets w/Imperial Pak/750-3C</v>
          </cell>
        </row>
        <row r="2778">
          <cell r="K2778" t="str">
            <v>PKGD</v>
          </cell>
          <cell r="L2778" t="str">
            <v>HD</v>
          </cell>
          <cell r="M2778" t="str">
            <v>x</v>
          </cell>
          <cell r="N2778" t="e">
            <v>#N/A</v>
          </cell>
          <cell r="O2778" t="str">
            <v>Diesel Unit w/Wall Brackets w/Imperial Pak/750-2C</v>
          </cell>
        </row>
        <row r="2779">
          <cell r="K2779" t="str">
            <v>750CT</v>
          </cell>
          <cell r="L2779" t="str">
            <v>HD</v>
          </cell>
          <cell r="M2779" t="str">
            <v>x</v>
          </cell>
          <cell r="N2779" t="e">
            <v>#N/A</v>
          </cell>
          <cell r="O2779" t="str">
            <v>Diesel Unit Universal Mount 750-CT</v>
          </cell>
        </row>
        <row r="2780">
          <cell r="K2780" t="str">
            <v>3923B</v>
          </cell>
          <cell r="O2780" t="str">
            <v>Diesel Unit Universal Mount 750-CT</v>
          </cell>
        </row>
        <row r="2781">
          <cell r="K2781" t="str">
            <v>LK365D</v>
          </cell>
          <cell r="L2781" t="str">
            <v>HD</v>
          </cell>
          <cell r="M2781" t="str">
            <v>x</v>
          </cell>
          <cell r="N2781" t="e">
            <v>#N/A</v>
          </cell>
          <cell r="O2781" t="str">
            <v>Detroit Diesel Maintenance kit</v>
          </cell>
        </row>
        <row r="2782">
          <cell r="K2782" t="str">
            <v>LK238D</v>
          </cell>
          <cell r="L2782" t="str">
            <v>HD</v>
          </cell>
          <cell r="M2782" t="str">
            <v>x</v>
          </cell>
          <cell r="N2782" t="e">
            <v>#N/A</v>
          </cell>
          <cell r="O2782" t="str">
            <v>Detroit Diesel Engine Maintenance Kit</v>
          </cell>
        </row>
        <row r="2783">
          <cell r="K2783" t="str">
            <v>LK319DF</v>
          </cell>
          <cell r="L2783" t="str">
            <v>HD</v>
          </cell>
          <cell r="M2783" t="str">
            <v>x</v>
          </cell>
          <cell r="N2783" t="e">
            <v>#N/A</v>
          </cell>
          <cell r="O2783" t="str">
            <v>Detroit Diesel Engine Maintenance Kit</v>
          </cell>
        </row>
        <row r="2784">
          <cell r="K2784" t="str">
            <v>LK275D</v>
          </cell>
          <cell r="L2784" t="str">
            <v>HD</v>
          </cell>
          <cell r="M2784" t="str">
            <v>x</v>
          </cell>
          <cell r="N2784" t="e">
            <v>#N/A</v>
          </cell>
          <cell r="O2784" t="str">
            <v>Detroit Diesel Engine Maintenance Kit</v>
          </cell>
        </row>
        <row r="2785">
          <cell r="K2785" t="str">
            <v>LK325DF</v>
          </cell>
          <cell r="L2785" t="str">
            <v>HD</v>
          </cell>
          <cell r="M2785" t="str">
            <v>x</v>
          </cell>
          <cell r="N2785" t="e">
            <v>#N/A</v>
          </cell>
          <cell r="O2785" t="str">
            <v>Detroit Diesel Engine Maintenance Kit</v>
          </cell>
        </row>
        <row r="2786">
          <cell r="K2786" t="str">
            <v>LK316D</v>
          </cell>
          <cell r="L2786" t="str">
            <v>HD</v>
          </cell>
          <cell r="M2786" t="str">
            <v>x</v>
          </cell>
          <cell r="N2786" t="e">
            <v>#N/A</v>
          </cell>
          <cell r="O2786" t="str">
            <v>Detroit Diesel Engine Maintenance Kit</v>
          </cell>
        </row>
        <row r="2787">
          <cell r="K2787" t="str">
            <v>LK320DF</v>
          </cell>
          <cell r="L2787" t="str">
            <v>HD</v>
          </cell>
          <cell r="M2787" t="str">
            <v>x</v>
          </cell>
          <cell r="N2787" t="e">
            <v>#N/A</v>
          </cell>
          <cell r="O2787" t="str">
            <v>Detroit Diesel Engine Maintenance Kit</v>
          </cell>
        </row>
        <row r="2788">
          <cell r="K2788" t="str">
            <v>LK278D</v>
          </cell>
          <cell r="L2788" t="str">
            <v>HD</v>
          </cell>
          <cell r="M2788" t="str">
            <v>x</v>
          </cell>
          <cell r="N2788" t="e">
            <v>#N/A</v>
          </cell>
          <cell r="O2788" t="str">
            <v>Detroit Diesel Engine Maintenance Kit</v>
          </cell>
        </row>
        <row r="2789">
          <cell r="K2789" t="str">
            <v>LK166D</v>
          </cell>
          <cell r="L2789" t="str">
            <v>HD</v>
          </cell>
          <cell r="M2789" t="str">
            <v>x</v>
          </cell>
          <cell r="N2789" t="e">
            <v>#N/A</v>
          </cell>
          <cell r="O2789" t="str">
            <v>Detroit Diesel Engine Maintenance Kit</v>
          </cell>
        </row>
        <row r="2790">
          <cell r="K2790" t="str">
            <v>LK290D</v>
          </cell>
          <cell r="L2790" t="str">
            <v>HD</v>
          </cell>
          <cell r="M2790" t="str">
            <v>x</v>
          </cell>
          <cell r="N2790" t="e">
            <v>#N/A</v>
          </cell>
          <cell r="O2790" t="str">
            <v>Detroit Diesel Engine Maintenance Kit</v>
          </cell>
        </row>
        <row r="2791">
          <cell r="K2791" t="str">
            <v>LK164D</v>
          </cell>
          <cell r="L2791" t="str">
            <v>HD</v>
          </cell>
          <cell r="M2791" t="str">
            <v>x</v>
          </cell>
          <cell r="N2791" t="e">
            <v>#N/A</v>
          </cell>
          <cell r="O2791" t="str">
            <v>Detroit Diesel Engine Maintenance Kit</v>
          </cell>
        </row>
        <row r="2792">
          <cell r="K2792" t="str">
            <v>LK153D</v>
          </cell>
          <cell r="L2792" t="str">
            <v>HD</v>
          </cell>
          <cell r="M2792" t="str">
            <v>x</v>
          </cell>
          <cell r="N2792" t="e">
            <v>#N/A</v>
          </cell>
          <cell r="O2792" t="str">
            <v>Detroit Diesel Engine Maintenance Kit</v>
          </cell>
        </row>
        <row r="2793">
          <cell r="K2793" t="str">
            <v>LK277D</v>
          </cell>
          <cell r="L2793" t="str">
            <v>HD</v>
          </cell>
          <cell r="M2793" t="str">
            <v>x</v>
          </cell>
          <cell r="N2793" t="e">
            <v>#N/A</v>
          </cell>
          <cell r="O2793" t="str">
            <v>Detroit Diesel Engine Maintenance Kit</v>
          </cell>
        </row>
        <row r="2794">
          <cell r="K2794" t="str">
            <v>LK181D</v>
          </cell>
          <cell r="L2794" t="str">
            <v>HD</v>
          </cell>
          <cell r="M2794" t="str">
            <v>x</v>
          </cell>
          <cell r="N2794" t="e">
            <v>#N/A</v>
          </cell>
          <cell r="O2794" t="str">
            <v>Detroit Diesel Engine Maintenance Kit</v>
          </cell>
        </row>
        <row r="2795">
          <cell r="K2795" t="str">
            <v>LK154D</v>
          </cell>
          <cell r="L2795" t="str">
            <v>HD</v>
          </cell>
          <cell r="M2795" t="str">
            <v>x</v>
          </cell>
          <cell r="N2795" t="e">
            <v>#N/A</v>
          </cell>
          <cell r="O2795" t="str">
            <v>Detroit Diesel Engine Maintenance Kit</v>
          </cell>
        </row>
        <row r="2796">
          <cell r="K2796" t="str">
            <v>LK159D</v>
          </cell>
          <cell r="L2796" t="str">
            <v>HD</v>
          </cell>
          <cell r="M2796" t="str">
            <v>x</v>
          </cell>
          <cell r="N2796" t="e">
            <v>#N/A</v>
          </cell>
          <cell r="O2796" t="str">
            <v>Detroit Diesel Engine Maintenance Kit</v>
          </cell>
        </row>
        <row r="2797">
          <cell r="K2797" t="str">
            <v>LK179D</v>
          </cell>
          <cell r="L2797" t="str">
            <v>HD</v>
          </cell>
          <cell r="M2797" t="str">
            <v>x</v>
          </cell>
          <cell r="N2797" t="e">
            <v>#N/A</v>
          </cell>
          <cell r="O2797" t="str">
            <v>Detroit Diesel Engine Maintenance Kit</v>
          </cell>
        </row>
        <row r="2798">
          <cell r="K2798" t="str">
            <v>LK283D</v>
          </cell>
          <cell r="L2798" t="str">
            <v>HD</v>
          </cell>
          <cell r="M2798" t="str">
            <v>x</v>
          </cell>
          <cell r="N2798" t="e">
            <v>#N/A</v>
          </cell>
          <cell r="O2798" t="str">
            <v>Detroit Diesel Engine Maintenance Kit</v>
          </cell>
        </row>
        <row r="2799">
          <cell r="K2799" t="str">
            <v>LK184D</v>
          </cell>
          <cell r="L2799" t="str">
            <v>HD</v>
          </cell>
          <cell r="M2799" t="str">
            <v>x</v>
          </cell>
          <cell r="N2799" t="e">
            <v>#N/A</v>
          </cell>
          <cell r="O2799" t="str">
            <v>Detroit Diesel Engine Maintenance Kit</v>
          </cell>
        </row>
        <row r="2800">
          <cell r="K2800" t="str">
            <v>LABEL</v>
          </cell>
          <cell r="L2800" t="str">
            <v>HD</v>
          </cell>
          <cell r="M2800" t="str">
            <v>x</v>
          </cell>
          <cell r="N2800" t="e">
            <v>#N/A</v>
          </cell>
          <cell r="O2800" t="str">
            <v>Decal, Medium For All Models Except 750-2C, 3C</v>
          </cell>
        </row>
        <row r="2801">
          <cell r="K2801" t="str">
            <v>LABEL</v>
          </cell>
          <cell r="L2801" t="str">
            <v>HD</v>
          </cell>
          <cell r="M2801" t="str">
            <v>x</v>
          </cell>
          <cell r="N2801" t="e">
            <v>#N/A</v>
          </cell>
          <cell r="O2801" t="str">
            <v>Decal, Large/750-2C, 3C</v>
          </cell>
        </row>
        <row r="2802">
          <cell r="K2802" t="str">
            <v>LK84C</v>
          </cell>
          <cell r="L2802" t="str">
            <v>HD</v>
          </cell>
          <cell r="M2802" t="str">
            <v>x</v>
          </cell>
          <cell r="N2802" t="e">
            <v>#N/A</v>
          </cell>
          <cell r="O2802" t="str">
            <v>Cummins Engine Maintenance Kit</v>
          </cell>
        </row>
        <row r="2803">
          <cell r="K2803" t="str">
            <v>LK311DF</v>
          </cell>
          <cell r="L2803" t="str">
            <v>HD</v>
          </cell>
          <cell r="M2803" t="str">
            <v>x</v>
          </cell>
          <cell r="N2803" t="e">
            <v>#N/A</v>
          </cell>
          <cell r="O2803" t="str">
            <v>Cummins Engine Maintenance Kit</v>
          </cell>
        </row>
        <row r="2804">
          <cell r="K2804" t="str">
            <v>LK310DF</v>
          </cell>
          <cell r="L2804" t="str">
            <v>HD</v>
          </cell>
          <cell r="M2804" t="str">
            <v>x</v>
          </cell>
          <cell r="N2804" t="e">
            <v>#N/A</v>
          </cell>
          <cell r="O2804" t="str">
            <v>Cummins Engine Maintenance Kit</v>
          </cell>
        </row>
        <row r="2805">
          <cell r="K2805" t="str">
            <v>LK307C</v>
          </cell>
          <cell r="L2805" t="str">
            <v>HD</v>
          </cell>
          <cell r="M2805" t="str">
            <v>x</v>
          </cell>
          <cell r="N2805" t="e">
            <v>#N/A</v>
          </cell>
          <cell r="O2805" t="str">
            <v>Cummins Engine Maintenance Kit</v>
          </cell>
        </row>
        <row r="2806">
          <cell r="K2806" t="str">
            <v>LK312DF</v>
          </cell>
          <cell r="L2806" t="str">
            <v>HD</v>
          </cell>
          <cell r="M2806" t="str">
            <v>x</v>
          </cell>
          <cell r="N2806" t="e">
            <v>#N/A</v>
          </cell>
          <cell r="O2806" t="str">
            <v>Cummins Engine Maintenance Kit</v>
          </cell>
        </row>
        <row r="2807">
          <cell r="K2807" t="str">
            <v>LK337DF</v>
          </cell>
          <cell r="L2807" t="str">
            <v>HD</v>
          </cell>
          <cell r="M2807" t="str">
            <v>x</v>
          </cell>
          <cell r="N2807" t="e">
            <v>#N/A</v>
          </cell>
          <cell r="O2807" t="str">
            <v>Cummins Engine Maintenance Kit</v>
          </cell>
        </row>
        <row r="2808">
          <cell r="K2808" t="str">
            <v>LK313DF</v>
          </cell>
          <cell r="L2808" t="str">
            <v>HD</v>
          </cell>
          <cell r="M2808" t="str">
            <v>x</v>
          </cell>
          <cell r="N2808" t="e">
            <v>#N/A</v>
          </cell>
          <cell r="O2808" t="str">
            <v>Cummins Engine Maintenance Kit</v>
          </cell>
        </row>
        <row r="2809">
          <cell r="K2809" t="str">
            <v>LK252C</v>
          </cell>
          <cell r="L2809" t="str">
            <v>HD</v>
          </cell>
          <cell r="M2809" t="str">
            <v>x</v>
          </cell>
          <cell r="N2809" t="e">
            <v>#N/A</v>
          </cell>
          <cell r="O2809" t="str">
            <v>Cummins Engine Maintenance Kit</v>
          </cell>
        </row>
        <row r="2810">
          <cell r="K2810" t="str">
            <v>LK356DF</v>
          </cell>
          <cell r="L2810" t="str">
            <v>HD</v>
          </cell>
          <cell r="M2810" t="str">
            <v>x</v>
          </cell>
          <cell r="N2810" t="e">
            <v>#N/A</v>
          </cell>
          <cell r="O2810" t="str">
            <v>Cummins Engine Maintenance Kit</v>
          </cell>
        </row>
        <row r="2811">
          <cell r="K2811" t="str">
            <v>LK60C</v>
          </cell>
          <cell r="L2811" t="str">
            <v>HD</v>
          </cell>
          <cell r="M2811" t="str">
            <v>x</v>
          </cell>
          <cell r="N2811" t="e">
            <v>#N/A</v>
          </cell>
          <cell r="O2811" t="str">
            <v>Cummins Engine Maintenance Kit</v>
          </cell>
        </row>
        <row r="2812">
          <cell r="K2812" t="str">
            <v>LK202C</v>
          </cell>
          <cell r="L2812" t="str">
            <v>HD</v>
          </cell>
          <cell r="M2812" t="str">
            <v>x</v>
          </cell>
          <cell r="N2812" t="e">
            <v>#N/A</v>
          </cell>
          <cell r="O2812" t="str">
            <v>Cummins Engine Maintenance Kit</v>
          </cell>
        </row>
        <row r="2813">
          <cell r="K2813" t="str">
            <v>LK340C</v>
          </cell>
          <cell r="L2813" t="str">
            <v>HD</v>
          </cell>
          <cell r="M2813" t="str">
            <v>x</v>
          </cell>
          <cell r="N2813" t="e">
            <v>#N/A</v>
          </cell>
          <cell r="O2813" t="str">
            <v>Cummins Engine Maintenance Kit</v>
          </cell>
        </row>
        <row r="2814">
          <cell r="K2814" t="str">
            <v>LK354C</v>
          </cell>
          <cell r="L2814" t="str">
            <v>HD</v>
          </cell>
          <cell r="M2814" t="str">
            <v>x</v>
          </cell>
          <cell r="N2814" t="e">
            <v>#N/A</v>
          </cell>
          <cell r="O2814" t="str">
            <v>Cummins Engine Maintenance Kit</v>
          </cell>
        </row>
        <row r="2815">
          <cell r="K2815" t="str">
            <v>LK326DF</v>
          </cell>
          <cell r="L2815" t="str">
            <v>HD</v>
          </cell>
          <cell r="M2815" t="str">
            <v>x</v>
          </cell>
          <cell r="N2815" t="e">
            <v>#N/A</v>
          </cell>
          <cell r="O2815" t="str">
            <v>Cummins Engine Maintenance Kit</v>
          </cell>
        </row>
        <row r="2816">
          <cell r="K2816" t="str">
            <v>LK263C</v>
          </cell>
          <cell r="L2816" t="str">
            <v>HD</v>
          </cell>
          <cell r="M2816" t="str">
            <v>x</v>
          </cell>
          <cell r="N2816" t="e">
            <v>#N/A</v>
          </cell>
          <cell r="O2816" t="str">
            <v>Cummins Engine Maintenance Kit</v>
          </cell>
        </row>
        <row r="2817">
          <cell r="K2817" t="str">
            <v>LK299C</v>
          </cell>
          <cell r="L2817" t="str">
            <v>HD</v>
          </cell>
          <cell r="M2817" t="str">
            <v>x</v>
          </cell>
          <cell r="N2817" t="e">
            <v>#N/A</v>
          </cell>
          <cell r="O2817" t="str">
            <v>Cummins Engine Maintenance Kit</v>
          </cell>
        </row>
        <row r="2818">
          <cell r="K2818" t="str">
            <v>LK110C</v>
          </cell>
          <cell r="L2818" t="str">
            <v>HD</v>
          </cell>
          <cell r="M2818" t="str">
            <v>x</v>
          </cell>
          <cell r="N2818" t="e">
            <v>#N/A</v>
          </cell>
          <cell r="O2818" t="str">
            <v>Cummins Engine Maintenance Kit</v>
          </cell>
        </row>
        <row r="2819">
          <cell r="K2819" t="str">
            <v>LK256C</v>
          </cell>
          <cell r="L2819" t="str">
            <v>HD</v>
          </cell>
          <cell r="M2819" t="str">
            <v>x</v>
          </cell>
          <cell r="N2819" t="e">
            <v>#N/A</v>
          </cell>
          <cell r="O2819" t="str">
            <v>Cummins Engine Maintenance Kit</v>
          </cell>
        </row>
        <row r="2820">
          <cell r="K2820" t="str">
            <v>LK264C</v>
          </cell>
          <cell r="L2820" t="str">
            <v>HD</v>
          </cell>
          <cell r="M2820" t="str">
            <v>x</v>
          </cell>
          <cell r="N2820" t="e">
            <v>#N/A</v>
          </cell>
          <cell r="O2820" t="str">
            <v>Cummins Engine Maintenance Kit</v>
          </cell>
        </row>
        <row r="2821">
          <cell r="K2821" t="str">
            <v>LK247C</v>
          </cell>
          <cell r="L2821" t="str">
            <v>HD</v>
          </cell>
          <cell r="M2821" t="str">
            <v>x</v>
          </cell>
          <cell r="N2821" t="e">
            <v>#N/A</v>
          </cell>
          <cell r="O2821" t="str">
            <v>Cummins Engine Maintenance Kit</v>
          </cell>
        </row>
        <row r="2822">
          <cell r="K2822" t="str">
            <v>LK258C</v>
          </cell>
          <cell r="L2822" t="str">
            <v>HD</v>
          </cell>
          <cell r="M2822" t="str">
            <v>x</v>
          </cell>
          <cell r="N2822" t="e">
            <v>#N/A</v>
          </cell>
          <cell r="O2822" t="str">
            <v>Cummins Engine Maintenance Kit</v>
          </cell>
        </row>
        <row r="2823">
          <cell r="K2823" t="str">
            <v>LK243C</v>
          </cell>
          <cell r="L2823" t="str">
            <v>HD</v>
          </cell>
          <cell r="M2823" t="str">
            <v>x</v>
          </cell>
          <cell r="N2823" t="e">
            <v>#N/A</v>
          </cell>
          <cell r="O2823" t="str">
            <v>Cummins Engine Maintenance Kit</v>
          </cell>
        </row>
        <row r="2824">
          <cell r="K2824" t="str">
            <v>LK69C</v>
          </cell>
          <cell r="L2824" t="str">
            <v>HD</v>
          </cell>
          <cell r="M2824" t="str">
            <v>x</v>
          </cell>
          <cell r="N2824" t="e">
            <v>#N/A</v>
          </cell>
          <cell r="O2824" t="str">
            <v>Cummins Engine Maintenance Kit</v>
          </cell>
        </row>
        <row r="2825">
          <cell r="K2825" t="str">
            <v>LK369C</v>
          </cell>
          <cell r="L2825" t="str">
            <v>HD</v>
          </cell>
          <cell r="M2825" t="str">
            <v>x</v>
          </cell>
          <cell r="N2825" t="e">
            <v>#N/A</v>
          </cell>
          <cell r="O2825" t="str">
            <v>Cummin Maintenance Kit</v>
          </cell>
        </row>
        <row r="2826">
          <cell r="K2826">
            <v>970</v>
          </cell>
          <cell r="L2826" t="str">
            <v>HD</v>
          </cell>
          <cell r="M2826" t="str">
            <v>x</v>
          </cell>
          <cell r="N2826" t="e">
            <v>#N/A</v>
          </cell>
          <cell r="O2826" t="str">
            <v>Cover/970-C</v>
          </cell>
        </row>
        <row r="2827">
          <cell r="K2827" t="str">
            <v>COVER</v>
          </cell>
          <cell r="L2827" t="str">
            <v>HD</v>
          </cell>
          <cell r="M2827" t="str">
            <v>x</v>
          </cell>
          <cell r="N2827" t="e">
            <v>#N/A</v>
          </cell>
          <cell r="O2827" t="str">
            <v>Cover w/3 Plugs Holes for Horizontal Mount/272-C, 363-C</v>
          </cell>
        </row>
        <row r="2828">
          <cell r="K2828" t="str">
            <v>750</v>
          </cell>
          <cell r="L2828" t="str">
            <v>HD</v>
          </cell>
          <cell r="M2828" t="str">
            <v>x</v>
          </cell>
          <cell r="N2828" t="e">
            <v>#N/A</v>
          </cell>
          <cell r="O2828" t="str">
            <v>Cover w/3 Plug Holes for Horizontal  Mount, Black/750-C</v>
          </cell>
        </row>
        <row r="2829">
          <cell r="K2829" t="str">
            <v>272</v>
          </cell>
          <cell r="L2829" t="str">
            <v>HD</v>
          </cell>
          <cell r="M2829" t="str">
            <v>x</v>
          </cell>
          <cell r="N2829" t="e">
            <v>#N/A</v>
          </cell>
          <cell r="O2829" t="str">
            <v>Cover w/1 Plug Hole 272C, 363C</v>
          </cell>
        </row>
        <row r="2830">
          <cell r="K2830">
            <v>1867</v>
          </cell>
          <cell r="L2830" t="str">
            <v>HD</v>
          </cell>
          <cell r="M2830" t="str">
            <v>x</v>
          </cell>
          <cell r="N2830" t="e">
            <v>#N/A</v>
          </cell>
          <cell r="O2830" t="str">
            <v>Cover Gasket/78, 135-S, 200-S</v>
          </cell>
        </row>
        <row r="2831">
          <cell r="K2831" t="str">
            <v>GASKET</v>
          </cell>
          <cell r="L2831" t="str">
            <v>HD</v>
          </cell>
          <cell r="M2831" t="str">
            <v>x</v>
          </cell>
          <cell r="N2831" t="e">
            <v>#N/A</v>
          </cell>
          <cell r="O2831" t="str">
            <v>Cover Gasket, Flat 10 hole/300-S</v>
          </cell>
        </row>
        <row r="2832">
          <cell r="K2832">
            <v>3654</v>
          </cell>
          <cell r="L2832" t="str">
            <v>HD</v>
          </cell>
          <cell r="M2832" t="str">
            <v>x</v>
          </cell>
          <cell r="N2832" t="e">
            <v>#N/A</v>
          </cell>
          <cell r="O2832" t="str">
            <v>Cover Gasket for 3652 Element Filter</v>
          </cell>
        </row>
        <row r="2833">
          <cell r="K2833" t="str">
            <v>LCTK-C2</v>
          </cell>
          <cell r="L2833" t="str">
            <v>HD</v>
          </cell>
          <cell r="M2833" t="str">
            <v>x</v>
          </cell>
          <cell r="N2833" t="e">
            <v>#N/A</v>
          </cell>
          <cell r="O2833" t="str">
            <v>Coolant Analysis Test Kit</v>
          </cell>
        </row>
        <row r="2834">
          <cell r="K2834" t="str">
            <v>LCTK10</v>
          </cell>
          <cell r="L2834" t="str">
            <v>HD</v>
          </cell>
          <cell r="M2834" t="str">
            <v>x</v>
          </cell>
          <cell r="N2834" t="e">
            <v>#N/A</v>
          </cell>
          <cell r="O2834" t="str">
            <v>Coolant Analysis Test Kit</v>
          </cell>
        </row>
        <row r="2835">
          <cell r="K2835" t="str">
            <v>LAF3931</v>
          </cell>
          <cell r="L2835" t="str">
            <v>HD</v>
          </cell>
          <cell r="M2835" t="str">
            <v>x</v>
          </cell>
          <cell r="N2835" t="e">
            <v>#N/A</v>
          </cell>
          <cell r="O2835" t="str">
            <v>Cone Shaped Conical Air Filter</v>
          </cell>
        </row>
        <row r="2836">
          <cell r="K2836" t="str">
            <v>LAF1758</v>
          </cell>
          <cell r="L2836" t="str">
            <v>HD</v>
          </cell>
          <cell r="M2836" t="str">
            <v>x</v>
          </cell>
          <cell r="N2836" t="e">
            <v>#N/A</v>
          </cell>
          <cell r="O2836" t="str">
            <v>Cone Shaped Conical Air Filter</v>
          </cell>
        </row>
        <row r="2837">
          <cell r="K2837" t="str">
            <v>LAF8624</v>
          </cell>
          <cell r="L2837" t="str">
            <v>HD</v>
          </cell>
          <cell r="M2837" t="str">
            <v>x</v>
          </cell>
          <cell r="N2837" t="e">
            <v>#N/A</v>
          </cell>
          <cell r="O2837" t="str">
            <v>Cone Shaped Air Filter With Attached Lid</v>
          </cell>
        </row>
        <row r="2838">
          <cell r="K2838" t="str">
            <v>LAF1739</v>
          </cell>
          <cell r="L2838" t="str">
            <v>HD</v>
          </cell>
          <cell r="M2838" t="str">
            <v>x</v>
          </cell>
          <cell r="N2838" t="e">
            <v>#N/A</v>
          </cell>
          <cell r="O2838" t="str">
            <v>Cone Shaped Air Filter With Attached Lid</v>
          </cell>
        </row>
        <row r="2839">
          <cell r="K2839" t="str">
            <v>750CT</v>
          </cell>
          <cell r="L2839" t="str">
            <v>HD</v>
          </cell>
          <cell r="M2839" t="str">
            <v>x</v>
          </cell>
          <cell r="N2839" t="e">
            <v>#N/A</v>
          </cell>
          <cell r="O2839" t="str">
            <v>Complete gray filter unit with with 1 hole lid , 1</v>
          </cell>
        </row>
        <row r="2840">
          <cell r="K2840" t="str">
            <v>LFP3200K</v>
          </cell>
          <cell r="L2840" t="str">
            <v>HD</v>
          </cell>
          <cell r="M2840" t="str">
            <v>x</v>
          </cell>
          <cell r="N2840" t="e">
            <v>#N/A</v>
          </cell>
          <cell r="O2840" t="str">
            <v>Coalescer Fuel Filter and Mounting Base</v>
          </cell>
        </row>
        <row r="2841">
          <cell r="K2841" t="str">
            <v>CLAMP</v>
          </cell>
          <cell r="L2841" t="str">
            <v>HD</v>
          </cell>
          <cell r="M2841" t="str">
            <v>x</v>
          </cell>
          <cell r="N2841" t="e">
            <v>#N/A</v>
          </cell>
          <cell r="O2841" t="str">
            <v>Clamping Ring Assembly, 2 Piece/272-C, 363-C</v>
          </cell>
        </row>
        <row r="2842">
          <cell r="K2842" t="str">
            <v>CENTER</v>
          </cell>
          <cell r="L2842" t="str">
            <v>HD</v>
          </cell>
          <cell r="M2842" t="str">
            <v>x</v>
          </cell>
          <cell r="N2842" t="e">
            <v>#N/A</v>
          </cell>
          <cell r="O2842" t="str">
            <v>Center Post/F-170, F-170-2, F-170-W</v>
          </cell>
        </row>
        <row r="2843">
          <cell r="K2843" t="str">
            <v>LK255CA</v>
          </cell>
          <cell r="L2843" t="str">
            <v>HD</v>
          </cell>
          <cell r="M2843" t="str">
            <v>x</v>
          </cell>
          <cell r="N2843" t="e">
            <v>#N/A</v>
          </cell>
          <cell r="O2843" t="str">
            <v>Caterpillar Engine Maintenance Kit</v>
          </cell>
        </row>
        <row r="2844">
          <cell r="K2844" t="str">
            <v>LK54CA</v>
          </cell>
          <cell r="L2844" t="str">
            <v>HD</v>
          </cell>
          <cell r="M2844" t="str">
            <v>x</v>
          </cell>
          <cell r="N2844" t="e">
            <v>#N/A</v>
          </cell>
          <cell r="O2844" t="str">
            <v>Caterpillar Engine Maintenance Kit</v>
          </cell>
        </row>
        <row r="2845">
          <cell r="K2845" t="str">
            <v>LK304CA</v>
          </cell>
          <cell r="L2845" t="str">
            <v>HD</v>
          </cell>
          <cell r="M2845" t="str">
            <v>x</v>
          </cell>
          <cell r="N2845" t="e">
            <v>#N/A</v>
          </cell>
          <cell r="O2845" t="str">
            <v>Caterpillar Engine Maintenance Kit</v>
          </cell>
        </row>
        <row r="2846">
          <cell r="K2846" t="str">
            <v>LK160CA</v>
          </cell>
          <cell r="L2846" t="str">
            <v>HD</v>
          </cell>
          <cell r="M2846" t="str">
            <v>x</v>
          </cell>
          <cell r="N2846" t="e">
            <v>#N/A</v>
          </cell>
          <cell r="O2846" t="str">
            <v>Caterpillar Engine Maintenance Kit</v>
          </cell>
        </row>
        <row r="2847">
          <cell r="K2847" t="str">
            <v>LK280CA</v>
          </cell>
          <cell r="L2847" t="str">
            <v>HD</v>
          </cell>
          <cell r="M2847" t="str">
            <v>x</v>
          </cell>
          <cell r="N2847" t="e">
            <v>#N/A</v>
          </cell>
          <cell r="O2847" t="str">
            <v>Caterpillar Engine Maintenance Kit</v>
          </cell>
        </row>
        <row r="2848">
          <cell r="K2848" t="str">
            <v>LK284CA</v>
          </cell>
          <cell r="L2848" t="str">
            <v>HD</v>
          </cell>
          <cell r="M2848" t="str">
            <v>x</v>
          </cell>
          <cell r="N2848" t="e">
            <v>#N/A</v>
          </cell>
          <cell r="O2848" t="str">
            <v>Caterpillar Engine Maintenance Kit</v>
          </cell>
        </row>
        <row r="2849">
          <cell r="K2849" t="str">
            <v>LK96CA</v>
          </cell>
          <cell r="L2849" t="str">
            <v>HD</v>
          </cell>
          <cell r="M2849" t="str">
            <v>x</v>
          </cell>
          <cell r="N2849" t="e">
            <v>#N/A</v>
          </cell>
          <cell r="O2849" t="str">
            <v>Caterpillar Engine Maintenance Kit</v>
          </cell>
        </row>
        <row r="2850">
          <cell r="K2850" t="str">
            <v>LK352CA</v>
          </cell>
          <cell r="L2850" t="str">
            <v>HD</v>
          </cell>
          <cell r="M2850" t="str">
            <v>x</v>
          </cell>
          <cell r="N2850" t="e">
            <v>#N/A</v>
          </cell>
          <cell r="O2850" t="str">
            <v>Caterpillar Engine Maintenance Kit</v>
          </cell>
        </row>
        <row r="2851">
          <cell r="K2851" t="str">
            <v>LK361CA</v>
          </cell>
          <cell r="L2851" t="str">
            <v>HD</v>
          </cell>
          <cell r="M2851" t="str">
            <v>x</v>
          </cell>
          <cell r="N2851" t="e">
            <v>#N/A</v>
          </cell>
          <cell r="O2851" t="str">
            <v>Caterpillar Engine Maintenance Kit</v>
          </cell>
        </row>
        <row r="2852">
          <cell r="K2852" t="str">
            <v>LP970-25</v>
          </cell>
          <cell r="L2852" t="str">
            <v>HD</v>
          </cell>
          <cell r="M2852" t="str">
            <v>x</v>
          </cell>
          <cell r="N2852" t="e">
            <v>#N/A</v>
          </cell>
          <cell r="O2852" t="str">
            <v>Cartridge Oil Filter</v>
          </cell>
        </row>
        <row r="2853">
          <cell r="K2853" t="str">
            <v>LP2220Z</v>
          </cell>
          <cell r="L2853" t="str">
            <v>HD</v>
          </cell>
          <cell r="M2853" t="str">
            <v>x</v>
          </cell>
          <cell r="N2853" t="e">
            <v>#N/A</v>
          </cell>
          <cell r="O2853" t="str">
            <v>Cartridge Oil Filter</v>
          </cell>
        </row>
        <row r="2854">
          <cell r="K2854" t="str">
            <v>LP8107</v>
          </cell>
          <cell r="L2854" t="str">
            <v>HD</v>
          </cell>
          <cell r="M2854" t="str">
            <v>x</v>
          </cell>
          <cell r="N2854" t="e">
            <v>#N/A</v>
          </cell>
          <cell r="O2854" t="str">
            <v>Cartridge Oil Filter</v>
          </cell>
        </row>
        <row r="2855">
          <cell r="K2855" t="str">
            <v>LP2266</v>
          </cell>
          <cell r="L2855" t="str">
            <v>HD</v>
          </cell>
          <cell r="M2855" t="str">
            <v>x</v>
          </cell>
          <cell r="N2855" t="e">
            <v>#N/A</v>
          </cell>
          <cell r="O2855" t="str">
            <v>Cartridge Oil Filter</v>
          </cell>
        </row>
        <row r="2856">
          <cell r="K2856" t="str">
            <v>LP112</v>
          </cell>
          <cell r="L2856" t="str">
            <v>HD</v>
          </cell>
          <cell r="M2856" t="str">
            <v>x</v>
          </cell>
          <cell r="N2856" t="e">
            <v>#N/A</v>
          </cell>
          <cell r="O2856" t="str">
            <v>Cartridge Oil Filter</v>
          </cell>
        </row>
        <row r="2857">
          <cell r="K2857" t="str">
            <v>LP5578</v>
          </cell>
          <cell r="L2857" t="str">
            <v>HD</v>
          </cell>
          <cell r="M2857" t="str">
            <v>x</v>
          </cell>
          <cell r="N2857" t="e">
            <v>#N/A</v>
          </cell>
          <cell r="O2857" t="str">
            <v>Cartridge Oil Filter</v>
          </cell>
        </row>
        <row r="2858">
          <cell r="K2858" t="str">
            <v>LP5900</v>
          </cell>
          <cell r="L2858" t="str">
            <v>HD</v>
          </cell>
          <cell r="M2858" t="str">
            <v>x</v>
          </cell>
          <cell r="N2858" t="e">
            <v>#N/A</v>
          </cell>
          <cell r="O2858" t="str">
            <v>Cartridge Oil Filter</v>
          </cell>
        </row>
        <row r="2859">
          <cell r="K2859" t="str">
            <v>LP1138</v>
          </cell>
          <cell r="L2859" t="str">
            <v>HD</v>
          </cell>
          <cell r="M2859" t="str">
            <v>x</v>
          </cell>
          <cell r="N2859" t="e">
            <v>#N/A</v>
          </cell>
          <cell r="O2859" t="str">
            <v>Cartridge Oil Filter</v>
          </cell>
        </row>
        <row r="2860">
          <cell r="K2860" t="str">
            <v>LP8556</v>
          </cell>
          <cell r="L2860" t="str">
            <v>HD</v>
          </cell>
          <cell r="M2860" t="str">
            <v>x</v>
          </cell>
          <cell r="N2860" t="e">
            <v>#N/A</v>
          </cell>
          <cell r="O2860" t="str">
            <v>Cartridge Oil Filter</v>
          </cell>
        </row>
        <row r="2861">
          <cell r="K2861" t="str">
            <v>LP7518</v>
          </cell>
          <cell r="L2861" t="str">
            <v>HD</v>
          </cell>
          <cell r="M2861" t="str">
            <v>x</v>
          </cell>
          <cell r="N2861" t="e">
            <v>#N/A</v>
          </cell>
          <cell r="O2861" t="str">
            <v>Cartridge Oil Filter</v>
          </cell>
        </row>
        <row r="2862">
          <cell r="K2862" t="str">
            <v>LP8317</v>
          </cell>
          <cell r="L2862" t="str">
            <v>HD</v>
          </cell>
          <cell r="M2862" t="str">
            <v>x</v>
          </cell>
          <cell r="N2862" t="e">
            <v>#N/A</v>
          </cell>
          <cell r="O2862" t="str">
            <v>Cartridge Oil Filter</v>
          </cell>
        </row>
        <row r="2863">
          <cell r="K2863" t="str">
            <v>LP5043</v>
          </cell>
          <cell r="L2863" t="str">
            <v>HD</v>
          </cell>
          <cell r="M2863" t="str">
            <v>x</v>
          </cell>
          <cell r="N2863" t="e">
            <v>#N/A</v>
          </cell>
          <cell r="O2863" t="str">
            <v>Cartridge Oil Filter</v>
          </cell>
        </row>
        <row r="2864">
          <cell r="K2864" t="str">
            <v>LP8941</v>
          </cell>
          <cell r="L2864" t="str">
            <v>HD</v>
          </cell>
          <cell r="M2864" t="str">
            <v>x</v>
          </cell>
          <cell r="N2864" t="e">
            <v>#N/A</v>
          </cell>
          <cell r="O2864" t="str">
            <v>Cartridge Oil Filter</v>
          </cell>
        </row>
        <row r="2865">
          <cell r="K2865" t="str">
            <v>LP8106</v>
          </cell>
          <cell r="L2865" t="str">
            <v>HD</v>
          </cell>
          <cell r="M2865" t="str">
            <v>x</v>
          </cell>
          <cell r="N2865" t="e">
            <v>#N/A</v>
          </cell>
          <cell r="O2865" t="str">
            <v>Cartridge Oil Filter</v>
          </cell>
        </row>
        <row r="2866">
          <cell r="K2866" t="str">
            <v>LP5903</v>
          </cell>
          <cell r="L2866" t="str">
            <v>HD</v>
          </cell>
          <cell r="M2866" t="str">
            <v>x</v>
          </cell>
          <cell r="N2866" t="e">
            <v>#N/A</v>
          </cell>
          <cell r="O2866" t="str">
            <v>Cartridge Oil Filter</v>
          </cell>
        </row>
        <row r="2867">
          <cell r="K2867" t="str">
            <v>LP5952</v>
          </cell>
          <cell r="L2867" t="str">
            <v>HD</v>
          </cell>
          <cell r="M2867" t="str">
            <v>x</v>
          </cell>
          <cell r="N2867" t="e">
            <v>#N/A</v>
          </cell>
          <cell r="O2867" t="str">
            <v>Cartridge Oil Filter</v>
          </cell>
        </row>
        <row r="2868">
          <cell r="K2868" t="str">
            <v>LP8912</v>
          </cell>
          <cell r="L2868" t="str">
            <v>HD</v>
          </cell>
          <cell r="M2868" t="str">
            <v>x</v>
          </cell>
          <cell r="N2868" t="e">
            <v>#N/A</v>
          </cell>
          <cell r="O2868" t="str">
            <v>Cartridge Oil Filter</v>
          </cell>
        </row>
        <row r="2869">
          <cell r="K2869" t="str">
            <v>LP8723</v>
          </cell>
          <cell r="L2869" t="str">
            <v>HD</v>
          </cell>
          <cell r="M2869" t="str">
            <v>x</v>
          </cell>
          <cell r="N2869" t="e">
            <v>#N/A</v>
          </cell>
          <cell r="O2869" t="str">
            <v>Cartridge Oil Filter</v>
          </cell>
        </row>
        <row r="2870">
          <cell r="K2870" t="str">
            <v>LP8511</v>
          </cell>
          <cell r="L2870" t="str">
            <v>HD</v>
          </cell>
          <cell r="M2870" t="str">
            <v>x</v>
          </cell>
          <cell r="N2870" t="e">
            <v>#N/A</v>
          </cell>
          <cell r="O2870" t="str">
            <v>Cartridge Oil Filter</v>
          </cell>
        </row>
        <row r="2871">
          <cell r="K2871" t="str">
            <v>LP2218</v>
          </cell>
          <cell r="L2871" t="str">
            <v>HD</v>
          </cell>
          <cell r="M2871" t="str">
            <v>x</v>
          </cell>
          <cell r="N2871" t="e">
            <v>#N/A</v>
          </cell>
          <cell r="O2871" t="str">
            <v>Cartridge Oil Filter</v>
          </cell>
        </row>
        <row r="2872">
          <cell r="K2872" t="str">
            <v>LP8346</v>
          </cell>
          <cell r="L2872" t="str">
            <v>HD</v>
          </cell>
          <cell r="M2872" t="str">
            <v>x</v>
          </cell>
          <cell r="N2872" t="e">
            <v>#N/A</v>
          </cell>
          <cell r="O2872" t="str">
            <v>Cartridge Oil Filter</v>
          </cell>
        </row>
        <row r="2873">
          <cell r="K2873" t="str">
            <v>LP8347</v>
          </cell>
          <cell r="L2873" t="str">
            <v>HD</v>
          </cell>
          <cell r="M2873" t="str">
            <v>x</v>
          </cell>
          <cell r="N2873" t="e">
            <v>#N/A</v>
          </cell>
          <cell r="O2873" t="str">
            <v>Cartridge Oil Filter</v>
          </cell>
        </row>
        <row r="2874">
          <cell r="K2874" t="str">
            <v>LP8724</v>
          </cell>
          <cell r="L2874" t="str">
            <v>HD</v>
          </cell>
          <cell r="M2874" t="str">
            <v>x</v>
          </cell>
          <cell r="N2874" t="e">
            <v>#N/A</v>
          </cell>
          <cell r="O2874" t="str">
            <v>Cartridge Oil Filter</v>
          </cell>
        </row>
        <row r="2875">
          <cell r="K2875" t="str">
            <v>LP8467</v>
          </cell>
          <cell r="L2875" t="str">
            <v>HD</v>
          </cell>
          <cell r="M2875" t="str">
            <v>x</v>
          </cell>
          <cell r="N2875" t="e">
            <v>#N/A</v>
          </cell>
          <cell r="O2875" t="str">
            <v>Cartridge Oil Filter</v>
          </cell>
        </row>
        <row r="2876">
          <cell r="K2876" t="str">
            <v>LP2214N</v>
          </cell>
          <cell r="L2876" t="str">
            <v>HD</v>
          </cell>
          <cell r="M2876" t="str">
            <v>x</v>
          </cell>
          <cell r="N2876" t="e">
            <v>#N/A</v>
          </cell>
          <cell r="O2876" t="str">
            <v>Cartridge Oil Filter</v>
          </cell>
        </row>
        <row r="2877">
          <cell r="K2877" t="str">
            <v>LP4413</v>
          </cell>
          <cell r="L2877" t="str">
            <v>HD</v>
          </cell>
          <cell r="M2877" t="str">
            <v>x</v>
          </cell>
          <cell r="N2877" t="e">
            <v>#N/A</v>
          </cell>
          <cell r="O2877" t="str">
            <v>Cartridge Oil Filter</v>
          </cell>
        </row>
        <row r="2878">
          <cell r="K2878" t="str">
            <v>LP3362</v>
          </cell>
          <cell r="L2878" t="str">
            <v>HD</v>
          </cell>
          <cell r="M2878" t="str">
            <v>x</v>
          </cell>
          <cell r="N2878" t="e">
            <v>#N/A</v>
          </cell>
          <cell r="O2878" t="str">
            <v>Cartridge Oil Filter</v>
          </cell>
        </row>
        <row r="2879">
          <cell r="K2879" t="str">
            <v>LP4460</v>
          </cell>
          <cell r="L2879" t="str">
            <v>HD</v>
          </cell>
          <cell r="M2879" t="str">
            <v>x</v>
          </cell>
          <cell r="N2879" t="e">
            <v>#N/A</v>
          </cell>
          <cell r="O2879" t="str">
            <v>Cartridge Oil Filter</v>
          </cell>
        </row>
        <row r="2880">
          <cell r="K2880" t="str">
            <v>LP4452</v>
          </cell>
          <cell r="L2880" t="str">
            <v>HD</v>
          </cell>
          <cell r="M2880" t="str">
            <v>x</v>
          </cell>
          <cell r="N2880" t="e">
            <v>#N/A</v>
          </cell>
          <cell r="O2880" t="str">
            <v>Cartridge Oil Filter</v>
          </cell>
        </row>
        <row r="2881">
          <cell r="K2881" t="str">
            <v>LP2328</v>
          </cell>
          <cell r="L2881" t="str">
            <v>HD</v>
          </cell>
          <cell r="M2881" t="str">
            <v>x</v>
          </cell>
          <cell r="N2881" t="e">
            <v>#N/A</v>
          </cell>
          <cell r="O2881" t="str">
            <v>Cartridge Oil Filter</v>
          </cell>
        </row>
        <row r="2882">
          <cell r="K2882" t="str">
            <v>LP798</v>
          </cell>
          <cell r="L2882" t="str">
            <v>HD</v>
          </cell>
          <cell r="M2882" t="str">
            <v>x</v>
          </cell>
          <cell r="N2882" t="e">
            <v>#N/A</v>
          </cell>
          <cell r="O2882" t="str">
            <v>Cartridge Oil Filter</v>
          </cell>
        </row>
        <row r="2883">
          <cell r="K2883" t="str">
            <v>LP614</v>
          </cell>
          <cell r="L2883" t="str">
            <v>HD</v>
          </cell>
          <cell r="M2883" t="str">
            <v>x</v>
          </cell>
          <cell r="N2883" t="e">
            <v>#N/A</v>
          </cell>
          <cell r="O2883" t="str">
            <v>Cartridge Oil Filter</v>
          </cell>
        </row>
        <row r="2884">
          <cell r="K2884" t="str">
            <v>LP5777</v>
          </cell>
          <cell r="L2884" t="str">
            <v>HD</v>
          </cell>
          <cell r="M2884" t="str">
            <v>x</v>
          </cell>
          <cell r="N2884" t="e">
            <v>#N/A</v>
          </cell>
          <cell r="O2884" t="str">
            <v>Cartridge Oil Filter</v>
          </cell>
        </row>
        <row r="2885">
          <cell r="K2885" t="str">
            <v>LP8334</v>
          </cell>
          <cell r="L2885" t="str">
            <v>HD</v>
          </cell>
          <cell r="M2885" t="str">
            <v>x</v>
          </cell>
          <cell r="N2885" t="e">
            <v>#N/A</v>
          </cell>
          <cell r="O2885" t="str">
            <v>Cartridge Oil Filter</v>
          </cell>
        </row>
        <row r="2886">
          <cell r="K2886" t="str">
            <v>LH4430</v>
          </cell>
          <cell r="L2886" t="str">
            <v>HD</v>
          </cell>
          <cell r="M2886" t="str">
            <v>x</v>
          </cell>
          <cell r="N2886" t="e">
            <v>#N/A</v>
          </cell>
          <cell r="O2886" t="str">
            <v>Cartridge Hydraulic Filter</v>
          </cell>
        </row>
        <row r="2887">
          <cell r="K2887" t="str">
            <v>LH4969</v>
          </cell>
          <cell r="L2887" t="str">
            <v>HD</v>
          </cell>
          <cell r="M2887" t="str">
            <v>x</v>
          </cell>
          <cell r="N2887" t="e">
            <v>#N/A</v>
          </cell>
          <cell r="O2887" t="str">
            <v>Cartridge Hydraulic Filter</v>
          </cell>
        </row>
        <row r="2888">
          <cell r="K2888" t="str">
            <v>LH4253</v>
          </cell>
          <cell r="L2888" t="str">
            <v>HD</v>
          </cell>
          <cell r="M2888" t="str">
            <v>x</v>
          </cell>
          <cell r="N2888" t="e">
            <v>#N/A</v>
          </cell>
          <cell r="O2888" t="str">
            <v>Cartridge Hydraulic Filter</v>
          </cell>
        </row>
        <row r="2889">
          <cell r="K2889" t="str">
            <v>LH22151</v>
          </cell>
          <cell r="L2889" t="str">
            <v>HD</v>
          </cell>
          <cell r="M2889" t="str">
            <v>x</v>
          </cell>
          <cell r="N2889" t="e">
            <v>#N/A</v>
          </cell>
          <cell r="O2889" t="str">
            <v>Cartridge Hydraulic Filter</v>
          </cell>
        </row>
        <row r="2890">
          <cell r="K2890" t="str">
            <v>LH6489</v>
          </cell>
          <cell r="L2890" t="str">
            <v>HD</v>
          </cell>
          <cell r="M2890" t="str">
            <v>x</v>
          </cell>
          <cell r="N2890" t="e">
            <v>#N/A</v>
          </cell>
          <cell r="O2890" t="str">
            <v>Cartridge Hydraulic Filter</v>
          </cell>
        </row>
        <row r="2891">
          <cell r="K2891" t="str">
            <v>LH4999</v>
          </cell>
          <cell r="L2891" t="str">
            <v>HD</v>
          </cell>
          <cell r="M2891" t="str">
            <v>x</v>
          </cell>
          <cell r="N2891" t="e">
            <v>#N/A</v>
          </cell>
          <cell r="O2891" t="str">
            <v>Cartridge Hydraulic Filter</v>
          </cell>
        </row>
        <row r="2892">
          <cell r="K2892" t="str">
            <v>LH8522</v>
          </cell>
          <cell r="L2892" t="str">
            <v>HD</v>
          </cell>
          <cell r="M2892" t="str">
            <v>x</v>
          </cell>
          <cell r="N2892" t="e">
            <v>#N/A</v>
          </cell>
          <cell r="O2892" t="str">
            <v>Cartridge Hydraulic Filter</v>
          </cell>
        </row>
        <row r="2893">
          <cell r="K2893" t="str">
            <v>LH8523</v>
          </cell>
          <cell r="L2893" t="str">
            <v>HD</v>
          </cell>
          <cell r="M2893" t="str">
            <v>x</v>
          </cell>
          <cell r="N2893" t="e">
            <v>#N/A</v>
          </cell>
          <cell r="O2893" t="str">
            <v>Cartridge Hydraulic Filter</v>
          </cell>
        </row>
        <row r="2894">
          <cell r="K2894" t="str">
            <v>LH5940</v>
          </cell>
          <cell r="L2894" t="str">
            <v>HD</v>
          </cell>
          <cell r="M2894" t="str">
            <v>x</v>
          </cell>
          <cell r="N2894" t="e">
            <v>#N/A</v>
          </cell>
          <cell r="O2894" t="str">
            <v>Cartridge Hydraulic Filter</v>
          </cell>
        </row>
        <row r="2895">
          <cell r="K2895" t="str">
            <v>LH8540</v>
          </cell>
          <cell r="L2895" t="str">
            <v>HD</v>
          </cell>
          <cell r="M2895" t="str">
            <v>x</v>
          </cell>
          <cell r="N2895" t="e">
            <v>#N/A</v>
          </cell>
          <cell r="O2895" t="str">
            <v>Cartridge Hydraulic Filter</v>
          </cell>
        </row>
        <row r="2896">
          <cell r="K2896" t="str">
            <v>LH95058V</v>
          </cell>
          <cell r="L2896" t="str">
            <v>HD</v>
          </cell>
          <cell r="M2896" t="str">
            <v>x</v>
          </cell>
          <cell r="N2896" t="e">
            <v>#N/A</v>
          </cell>
          <cell r="O2896" t="str">
            <v>Cartridge Hydraulic Filter</v>
          </cell>
        </row>
        <row r="2897">
          <cell r="K2897" t="str">
            <v>LH95314V</v>
          </cell>
          <cell r="L2897" t="str">
            <v>HD</v>
          </cell>
          <cell r="M2897" t="str">
            <v>x</v>
          </cell>
          <cell r="N2897" t="e">
            <v>#N/A</v>
          </cell>
          <cell r="O2897" t="str">
            <v>Cartridge Hydraulic Filter</v>
          </cell>
        </row>
        <row r="2898">
          <cell r="K2898" t="str">
            <v>LH95394V</v>
          </cell>
          <cell r="L2898" t="str">
            <v>HD</v>
          </cell>
          <cell r="M2898" t="str">
            <v>x</v>
          </cell>
          <cell r="N2898" t="e">
            <v>#N/A</v>
          </cell>
          <cell r="O2898" t="str">
            <v>Cartridge Hydraulic Filter</v>
          </cell>
        </row>
        <row r="2899">
          <cell r="K2899" t="str">
            <v>LH9227V</v>
          </cell>
          <cell r="L2899" t="str">
            <v>HD</v>
          </cell>
          <cell r="M2899" t="str">
            <v>x</v>
          </cell>
          <cell r="N2899" t="e">
            <v>#N/A</v>
          </cell>
          <cell r="O2899" t="str">
            <v>Cartridge Hydraulic Filter</v>
          </cell>
        </row>
        <row r="2900">
          <cell r="K2900" t="str">
            <v>LH22142</v>
          </cell>
          <cell r="L2900" t="str">
            <v>HD</v>
          </cell>
          <cell r="M2900" t="str">
            <v>x</v>
          </cell>
          <cell r="N2900" t="e">
            <v>#N/A</v>
          </cell>
          <cell r="O2900" t="str">
            <v>Cartridge Hydraulic Filter</v>
          </cell>
        </row>
        <row r="2901">
          <cell r="K2901" t="str">
            <v>LH9401</v>
          </cell>
          <cell r="L2901" t="str">
            <v>HD</v>
          </cell>
          <cell r="M2901" t="str">
            <v>x</v>
          </cell>
          <cell r="N2901" t="e">
            <v>#N/A</v>
          </cell>
          <cell r="O2901" t="str">
            <v>Cartridge Hydraulic Filter</v>
          </cell>
        </row>
        <row r="2902">
          <cell r="K2902" t="str">
            <v>LH4385-25</v>
          </cell>
          <cell r="L2902" t="str">
            <v>HD</v>
          </cell>
          <cell r="M2902" t="str">
            <v>x</v>
          </cell>
          <cell r="N2902" t="e">
            <v>#N/A</v>
          </cell>
          <cell r="O2902" t="str">
            <v>Cartridge Hydraulic Filter</v>
          </cell>
        </row>
        <row r="2903">
          <cell r="K2903" t="str">
            <v>LH22152</v>
          </cell>
          <cell r="L2903" t="str">
            <v>HD</v>
          </cell>
          <cell r="M2903" t="str">
            <v>x</v>
          </cell>
          <cell r="N2903" t="e">
            <v>#N/A</v>
          </cell>
          <cell r="O2903" t="str">
            <v>Cartridge Hydraulic Filter</v>
          </cell>
        </row>
        <row r="2904">
          <cell r="K2904" t="str">
            <v>LP8214</v>
          </cell>
          <cell r="L2904" t="str">
            <v>HD</v>
          </cell>
          <cell r="M2904" t="str">
            <v>x</v>
          </cell>
          <cell r="N2904" t="e">
            <v>#N/A</v>
          </cell>
          <cell r="O2904" t="str">
            <v>Cartridge Hydraulic Filter</v>
          </cell>
        </row>
        <row r="2905">
          <cell r="K2905" t="str">
            <v>LH4920</v>
          </cell>
          <cell r="L2905" t="str">
            <v>HD</v>
          </cell>
          <cell r="M2905" t="str">
            <v>x</v>
          </cell>
          <cell r="N2905" t="e">
            <v>#N/A</v>
          </cell>
          <cell r="O2905" t="str">
            <v>Cartridge Hydraulic Filter</v>
          </cell>
        </row>
        <row r="2906">
          <cell r="K2906" t="str">
            <v>LFH3882-10</v>
          </cell>
          <cell r="L2906" t="str">
            <v>HD</v>
          </cell>
          <cell r="M2906" t="str">
            <v>x</v>
          </cell>
          <cell r="N2906" t="e">
            <v>#N/A</v>
          </cell>
          <cell r="O2906" t="str">
            <v>Cartridge Hydraulic Filter</v>
          </cell>
        </row>
        <row r="2907">
          <cell r="K2907" t="str">
            <v>LH5841</v>
          </cell>
          <cell r="L2907" t="str">
            <v>HD</v>
          </cell>
          <cell r="M2907" t="str">
            <v>x</v>
          </cell>
          <cell r="N2907" t="e">
            <v>#N/A</v>
          </cell>
          <cell r="O2907" t="str">
            <v>Cartridge Hydraulic Filter</v>
          </cell>
        </row>
        <row r="2908">
          <cell r="K2908" t="str">
            <v>LH8545</v>
          </cell>
          <cell r="L2908" t="str">
            <v>HD</v>
          </cell>
          <cell r="M2908" t="str">
            <v>x</v>
          </cell>
          <cell r="N2908" t="e">
            <v>#N/A</v>
          </cell>
          <cell r="O2908" t="str">
            <v>Cartridge Hydraulic Filter</v>
          </cell>
        </row>
        <row r="2909">
          <cell r="K2909" t="str">
            <v>LH9359V</v>
          </cell>
          <cell r="L2909" t="str">
            <v>HD</v>
          </cell>
          <cell r="M2909" t="str">
            <v>x</v>
          </cell>
          <cell r="N2909" t="e">
            <v>#N/A</v>
          </cell>
          <cell r="O2909" t="str">
            <v>Cartridge Hydraulic Filter</v>
          </cell>
        </row>
        <row r="2910">
          <cell r="K2910" t="str">
            <v>LH8336</v>
          </cell>
          <cell r="L2910" t="str">
            <v>HD</v>
          </cell>
          <cell r="M2910" t="str">
            <v>x</v>
          </cell>
          <cell r="N2910" t="e">
            <v>#N/A</v>
          </cell>
          <cell r="O2910" t="str">
            <v>Cartridge Hydraulic Filter</v>
          </cell>
        </row>
        <row r="2911">
          <cell r="K2911" t="str">
            <v>LH4900</v>
          </cell>
          <cell r="L2911" t="str">
            <v>HD</v>
          </cell>
          <cell r="M2911" t="str">
            <v>x</v>
          </cell>
          <cell r="N2911" t="e">
            <v>#N/A</v>
          </cell>
          <cell r="O2911" t="str">
            <v>Cartridge Hydraulic Filter</v>
          </cell>
        </row>
        <row r="2912">
          <cell r="K2912" t="str">
            <v>LP2280</v>
          </cell>
          <cell r="L2912" t="str">
            <v>HD</v>
          </cell>
          <cell r="M2912" t="str">
            <v>x</v>
          </cell>
          <cell r="N2912" t="e">
            <v>#N/A</v>
          </cell>
          <cell r="O2912" t="str">
            <v>Cartridge Hydraulic Filter</v>
          </cell>
        </row>
        <row r="2913">
          <cell r="K2913" t="str">
            <v>LH4448</v>
          </cell>
          <cell r="L2913" t="str">
            <v>HD</v>
          </cell>
          <cell r="M2913" t="str">
            <v>x</v>
          </cell>
          <cell r="N2913" t="e">
            <v>#N/A</v>
          </cell>
          <cell r="O2913" t="str">
            <v>Cartridge Hydraulic Filter</v>
          </cell>
        </row>
        <row r="2914">
          <cell r="K2914" t="str">
            <v>LH4244</v>
          </cell>
          <cell r="L2914" t="str">
            <v>HD</v>
          </cell>
          <cell r="M2914" t="str">
            <v>x</v>
          </cell>
          <cell r="N2914" t="e">
            <v>#N/A</v>
          </cell>
          <cell r="O2914" t="str">
            <v>Cartridge Hydraulic Filter</v>
          </cell>
        </row>
        <row r="2915">
          <cell r="K2915" t="str">
            <v>LH8699</v>
          </cell>
          <cell r="L2915" t="str">
            <v>HD</v>
          </cell>
          <cell r="M2915" t="str">
            <v>x</v>
          </cell>
          <cell r="N2915" t="e">
            <v>#N/A</v>
          </cell>
          <cell r="O2915" t="str">
            <v>Cartridge Hydraulic Filter</v>
          </cell>
        </row>
        <row r="2916">
          <cell r="K2916" t="str">
            <v>LH4251</v>
          </cell>
          <cell r="L2916" t="str">
            <v>HD</v>
          </cell>
          <cell r="M2916" t="str">
            <v>x</v>
          </cell>
          <cell r="N2916" t="e">
            <v>#N/A</v>
          </cell>
          <cell r="O2916" t="str">
            <v>Cartridge Hydraulic Filter</v>
          </cell>
        </row>
        <row r="2917">
          <cell r="K2917" t="str">
            <v>LH3029V</v>
          </cell>
          <cell r="L2917" t="str">
            <v>HD</v>
          </cell>
          <cell r="M2917" t="str">
            <v>x</v>
          </cell>
          <cell r="N2917" t="e">
            <v>#N/A</v>
          </cell>
          <cell r="O2917" t="str">
            <v>Cartridge Hydraulic Filter</v>
          </cell>
        </row>
        <row r="2918">
          <cell r="K2918" t="str">
            <v>LH9310V</v>
          </cell>
          <cell r="L2918" t="str">
            <v>HD</v>
          </cell>
          <cell r="M2918" t="str">
            <v>x</v>
          </cell>
          <cell r="N2918" t="e">
            <v>#N/A</v>
          </cell>
          <cell r="O2918" t="str">
            <v>Cartridge Hydraulic Filter</v>
          </cell>
        </row>
        <row r="2919">
          <cell r="K2919" t="str">
            <v>LH4583</v>
          </cell>
          <cell r="L2919" t="str">
            <v>HD</v>
          </cell>
          <cell r="M2919" t="str">
            <v>x</v>
          </cell>
          <cell r="N2919" t="e">
            <v>#N/A</v>
          </cell>
          <cell r="O2919" t="str">
            <v>Cartridge Hydraulic Filter</v>
          </cell>
        </row>
        <row r="2920">
          <cell r="K2920" t="str">
            <v>LH4267</v>
          </cell>
          <cell r="L2920" t="str">
            <v>HD</v>
          </cell>
          <cell r="M2920" t="str">
            <v>x</v>
          </cell>
          <cell r="N2920" t="e">
            <v>#N/A</v>
          </cell>
          <cell r="O2920" t="str">
            <v>Cartridge Hydraulic Filter</v>
          </cell>
        </row>
        <row r="2921">
          <cell r="K2921" t="str">
            <v>LH8520</v>
          </cell>
          <cell r="L2921" t="str">
            <v>HD</v>
          </cell>
          <cell r="M2921" t="str">
            <v>x</v>
          </cell>
          <cell r="N2921" t="e">
            <v>#N/A</v>
          </cell>
          <cell r="O2921" t="str">
            <v>Cartridge Hydraulic Filter</v>
          </cell>
        </row>
        <row r="2922">
          <cell r="K2922" t="str">
            <v>LH4100V</v>
          </cell>
          <cell r="L2922" t="str">
            <v>HD</v>
          </cell>
          <cell r="M2922" t="str">
            <v>x</v>
          </cell>
          <cell r="N2922" t="e">
            <v>#N/A</v>
          </cell>
          <cell r="O2922" t="str">
            <v>Cartridge Hydraulic Filter</v>
          </cell>
        </row>
        <row r="2923">
          <cell r="K2923" t="str">
            <v>LH4242</v>
          </cell>
          <cell r="L2923" t="str">
            <v>HD</v>
          </cell>
          <cell r="M2923" t="str">
            <v>x</v>
          </cell>
          <cell r="N2923" t="e">
            <v>#N/A</v>
          </cell>
          <cell r="O2923" t="str">
            <v>Cartridge Hydraulic Filter</v>
          </cell>
        </row>
        <row r="2924">
          <cell r="K2924" t="str">
            <v>LH7041V</v>
          </cell>
          <cell r="L2924" t="str">
            <v>HD</v>
          </cell>
          <cell r="M2924" t="str">
            <v>x</v>
          </cell>
          <cell r="N2924" t="e">
            <v>#N/A</v>
          </cell>
          <cell r="O2924" t="str">
            <v>Cartridge Hydraulic Filter</v>
          </cell>
        </row>
        <row r="2925">
          <cell r="K2925" t="str">
            <v>LH6979V</v>
          </cell>
          <cell r="L2925" t="str">
            <v>HD</v>
          </cell>
          <cell r="M2925" t="str">
            <v>x</v>
          </cell>
          <cell r="N2925" t="e">
            <v>#N/A</v>
          </cell>
          <cell r="O2925" t="str">
            <v>Cartridge Hydraulic Filter</v>
          </cell>
        </row>
        <row r="2926">
          <cell r="K2926" t="str">
            <v>LH7084</v>
          </cell>
          <cell r="L2926" t="str">
            <v>HD</v>
          </cell>
          <cell r="M2926" t="str">
            <v>x</v>
          </cell>
          <cell r="N2926" t="e">
            <v>#N/A</v>
          </cell>
          <cell r="O2926" t="str">
            <v>Cartridge Hydraulic Filter</v>
          </cell>
        </row>
        <row r="2927">
          <cell r="K2927" t="str">
            <v>LH9039</v>
          </cell>
          <cell r="L2927" t="str">
            <v>HD</v>
          </cell>
          <cell r="M2927" t="str">
            <v>x</v>
          </cell>
          <cell r="N2927" t="e">
            <v>#N/A</v>
          </cell>
          <cell r="O2927" t="str">
            <v>Cartridge Hydraulic Filter</v>
          </cell>
        </row>
        <row r="2928">
          <cell r="K2928" t="str">
            <v>LH5017</v>
          </cell>
          <cell r="L2928" t="str">
            <v>HD</v>
          </cell>
          <cell r="M2928" t="str">
            <v>x</v>
          </cell>
          <cell r="N2928" t="e">
            <v>#N/A</v>
          </cell>
          <cell r="O2928" t="str">
            <v>Cartridge Hydraulic Filter</v>
          </cell>
        </row>
        <row r="2929">
          <cell r="K2929" t="str">
            <v>LH4745</v>
          </cell>
          <cell r="L2929" t="str">
            <v>HD</v>
          </cell>
          <cell r="M2929" t="str">
            <v>x</v>
          </cell>
          <cell r="N2929" t="e">
            <v>#N/A</v>
          </cell>
          <cell r="O2929" t="str">
            <v>Cartridge Hydraulic Filter</v>
          </cell>
        </row>
        <row r="2930">
          <cell r="K2930" t="str">
            <v>LP4429</v>
          </cell>
          <cell r="L2930" t="str">
            <v>HD</v>
          </cell>
          <cell r="M2930" t="str">
            <v>x</v>
          </cell>
          <cell r="N2930" t="e">
            <v>#N/A</v>
          </cell>
          <cell r="O2930" t="str">
            <v>Cartridge Hydraulic Filter</v>
          </cell>
        </row>
        <row r="2931">
          <cell r="K2931" t="str">
            <v>LH3035V</v>
          </cell>
          <cell r="L2931" t="str">
            <v>HD</v>
          </cell>
          <cell r="M2931" t="str">
            <v>x</v>
          </cell>
          <cell r="N2931" t="e">
            <v>#N/A</v>
          </cell>
          <cell r="O2931" t="str">
            <v>Cartridge Hydraulic Filter</v>
          </cell>
        </row>
        <row r="2932">
          <cell r="K2932" t="str">
            <v>LH8546</v>
          </cell>
          <cell r="L2932" t="str">
            <v>HD</v>
          </cell>
          <cell r="M2932" t="str">
            <v>x</v>
          </cell>
          <cell r="N2932" t="e">
            <v>#N/A</v>
          </cell>
          <cell r="O2932" t="str">
            <v>Cartridge Hydraulic Filter</v>
          </cell>
        </row>
        <row r="2933">
          <cell r="K2933" t="str">
            <v>LH4249</v>
          </cell>
          <cell r="L2933" t="str">
            <v>HD</v>
          </cell>
          <cell r="M2933" t="str">
            <v>x</v>
          </cell>
          <cell r="N2933" t="e">
            <v>#N/A</v>
          </cell>
          <cell r="O2933" t="str">
            <v>Cartridge Hydraulic Filter</v>
          </cell>
        </row>
        <row r="2934">
          <cell r="K2934" t="str">
            <v>LH9400</v>
          </cell>
          <cell r="L2934" t="str">
            <v>HD</v>
          </cell>
          <cell r="M2934" t="str">
            <v>x</v>
          </cell>
          <cell r="N2934" t="e">
            <v>#N/A</v>
          </cell>
          <cell r="O2934" t="str">
            <v>Cartridge Hydraulic Filter</v>
          </cell>
        </row>
        <row r="2935">
          <cell r="K2935" t="str">
            <v>LH4435</v>
          </cell>
          <cell r="L2935" t="str">
            <v>HD</v>
          </cell>
          <cell r="M2935" t="str">
            <v>x</v>
          </cell>
          <cell r="N2935" t="e">
            <v>#N/A</v>
          </cell>
          <cell r="O2935" t="str">
            <v>Cartridge Hydraulic Filter</v>
          </cell>
        </row>
        <row r="2936">
          <cell r="K2936" t="str">
            <v>LH6988V</v>
          </cell>
          <cell r="L2936" t="str">
            <v>HD</v>
          </cell>
          <cell r="M2936" t="str">
            <v>x</v>
          </cell>
          <cell r="N2936" t="e">
            <v>#N/A</v>
          </cell>
          <cell r="O2936" t="str">
            <v>Cartridge Hydraulic Filter</v>
          </cell>
        </row>
        <row r="2937">
          <cell r="K2937" t="str">
            <v>LH4230V</v>
          </cell>
          <cell r="L2937" t="str">
            <v>HD</v>
          </cell>
          <cell r="M2937" t="str">
            <v>x</v>
          </cell>
          <cell r="N2937" t="e">
            <v>#N/A</v>
          </cell>
          <cell r="O2937" t="str">
            <v>Cartridge Hydraulic Filter</v>
          </cell>
        </row>
        <row r="2938">
          <cell r="K2938" t="str">
            <v>LH7083</v>
          </cell>
          <cell r="L2938" t="str">
            <v>HD</v>
          </cell>
          <cell r="M2938" t="str">
            <v>x</v>
          </cell>
          <cell r="N2938" t="e">
            <v>#N/A</v>
          </cell>
          <cell r="O2938" t="str">
            <v>Cartridge Hydraulic Filter</v>
          </cell>
        </row>
        <row r="2939">
          <cell r="K2939" t="str">
            <v>LH6899V</v>
          </cell>
          <cell r="L2939" t="str">
            <v>HD</v>
          </cell>
          <cell r="M2939" t="str">
            <v>x</v>
          </cell>
          <cell r="N2939" t="e">
            <v>#N/A</v>
          </cell>
          <cell r="O2939" t="str">
            <v>Cartridge Hydraulic Filter</v>
          </cell>
        </row>
        <row r="2940">
          <cell r="K2940" t="str">
            <v>LH8787</v>
          </cell>
          <cell r="L2940" t="str">
            <v>HD</v>
          </cell>
          <cell r="M2940" t="str">
            <v>x</v>
          </cell>
          <cell r="N2940" t="e">
            <v>#N/A</v>
          </cell>
          <cell r="O2940" t="str">
            <v>Cartridge Hydraulic Filter</v>
          </cell>
        </row>
        <row r="2941">
          <cell r="K2941" t="str">
            <v>LH9267</v>
          </cell>
          <cell r="L2941" t="str">
            <v>HD</v>
          </cell>
          <cell r="M2941" t="str">
            <v>x</v>
          </cell>
          <cell r="N2941" t="e">
            <v>#N/A</v>
          </cell>
          <cell r="O2941" t="str">
            <v>Cartridge Hydraulic Filter</v>
          </cell>
        </row>
        <row r="2942">
          <cell r="K2942" t="str">
            <v>LH95332V</v>
          </cell>
          <cell r="L2942" t="str">
            <v>HD</v>
          </cell>
          <cell r="M2942" t="str">
            <v>x</v>
          </cell>
          <cell r="N2942" t="e">
            <v>#N/A</v>
          </cell>
          <cell r="O2942" t="str">
            <v>Cartridge Hydraulic Filter</v>
          </cell>
        </row>
        <row r="2943">
          <cell r="K2943" t="str">
            <v>LH4257</v>
          </cell>
          <cell r="L2943" t="str">
            <v>HD</v>
          </cell>
          <cell r="M2943" t="str">
            <v>x</v>
          </cell>
          <cell r="N2943" t="e">
            <v>#N/A</v>
          </cell>
          <cell r="O2943" t="str">
            <v>Cartridge Hydraulic Filter</v>
          </cell>
        </row>
        <row r="2944">
          <cell r="K2944" t="str">
            <v>LP8472</v>
          </cell>
          <cell r="L2944" t="str">
            <v>HD</v>
          </cell>
          <cell r="M2944" t="str">
            <v>x</v>
          </cell>
          <cell r="N2944" t="e">
            <v>#N/A</v>
          </cell>
          <cell r="O2944" t="str">
            <v>Cartridge Hydraulic Filter</v>
          </cell>
        </row>
        <row r="2945">
          <cell r="K2945" t="str">
            <v>LH95027V</v>
          </cell>
          <cell r="L2945" t="str">
            <v>HD</v>
          </cell>
          <cell r="M2945" t="str">
            <v>x</v>
          </cell>
          <cell r="N2945" t="e">
            <v>#N/A</v>
          </cell>
          <cell r="O2945" t="str">
            <v>Cartridge Hydraulic Filter</v>
          </cell>
        </row>
        <row r="2946">
          <cell r="K2946" t="str">
            <v>LH4853</v>
          </cell>
          <cell r="L2946" t="str">
            <v>HD</v>
          </cell>
          <cell r="M2946" t="str">
            <v>x</v>
          </cell>
          <cell r="N2946" t="e">
            <v>#N/A</v>
          </cell>
          <cell r="O2946" t="str">
            <v>Cartridge Hydraulic Filter</v>
          </cell>
        </row>
        <row r="2947">
          <cell r="K2947" t="str">
            <v>LH4598</v>
          </cell>
          <cell r="L2947" t="str">
            <v>HD</v>
          </cell>
          <cell r="M2947" t="str">
            <v>x</v>
          </cell>
          <cell r="N2947" t="e">
            <v>#N/A</v>
          </cell>
          <cell r="O2947" t="str">
            <v>Cartridge Hydraulic Filter</v>
          </cell>
        </row>
        <row r="2948">
          <cell r="K2948" t="str">
            <v>LH4178</v>
          </cell>
          <cell r="L2948" t="str">
            <v>HD</v>
          </cell>
          <cell r="M2948" t="str">
            <v>x</v>
          </cell>
          <cell r="N2948" t="e">
            <v>#N/A</v>
          </cell>
          <cell r="O2948" t="str">
            <v>Cartridge Hydraulic Filter</v>
          </cell>
        </row>
        <row r="2949">
          <cell r="K2949" t="str">
            <v>LH8521</v>
          </cell>
          <cell r="L2949" t="str">
            <v>HD</v>
          </cell>
          <cell r="M2949" t="str">
            <v>x</v>
          </cell>
          <cell r="N2949" t="e">
            <v>#N/A</v>
          </cell>
          <cell r="O2949" t="str">
            <v>Cartridge Hydraulic Filter</v>
          </cell>
        </row>
        <row r="2950">
          <cell r="K2950" t="str">
            <v>LH4245</v>
          </cell>
          <cell r="L2950" t="str">
            <v>HD</v>
          </cell>
          <cell r="M2950" t="str">
            <v>x</v>
          </cell>
          <cell r="N2950" t="e">
            <v>#N/A</v>
          </cell>
          <cell r="O2950" t="str">
            <v>Cartridge Hydraulic Filter</v>
          </cell>
        </row>
        <row r="2951">
          <cell r="K2951" t="str">
            <v>LH8532</v>
          </cell>
          <cell r="L2951" t="str">
            <v>HD</v>
          </cell>
          <cell r="M2951" t="str">
            <v>x</v>
          </cell>
          <cell r="N2951" t="e">
            <v>#N/A</v>
          </cell>
          <cell r="O2951" t="str">
            <v>Cartridge Hydraulic Filter</v>
          </cell>
        </row>
        <row r="2952">
          <cell r="K2952" t="str">
            <v>LH4476</v>
          </cell>
          <cell r="L2952" t="str">
            <v>HD</v>
          </cell>
          <cell r="M2952" t="str">
            <v>x</v>
          </cell>
          <cell r="N2952" t="e">
            <v>#N/A</v>
          </cell>
          <cell r="O2952" t="str">
            <v>Cartridge Hydraulic Filter</v>
          </cell>
        </row>
        <row r="2953">
          <cell r="K2953" t="str">
            <v>LH22072</v>
          </cell>
          <cell r="L2953" t="str">
            <v>HD</v>
          </cell>
          <cell r="M2953" t="str">
            <v>x</v>
          </cell>
          <cell r="N2953" t="e">
            <v>#N/A</v>
          </cell>
          <cell r="O2953" t="str">
            <v>Cartridge Hydraulic Filter</v>
          </cell>
        </row>
        <row r="2954">
          <cell r="K2954" t="str">
            <v>LH8883</v>
          </cell>
          <cell r="L2954" t="str">
            <v>HD</v>
          </cell>
          <cell r="M2954" t="str">
            <v>x</v>
          </cell>
          <cell r="N2954" t="e">
            <v>#N/A</v>
          </cell>
          <cell r="O2954" t="str">
            <v>Cartridge Hydraulic Filter</v>
          </cell>
        </row>
        <row r="2955">
          <cell r="K2955" t="str">
            <v>LH4387</v>
          </cell>
          <cell r="L2955" t="str">
            <v>HD</v>
          </cell>
          <cell r="M2955" t="str">
            <v>x</v>
          </cell>
          <cell r="N2955" t="e">
            <v>#N/A</v>
          </cell>
          <cell r="O2955" t="str">
            <v>Cartridge Hydraulic Filter</v>
          </cell>
        </row>
        <row r="2956">
          <cell r="K2956" t="str">
            <v>LH8698</v>
          </cell>
          <cell r="L2956" t="str">
            <v>HD</v>
          </cell>
          <cell r="M2956" t="str">
            <v>x</v>
          </cell>
          <cell r="N2956" t="e">
            <v>#N/A</v>
          </cell>
          <cell r="O2956" t="str">
            <v>Cartridge Hydraulic Filter</v>
          </cell>
        </row>
        <row r="2957">
          <cell r="K2957" t="str">
            <v>LP3361</v>
          </cell>
          <cell r="L2957" t="str">
            <v>HD</v>
          </cell>
          <cell r="M2957" t="str">
            <v>x</v>
          </cell>
          <cell r="N2957" t="e">
            <v>#N/A</v>
          </cell>
          <cell r="O2957" t="str">
            <v>Cartridge Hydraulic Filter</v>
          </cell>
        </row>
        <row r="2958">
          <cell r="K2958" t="str">
            <v>LH4258</v>
          </cell>
          <cell r="L2958" t="str">
            <v>HD</v>
          </cell>
          <cell r="M2958" t="str">
            <v>x</v>
          </cell>
          <cell r="N2958" t="e">
            <v>#N/A</v>
          </cell>
          <cell r="O2958" t="str">
            <v>Cartridge Hydraulic Filter</v>
          </cell>
        </row>
        <row r="2959">
          <cell r="K2959" t="str">
            <v>LP8447</v>
          </cell>
          <cell r="L2959" t="str">
            <v>HD</v>
          </cell>
          <cell r="M2959" t="str">
            <v>x</v>
          </cell>
          <cell r="N2959" t="e">
            <v>#N/A</v>
          </cell>
          <cell r="O2959" t="str">
            <v>Cartridge Hydraulic Filter</v>
          </cell>
        </row>
        <row r="2960">
          <cell r="K2960" t="str">
            <v>LH22116</v>
          </cell>
          <cell r="L2960" t="str">
            <v>HD</v>
          </cell>
          <cell r="M2960" t="str">
            <v>x</v>
          </cell>
          <cell r="N2960" t="e">
            <v>#N/A</v>
          </cell>
          <cell r="O2960" t="str">
            <v>Cartridge Hydraulic Filter</v>
          </cell>
        </row>
        <row r="2961">
          <cell r="K2961" t="str">
            <v>LH95316V</v>
          </cell>
          <cell r="L2961" t="str">
            <v>HD</v>
          </cell>
          <cell r="M2961" t="str">
            <v>x</v>
          </cell>
          <cell r="N2961" t="e">
            <v>#N/A</v>
          </cell>
          <cell r="O2961" t="str">
            <v>Cartridge Hydraulic Filter</v>
          </cell>
        </row>
        <row r="2962">
          <cell r="K2962" t="str">
            <v>LH4229</v>
          </cell>
          <cell r="L2962" t="str">
            <v>HD</v>
          </cell>
          <cell r="M2962" t="str">
            <v>x</v>
          </cell>
          <cell r="N2962" t="e">
            <v>#N/A</v>
          </cell>
          <cell r="O2962" t="str">
            <v>Cartridge Hydraulic Filter</v>
          </cell>
        </row>
        <row r="2963">
          <cell r="K2963" t="str">
            <v>LP4433</v>
          </cell>
          <cell r="L2963" t="str">
            <v>HD</v>
          </cell>
          <cell r="M2963" t="str">
            <v>x</v>
          </cell>
          <cell r="N2963" t="e">
            <v>#N/A</v>
          </cell>
          <cell r="O2963" t="str">
            <v>Cartridge Hydraulic Filter</v>
          </cell>
        </row>
        <row r="2964">
          <cell r="K2964" t="str">
            <v>LH22068</v>
          </cell>
          <cell r="L2964" t="str">
            <v>HD</v>
          </cell>
          <cell r="M2964" t="str">
            <v>x</v>
          </cell>
          <cell r="N2964" t="e">
            <v>#N/A</v>
          </cell>
          <cell r="O2964" t="str">
            <v>Cartridge Hydraulic Filter</v>
          </cell>
        </row>
        <row r="2965">
          <cell r="K2965" t="str">
            <v>LH4462</v>
          </cell>
          <cell r="L2965" t="str">
            <v>HD</v>
          </cell>
          <cell r="M2965" t="str">
            <v>x</v>
          </cell>
          <cell r="N2965" t="e">
            <v>#N/A</v>
          </cell>
          <cell r="O2965" t="str">
            <v>Cartridge Hydraulic Filter</v>
          </cell>
        </row>
        <row r="2966">
          <cell r="K2966" t="str">
            <v>LH4468</v>
          </cell>
          <cell r="L2966" t="str">
            <v>HD</v>
          </cell>
          <cell r="M2966" t="str">
            <v>x</v>
          </cell>
          <cell r="N2966" t="e">
            <v>#N/A</v>
          </cell>
          <cell r="O2966" t="str">
            <v>Cartridge Hydraulic Filter</v>
          </cell>
        </row>
        <row r="2967">
          <cell r="K2967" t="str">
            <v>LH95063V</v>
          </cell>
          <cell r="L2967" t="str">
            <v>HD</v>
          </cell>
          <cell r="M2967" t="str">
            <v>x</v>
          </cell>
          <cell r="N2967" t="e">
            <v>#N/A</v>
          </cell>
          <cell r="O2967" t="str">
            <v>Cartridge Hydraulic Filter</v>
          </cell>
        </row>
        <row r="2968">
          <cell r="K2968" t="str">
            <v>LP8466</v>
          </cell>
          <cell r="L2968" t="str">
            <v>HD</v>
          </cell>
          <cell r="M2968" t="str">
            <v>x</v>
          </cell>
          <cell r="N2968" t="e">
            <v>#N/A</v>
          </cell>
          <cell r="O2968" t="str">
            <v>Cartridge Hydraulic Filter</v>
          </cell>
        </row>
        <row r="2969">
          <cell r="K2969" t="str">
            <v>LH22070</v>
          </cell>
          <cell r="L2969" t="str">
            <v>HD</v>
          </cell>
          <cell r="M2969" t="str">
            <v>x</v>
          </cell>
          <cell r="N2969" t="e">
            <v>#N/A</v>
          </cell>
          <cell r="O2969" t="str">
            <v>Cartridge Hydraulic Filter</v>
          </cell>
        </row>
        <row r="2970">
          <cell r="K2970" t="str">
            <v>LH95197</v>
          </cell>
          <cell r="L2970" t="str">
            <v>HD</v>
          </cell>
          <cell r="M2970" t="str">
            <v>x</v>
          </cell>
          <cell r="N2970" t="e">
            <v>#N/A</v>
          </cell>
          <cell r="O2970" t="str">
            <v>Cartridge Hydraulic Filter</v>
          </cell>
        </row>
        <row r="2971">
          <cell r="K2971" t="str">
            <v>LH5000</v>
          </cell>
          <cell r="L2971" t="str">
            <v>HD</v>
          </cell>
          <cell r="M2971" t="str">
            <v>x</v>
          </cell>
          <cell r="N2971" t="e">
            <v>#N/A</v>
          </cell>
          <cell r="O2971" t="str">
            <v>Cartridge Hydraulic Filter</v>
          </cell>
        </row>
        <row r="2972">
          <cell r="K2972" t="str">
            <v>LH22121</v>
          </cell>
          <cell r="L2972" t="str">
            <v>HD</v>
          </cell>
          <cell r="M2972" t="str">
            <v>x</v>
          </cell>
          <cell r="N2972" t="e">
            <v>#N/A</v>
          </cell>
          <cell r="O2972" t="str">
            <v>Cartridge Hydraulic Filter</v>
          </cell>
        </row>
        <row r="2973">
          <cell r="K2973" t="str">
            <v>LH4255</v>
          </cell>
          <cell r="L2973" t="str">
            <v>HD</v>
          </cell>
          <cell r="M2973" t="str">
            <v>x</v>
          </cell>
          <cell r="N2973" t="e">
            <v>#N/A</v>
          </cell>
          <cell r="O2973" t="str">
            <v>Cartridge Hydraulic Filter</v>
          </cell>
        </row>
        <row r="2974">
          <cell r="K2974" t="str">
            <v>LH95117V</v>
          </cell>
          <cell r="L2974" t="str">
            <v>HD</v>
          </cell>
          <cell r="M2974" t="str">
            <v>x</v>
          </cell>
          <cell r="N2974" t="e">
            <v>#N/A</v>
          </cell>
          <cell r="O2974" t="str">
            <v>Cartridge Hydraulic Filter</v>
          </cell>
        </row>
        <row r="2975">
          <cell r="K2975" t="str">
            <v>LH95271V</v>
          </cell>
          <cell r="L2975" t="str">
            <v>HD</v>
          </cell>
          <cell r="M2975" t="str">
            <v>x</v>
          </cell>
          <cell r="N2975" t="e">
            <v>#N/A</v>
          </cell>
          <cell r="O2975" t="str">
            <v>Cartridge Hydraulic Filter</v>
          </cell>
        </row>
        <row r="2976">
          <cell r="K2976" t="str">
            <v>LH95850</v>
          </cell>
          <cell r="L2976" t="str">
            <v>HD</v>
          </cell>
          <cell r="M2976" t="str">
            <v>x</v>
          </cell>
          <cell r="N2976" t="e">
            <v>#N/A</v>
          </cell>
          <cell r="O2976" t="str">
            <v>Cartridge Hydraulic Filter</v>
          </cell>
        </row>
        <row r="2977">
          <cell r="K2977" t="str">
            <v>LH95272V</v>
          </cell>
          <cell r="L2977" t="str">
            <v>HD</v>
          </cell>
          <cell r="M2977" t="str">
            <v>x</v>
          </cell>
          <cell r="N2977" t="e">
            <v>#N/A</v>
          </cell>
          <cell r="O2977" t="str">
            <v>Cartridge Hydraulic Filter</v>
          </cell>
        </row>
        <row r="2978">
          <cell r="K2978" t="str">
            <v>LH95276V</v>
          </cell>
          <cell r="L2978" t="str">
            <v>HD</v>
          </cell>
          <cell r="M2978" t="str">
            <v>x</v>
          </cell>
          <cell r="N2978" t="e">
            <v>#N/A</v>
          </cell>
          <cell r="O2978" t="str">
            <v>Cartridge Hydraulic Filter</v>
          </cell>
        </row>
        <row r="2979">
          <cell r="K2979" t="str">
            <v>LH95024V</v>
          </cell>
          <cell r="L2979" t="str">
            <v>HD</v>
          </cell>
          <cell r="M2979" t="str">
            <v>x</v>
          </cell>
          <cell r="N2979" t="e">
            <v>#N/A</v>
          </cell>
          <cell r="O2979" t="str">
            <v>Cartridge Hydraulic Filter</v>
          </cell>
        </row>
        <row r="2980">
          <cell r="K2980" t="str">
            <v>LH95115V</v>
          </cell>
          <cell r="L2980" t="str">
            <v>HD</v>
          </cell>
          <cell r="M2980" t="str">
            <v>x</v>
          </cell>
          <cell r="N2980" t="e">
            <v>#N/A</v>
          </cell>
          <cell r="O2980" t="str">
            <v>Cartridge Hydraulic Filter</v>
          </cell>
        </row>
        <row r="2981">
          <cell r="K2981" t="str">
            <v>LH4240</v>
          </cell>
          <cell r="L2981" t="str">
            <v>HD</v>
          </cell>
          <cell r="M2981" t="str">
            <v>x</v>
          </cell>
          <cell r="N2981" t="e">
            <v>#N/A</v>
          </cell>
          <cell r="O2981" t="str">
            <v>Cartridge Hydraulic Filter</v>
          </cell>
        </row>
        <row r="2982">
          <cell r="K2982" t="str">
            <v>LH4475</v>
          </cell>
          <cell r="L2982" t="str">
            <v>HD</v>
          </cell>
          <cell r="M2982" t="str">
            <v>x</v>
          </cell>
          <cell r="N2982" t="e">
            <v>#N/A</v>
          </cell>
          <cell r="O2982" t="str">
            <v>Cartridge Hydraulic Filter</v>
          </cell>
        </row>
        <row r="2983">
          <cell r="K2983" t="str">
            <v>LH9411</v>
          </cell>
          <cell r="L2983" t="str">
            <v>HD</v>
          </cell>
          <cell r="M2983" t="str">
            <v>x</v>
          </cell>
          <cell r="N2983" t="e">
            <v>#N/A</v>
          </cell>
          <cell r="O2983" t="str">
            <v>Cartridge Hydraulic Filter</v>
          </cell>
        </row>
        <row r="2984">
          <cell r="K2984" t="str">
            <v>LH6194</v>
          </cell>
          <cell r="L2984" t="str">
            <v>HD</v>
          </cell>
          <cell r="M2984" t="str">
            <v>x</v>
          </cell>
          <cell r="N2984" t="e">
            <v>#N/A</v>
          </cell>
          <cell r="O2984" t="str">
            <v>Cartridge Hydraulic Filter</v>
          </cell>
        </row>
        <row r="2985">
          <cell r="K2985" t="str">
            <v>LH9413</v>
          </cell>
          <cell r="L2985" t="str">
            <v>HD</v>
          </cell>
          <cell r="M2985" t="str">
            <v>x</v>
          </cell>
          <cell r="N2985" t="e">
            <v>#N/A</v>
          </cell>
          <cell r="O2985" t="str">
            <v>Cartridge Hydraulic Filter</v>
          </cell>
        </row>
        <row r="2986">
          <cell r="K2986" t="str">
            <v>LH95999V</v>
          </cell>
          <cell r="L2986" t="str">
            <v>HD</v>
          </cell>
          <cell r="M2986" t="str">
            <v>x</v>
          </cell>
          <cell r="N2986" t="e">
            <v>#N/A</v>
          </cell>
          <cell r="O2986" t="str">
            <v>Cartridge Hydraulic Filter</v>
          </cell>
        </row>
        <row r="2987">
          <cell r="K2987" t="str">
            <v>LH22074</v>
          </cell>
          <cell r="L2987" t="str">
            <v>HD</v>
          </cell>
          <cell r="M2987" t="str">
            <v>x</v>
          </cell>
          <cell r="N2987" t="e">
            <v>#N/A</v>
          </cell>
          <cell r="O2987" t="str">
            <v>Cartridge Hydraulic Filter</v>
          </cell>
        </row>
        <row r="2988">
          <cell r="K2988" t="str">
            <v>LH95610</v>
          </cell>
          <cell r="L2988" t="str">
            <v>HD</v>
          </cell>
          <cell r="M2988" t="str">
            <v>x</v>
          </cell>
          <cell r="N2988" t="e">
            <v>#N/A</v>
          </cell>
          <cell r="O2988" t="str">
            <v>Cartridge Hydraulic Filter</v>
          </cell>
        </row>
        <row r="2989">
          <cell r="K2989" t="str">
            <v>LH95046V</v>
          </cell>
          <cell r="L2989" t="str">
            <v>HD</v>
          </cell>
          <cell r="M2989" t="str">
            <v>x</v>
          </cell>
          <cell r="N2989" t="e">
            <v>#N/A</v>
          </cell>
          <cell r="O2989" t="str">
            <v>Cartridge Hydraulic Filter</v>
          </cell>
        </row>
        <row r="2990">
          <cell r="K2990" t="str">
            <v>LH95341V</v>
          </cell>
          <cell r="L2990" t="str">
            <v>HD</v>
          </cell>
          <cell r="M2990" t="str">
            <v>x</v>
          </cell>
          <cell r="N2990" t="e">
            <v>#N/A</v>
          </cell>
          <cell r="O2990" t="str">
            <v>Cartridge Hydraulic Filter</v>
          </cell>
        </row>
        <row r="2991">
          <cell r="K2991" t="str">
            <v>LH4265</v>
          </cell>
          <cell r="L2991" t="str">
            <v>HD</v>
          </cell>
          <cell r="M2991" t="str">
            <v>x</v>
          </cell>
          <cell r="N2991" t="e">
            <v>#N/A</v>
          </cell>
          <cell r="O2991" t="str">
            <v>Cartridge Hydraulic Filter</v>
          </cell>
        </row>
        <row r="2992">
          <cell r="K2992" t="str">
            <v>LH95121V</v>
          </cell>
          <cell r="L2992" t="str">
            <v>HD</v>
          </cell>
          <cell r="M2992" t="str">
            <v>x</v>
          </cell>
          <cell r="N2992" t="e">
            <v>#N/A</v>
          </cell>
          <cell r="O2992" t="str">
            <v>Cartridge Hydraulic Filter</v>
          </cell>
        </row>
        <row r="2993">
          <cell r="K2993" t="str">
            <v>LH95920V</v>
          </cell>
          <cell r="L2993" t="str">
            <v>HD</v>
          </cell>
          <cell r="M2993" t="str">
            <v>x</v>
          </cell>
          <cell r="N2993" t="e">
            <v>#N/A</v>
          </cell>
          <cell r="O2993" t="str">
            <v>Cartridge Hydraulic Filter</v>
          </cell>
        </row>
        <row r="2994">
          <cell r="K2994" t="str">
            <v>LH95011</v>
          </cell>
          <cell r="L2994" t="str">
            <v>HD</v>
          </cell>
          <cell r="M2994" t="str">
            <v>x</v>
          </cell>
          <cell r="N2994" t="e">
            <v>#N/A</v>
          </cell>
          <cell r="O2994" t="str">
            <v>Cartridge Hydraulic Filter</v>
          </cell>
        </row>
        <row r="2995">
          <cell r="K2995" t="str">
            <v>LH95121</v>
          </cell>
          <cell r="L2995" t="str">
            <v>HD</v>
          </cell>
          <cell r="M2995" t="str">
            <v>x</v>
          </cell>
          <cell r="N2995" t="e">
            <v>#N/A</v>
          </cell>
          <cell r="O2995" t="str">
            <v>Cartridge Hydraulic Filter</v>
          </cell>
        </row>
        <row r="2996">
          <cell r="K2996" t="str">
            <v>LH95266V</v>
          </cell>
          <cell r="L2996" t="str">
            <v>HD</v>
          </cell>
          <cell r="M2996" t="str">
            <v>x</v>
          </cell>
          <cell r="N2996" t="e">
            <v>#N/A</v>
          </cell>
          <cell r="O2996" t="str">
            <v>Cartridge Hydraulic Filter</v>
          </cell>
        </row>
        <row r="2997">
          <cell r="K2997" t="str">
            <v>LH95281V</v>
          </cell>
          <cell r="L2997" t="str">
            <v>HD</v>
          </cell>
          <cell r="M2997" t="str">
            <v>x</v>
          </cell>
          <cell r="N2997" t="e">
            <v>#N/A</v>
          </cell>
          <cell r="O2997" t="str">
            <v>Cartridge Hydraulic Filter</v>
          </cell>
        </row>
        <row r="2998">
          <cell r="K2998" t="str">
            <v>LH3878</v>
          </cell>
          <cell r="L2998" t="str">
            <v>HD</v>
          </cell>
          <cell r="M2998" t="str">
            <v>x</v>
          </cell>
          <cell r="N2998" t="e">
            <v>#N/A</v>
          </cell>
          <cell r="O2998" t="str">
            <v>Cartridge Hydraulic Filter</v>
          </cell>
        </row>
        <row r="2999">
          <cell r="K2999" t="str">
            <v>LH95241</v>
          </cell>
          <cell r="L2999" t="str">
            <v>HD</v>
          </cell>
          <cell r="M2999" t="str">
            <v>x</v>
          </cell>
          <cell r="N2999" t="e">
            <v>#N/A</v>
          </cell>
          <cell r="O2999" t="str">
            <v>Cartridge Hydraulic Filter</v>
          </cell>
        </row>
        <row r="3000">
          <cell r="K3000" t="str">
            <v>LH95996V</v>
          </cell>
          <cell r="L3000" t="str">
            <v>HD</v>
          </cell>
          <cell r="M3000" t="str">
            <v>x</v>
          </cell>
          <cell r="N3000" t="e">
            <v>#N/A</v>
          </cell>
          <cell r="O3000" t="str">
            <v>Cartridge Hydraulic Filter</v>
          </cell>
        </row>
        <row r="3001">
          <cell r="K3001" t="str">
            <v>LH95152</v>
          </cell>
          <cell r="L3001" t="str">
            <v>HD</v>
          </cell>
          <cell r="M3001" t="str">
            <v>x</v>
          </cell>
          <cell r="N3001" t="e">
            <v>#N/A</v>
          </cell>
          <cell r="O3001" t="str">
            <v>Cartridge Hydraulic Filter</v>
          </cell>
        </row>
        <row r="3002">
          <cell r="K3002" t="str">
            <v>LH4474</v>
          </cell>
          <cell r="L3002" t="str">
            <v>HD</v>
          </cell>
          <cell r="M3002" t="str">
            <v>x</v>
          </cell>
          <cell r="N3002" t="e">
            <v>#N/A</v>
          </cell>
          <cell r="O3002" t="str">
            <v>Cartridge Hydraulic Filter</v>
          </cell>
        </row>
        <row r="3003">
          <cell r="K3003" t="str">
            <v>LP4453</v>
          </cell>
          <cell r="L3003" t="str">
            <v>HD</v>
          </cell>
          <cell r="M3003" t="str">
            <v>x</v>
          </cell>
          <cell r="N3003" t="e">
            <v>#N/A</v>
          </cell>
          <cell r="O3003" t="str">
            <v>Cartridge Hydraulic Filter</v>
          </cell>
        </row>
        <row r="3004">
          <cell r="K3004" t="str">
            <v>LP8413</v>
          </cell>
          <cell r="L3004" t="str">
            <v>HD</v>
          </cell>
          <cell r="M3004" t="str">
            <v>x</v>
          </cell>
          <cell r="N3004" t="e">
            <v>#N/A</v>
          </cell>
          <cell r="O3004" t="str">
            <v>Cartridge Hydraulic Filter</v>
          </cell>
        </row>
        <row r="3005">
          <cell r="K3005" t="str">
            <v>LH4417</v>
          </cell>
          <cell r="L3005" t="str">
            <v>HD</v>
          </cell>
          <cell r="M3005" t="str">
            <v>x</v>
          </cell>
          <cell r="N3005" t="e">
            <v>#N/A</v>
          </cell>
          <cell r="O3005" t="str">
            <v>Cartridge Hydraulic Filter</v>
          </cell>
        </row>
        <row r="3006">
          <cell r="K3006" t="str">
            <v>LP8290</v>
          </cell>
          <cell r="L3006" t="str">
            <v>HD</v>
          </cell>
          <cell r="M3006" t="str">
            <v>x</v>
          </cell>
          <cell r="N3006" t="e">
            <v>#N/A</v>
          </cell>
          <cell r="O3006" t="str">
            <v>Cartridge Hydraulic Filter</v>
          </cell>
        </row>
        <row r="3007">
          <cell r="K3007" t="str">
            <v>LH8378</v>
          </cell>
          <cell r="L3007" t="str">
            <v>HD</v>
          </cell>
          <cell r="M3007" t="str">
            <v>x</v>
          </cell>
          <cell r="N3007" t="e">
            <v>#N/A</v>
          </cell>
          <cell r="O3007" t="str">
            <v>Cartridge Hydraulic Filter</v>
          </cell>
        </row>
        <row r="3008">
          <cell r="K3008" t="str">
            <v>LH4269</v>
          </cell>
          <cell r="L3008" t="str">
            <v>HD</v>
          </cell>
          <cell r="M3008" t="str">
            <v>x</v>
          </cell>
          <cell r="N3008" t="e">
            <v>#N/A</v>
          </cell>
          <cell r="O3008" t="str">
            <v>Cartridge Hydraulic Filter</v>
          </cell>
        </row>
        <row r="3009">
          <cell r="K3009" t="str">
            <v>LH22069</v>
          </cell>
          <cell r="L3009" t="str">
            <v>HD</v>
          </cell>
          <cell r="M3009" t="str">
            <v>x</v>
          </cell>
          <cell r="N3009" t="e">
            <v>#N/A</v>
          </cell>
          <cell r="O3009" t="str">
            <v>Cartridge Hydraulic Filter</v>
          </cell>
        </row>
        <row r="3010">
          <cell r="K3010" t="str">
            <v>LH8519</v>
          </cell>
          <cell r="L3010" t="str">
            <v>HD</v>
          </cell>
          <cell r="M3010" t="str">
            <v>x</v>
          </cell>
          <cell r="N3010" t="e">
            <v>#N/A</v>
          </cell>
          <cell r="O3010" t="str">
            <v>Cartridge Hydraulic Filter</v>
          </cell>
        </row>
        <row r="3011">
          <cell r="K3011" t="str">
            <v>LH4995</v>
          </cell>
          <cell r="L3011" t="str">
            <v>HD</v>
          </cell>
          <cell r="M3011" t="str">
            <v>x</v>
          </cell>
          <cell r="N3011" t="e">
            <v>#N/A</v>
          </cell>
          <cell r="O3011" t="str">
            <v>Cartridge Hydraulic Filter</v>
          </cell>
        </row>
        <row r="3012">
          <cell r="K3012" t="str">
            <v>L3401F</v>
          </cell>
          <cell r="L3012" t="str">
            <v>HD</v>
          </cell>
          <cell r="M3012" t="str">
            <v>x</v>
          </cell>
          <cell r="N3012" t="e">
            <v>#N/A</v>
          </cell>
          <cell r="O3012" t="str">
            <v>Cartridge Fuel Filter</v>
          </cell>
        </row>
        <row r="3013">
          <cell r="K3013" t="str">
            <v>L3568F</v>
          </cell>
          <cell r="L3013" t="str">
            <v>HD</v>
          </cell>
          <cell r="M3013" t="str">
            <v>x</v>
          </cell>
          <cell r="N3013" t="e">
            <v>#N/A</v>
          </cell>
          <cell r="O3013" t="str">
            <v>Cartridge Fuel Filter</v>
          </cell>
        </row>
        <row r="3014">
          <cell r="K3014" t="str">
            <v>L3577F</v>
          </cell>
          <cell r="L3014" t="str">
            <v>HD</v>
          </cell>
          <cell r="M3014" t="str">
            <v>x</v>
          </cell>
          <cell r="N3014" t="e">
            <v>#N/A</v>
          </cell>
          <cell r="O3014" t="str">
            <v>Cartridge Fuel Filter</v>
          </cell>
        </row>
        <row r="3015">
          <cell r="K3015" t="str">
            <v>L1020F</v>
          </cell>
          <cell r="L3015" t="str">
            <v>HD</v>
          </cell>
          <cell r="M3015" t="str">
            <v>x</v>
          </cell>
          <cell r="N3015" t="e">
            <v>#N/A</v>
          </cell>
          <cell r="O3015" t="str">
            <v>Cartridge Fuel Filter</v>
          </cell>
        </row>
        <row r="3016">
          <cell r="K3016" t="str">
            <v>L8109F</v>
          </cell>
          <cell r="L3016" t="str">
            <v>HD</v>
          </cell>
          <cell r="M3016" t="str">
            <v>x</v>
          </cell>
          <cell r="N3016" t="e">
            <v>#N/A</v>
          </cell>
          <cell r="O3016" t="str">
            <v>Cartridge Fuel Filter</v>
          </cell>
        </row>
        <row r="3017">
          <cell r="K3017" t="str">
            <v>LFF3510</v>
          </cell>
          <cell r="L3017" t="str">
            <v>HD</v>
          </cell>
          <cell r="M3017" t="str">
            <v>x</v>
          </cell>
          <cell r="N3017" t="e">
            <v>#N/A</v>
          </cell>
          <cell r="O3017" t="str">
            <v>Cartridge Fuel Filter</v>
          </cell>
        </row>
        <row r="3018">
          <cell r="K3018" t="str">
            <v>L5949F</v>
          </cell>
          <cell r="L3018" t="str">
            <v>HD</v>
          </cell>
          <cell r="M3018" t="str">
            <v>x</v>
          </cell>
          <cell r="N3018" t="e">
            <v>#N/A</v>
          </cell>
          <cell r="O3018" t="str">
            <v>Cartridge Fuel Filter</v>
          </cell>
        </row>
        <row r="3019">
          <cell r="K3019" t="str">
            <v>LFF3508</v>
          </cell>
          <cell r="L3019" t="str">
            <v>HD</v>
          </cell>
          <cell r="M3019" t="str">
            <v>x</v>
          </cell>
          <cell r="N3019" t="e">
            <v>#N/A</v>
          </cell>
          <cell r="O3019" t="str">
            <v>Cartridge Fuel Filter</v>
          </cell>
        </row>
        <row r="3020">
          <cell r="K3020" t="str">
            <v>LFF3511</v>
          </cell>
          <cell r="L3020" t="str">
            <v>HD</v>
          </cell>
          <cell r="M3020" t="str">
            <v>x</v>
          </cell>
          <cell r="N3020" t="e">
            <v>#N/A</v>
          </cell>
          <cell r="O3020" t="str">
            <v>Cartridge Fuel Filter</v>
          </cell>
        </row>
        <row r="3021">
          <cell r="K3021" t="str">
            <v>L3516F</v>
          </cell>
          <cell r="L3021" t="str">
            <v>HD</v>
          </cell>
          <cell r="M3021" t="str">
            <v>x</v>
          </cell>
          <cell r="N3021" t="e">
            <v>#N/A</v>
          </cell>
          <cell r="O3021" t="str">
            <v>Cartridge Fuel Filter</v>
          </cell>
        </row>
        <row r="3022">
          <cell r="K3022" t="str">
            <v>L3562F</v>
          </cell>
          <cell r="L3022" t="str">
            <v>HD</v>
          </cell>
          <cell r="M3022" t="str">
            <v>x</v>
          </cell>
          <cell r="N3022" t="e">
            <v>#N/A</v>
          </cell>
          <cell r="O3022" t="str">
            <v>Cartridge Fuel Filter</v>
          </cell>
        </row>
        <row r="3023">
          <cell r="K3023" t="str">
            <v>L877F</v>
          </cell>
          <cell r="L3023" t="str">
            <v>HD</v>
          </cell>
          <cell r="M3023" t="str">
            <v>x</v>
          </cell>
          <cell r="N3023" t="e">
            <v>#N/A</v>
          </cell>
          <cell r="O3023" t="str">
            <v>Cartridge Fuel Filter</v>
          </cell>
        </row>
        <row r="3024">
          <cell r="K3024" t="str">
            <v>L3418F</v>
          </cell>
          <cell r="L3024" t="str">
            <v>HD</v>
          </cell>
          <cell r="M3024" t="str">
            <v>x</v>
          </cell>
          <cell r="N3024" t="e">
            <v>#N/A</v>
          </cell>
          <cell r="O3024" t="str">
            <v>Cartridge Fuel Filter</v>
          </cell>
        </row>
        <row r="3025">
          <cell r="K3025" t="str">
            <v>L14F</v>
          </cell>
          <cell r="L3025" t="str">
            <v>HD</v>
          </cell>
          <cell r="M3025" t="str">
            <v>x</v>
          </cell>
          <cell r="N3025" t="e">
            <v>#N/A</v>
          </cell>
          <cell r="O3025" t="str">
            <v>Cartridge Fuel Filter</v>
          </cell>
        </row>
        <row r="3026">
          <cell r="K3026" t="str">
            <v>L22000F</v>
          </cell>
          <cell r="L3026" t="str">
            <v>HD</v>
          </cell>
          <cell r="M3026" t="str">
            <v>x</v>
          </cell>
          <cell r="N3026" t="e">
            <v>#N/A</v>
          </cell>
          <cell r="O3026" t="str">
            <v>Cartridge Fuel Filter</v>
          </cell>
        </row>
        <row r="3027">
          <cell r="K3027" t="str">
            <v>L8305F</v>
          </cell>
          <cell r="L3027" t="str">
            <v>HD</v>
          </cell>
          <cell r="M3027" t="str">
            <v>x</v>
          </cell>
          <cell r="N3027" t="e">
            <v>#N/A</v>
          </cell>
          <cell r="O3027" t="str">
            <v>Cartridge Fuel Filter</v>
          </cell>
        </row>
        <row r="3028">
          <cell r="K3028" t="str">
            <v>L7767F</v>
          </cell>
          <cell r="L3028" t="str">
            <v>HD</v>
          </cell>
          <cell r="M3028" t="str">
            <v>x</v>
          </cell>
          <cell r="N3028" t="e">
            <v>#N/A</v>
          </cell>
          <cell r="O3028" t="str">
            <v>Cartridge Fuel Filter</v>
          </cell>
        </row>
        <row r="3029">
          <cell r="K3029" t="str">
            <v>L8702F</v>
          </cell>
          <cell r="L3029" t="str">
            <v>HD</v>
          </cell>
          <cell r="M3029" t="str">
            <v>x</v>
          </cell>
          <cell r="N3029" t="e">
            <v>#N/A</v>
          </cell>
          <cell r="O3029" t="str">
            <v>Cartridge Fuel Filter</v>
          </cell>
        </row>
        <row r="3030">
          <cell r="K3030" t="str">
            <v>L3569F</v>
          </cell>
          <cell r="L3030" t="str">
            <v>HD</v>
          </cell>
          <cell r="M3030" t="str">
            <v>x</v>
          </cell>
          <cell r="N3030" t="e">
            <v>#N/A</v>
          </cell>
          <cell r="O3030" t="str">
            <v>Cartridge Fuel Filter</v>
          </cell>
        </row>
        <row r="3031">
          <cell r="K3031" t="str">
            <v>L3405F</v>
          </cell>
          <cell r="L3031" t="str">
            <v>HD</v>
          </cell>
          <cell r="M3031" t="str">
            <v>x</v>
          </cell>
          <cell r="N3031" t="e">
            <v>#N/A</v>
          </cell>
          <cell r="O3031" t="str">
            <v>Cartridge Fuel Filter</v>
          </cell>
        </row>
        <row r="3032">
          <cell r="K3032" t="str">
            <v>LP4083</v>
          </cell>
          <cell r="L3032" t="str">
            <v>HD</v>
          </cell>
          <cell r="M3032" t="str">
            <v>x</v>
          </cell>
          <cell r="N3032" t="e">
            <v>#N/A</v>
          </cell>
          <cell r="O3032" t="str">
            <v>Cartridge Centrifugal Oil Filter</v>
          </cell>
        </row>
        <row r="3033">
          <cell r="K3033" t="str">
            <v>CAF12001XL</v>
          </cell>
          <cell r="L3033" t="str">
            <v>HD</v>
          </cell>
          <cell r="M3033" t="str">
            <v>x</v>
          </cell>
          <cell r="N3033" t="e">
            <v>#N/A</v>
          </cell>
          <cell r="O3033" t="str">
            <v>Cabin Air Filter (Carbon) Extreme Clean</v>
          </cell>
        </row>
        <row r="3034">
          <cell r="K3034" t="str">
            <v>LAF8960</v>
          </cell>
          <cell r="L3034" t="str">
            <v>HD</v>
          </cell>
          <cell r="M3034" t="str">
            <v>x</v>
          </cell>
          <cell r="N3034" t="e">
            <v>#N/A</v>
          </cell>
          <cell r="O3034" t="str">
            <v>Cabin Air Filter</v>
          </cell>
        </row>
        <row r="3035">
          <cell r="K3035" t="str">
            <v>BRKT</v>
          </cell>
          <cell r="L3035" t="str">
            <v>HD</v>
          </cell>
          <cell r="M3035" t="str">
            <v>x</v>
          </cell>
          <cell r="N3035" t="e">
            <v>#N/A</v>
          </cell>
          <cell r="O3035" t="str">
            <v>Bracket Brand/500-C, 750-C, 970-C</v>
          </cell>
        </row>
        <row r="3036">
          <cell r="K3036" t="str">
            <v>BRACKET</v>
          </cell>
          <cell r="L3036" t="str">
            <v>HD</v>
          </cell>
          <cell r="M3036" t="str">
            <v>x</v>
          </cell>
          <cell r="N3036" t="e">
            <v>#N/A</v>
          </cell>
          <cell r="O3036" t="str">
            <v>Bracket Base/500-C, CT, 750-C, 970-C, Black/500-C, 750-C, CT</v>
          </cell>
        </row>
        <row r="3037">
          <cell r="K3037" t="str">
            <v>BRKT</v>
          </cell>
          <cell r="L3037" t="str">
            <v>HD</v>
          </cell>
          <cell r="M3037" t="str">
            <v>x</v>
          </cell>
          <cell r="N3037" t="e">
            <v>#N/A</v>
          </cell>
          <cell r="O3037" t="str">
            <v>Bracket Base/500-C, 750-C, 970-C</v>
          </cell>
        </row>
        <row r="3038">
          <cell r="K3038" t="str">
            <v>BRKT</v>
          </cell>
          <cell r="L3038" t="str">
            <v>HD</v>
          </cell>
          <cell r="M3038" t="str">
            <v>x</v>
          </cell>
          <cell r="N3038" t="e">
            <v>#N/A</v>
          </cell>
          <cell r="O3038" t="str">
            <v>Bracket Base/272-C, 300-S, 363-C</v>
          </cell>
        </row>
        <row r="3039">
          <cell r="K3039" t="str">
            <v>BRACKET</v>
          </cell>
          <cell r="L3039" t="str">
            <v>HD</v>
          </cell>
          <cell r="M3039" t="str">
            <v>x</v>
          </cell>
          <cell r="N3039" t="e">
            <v>#N/A</v>
          </cell>
          <cell r="O3039" t="str">
            <v>Bracket Base Spevial (Double 2206)/500-C, 750-C, CT</v>
          </cell>
        </row>
        <row r="3040">
          <cell r="K3040" t="str">
            <v>BRACKET</v>
          </cell>
          <cell r="L3040" t="str">
            <v>HD</v>
          </cell>
          <cell r="M3040" t="str">
            <v>x</v>
          </cell>
          <cell r="N3040" t="e">
            <v>#N/A</v>
          </cell>
          <cell r="O3040" t="str">
            <v>Bracket Band/500-C, 750-C, CT, 970-C, Black/500-C, 750-C, CT</v>
          </cell>
        </row>
        <row r="3041">
          <cell r="K3041" t="str">
            <v>BRKT</v>
          </cell>
          <cell r="L3041" t="str">
            <v>HD</v>
          </cell>
          <cell r="M3041" t="str">
            <v>x</v>
          </cell>
          <cell r="N3041" t="e">
            <v>#N/A</v>
          </cell>
          <cell r="O3041" t="str">
            <v>Bracket Band/272-C, 300-S, 363-C</v>
          </cell>
        </row>
        <row r="3042">
          <cell r="K3042" t="str">
            <v>LFF9005</v>
          </cell>
          <cell r="L3042" t="str">
            <v>HD</v>
          </cell>
          <cell r="M3042" t="str">
            <v>x</v>
          </cell>
          <cell r="N3042" t="e">
            <v>#N/A</v>
          </cell>
          <cell r="O3042" t="str">
            <v>Bowl Style Fuel Water Separator Filter</v>
          </cell>
        </row>
        <row r="3043">
          <cell r="K3043" t="str">
            <v>LFF905</v>
          </cell>
          <cell r="L3043" t="str">
            <v>HD</v>
          </cell>
          <cell r="M3043" t="str">
            <v>x</v>
          </cell>
          <cell r="N3043" t="e">
            <v>#N/A</v>
          </cell>
          <cell r="O3043" t="str">
            <v>Bowl Style Fuel Water Separator Filter</v>
          </cell>
        </row>
        <row r="3044">
          <cell r="K3044" t="str">
            <v>20362</v>
          </cell>
          <cell r="L3044" t="str">
            <v>HD</v>
          </cell>
          <cell r="M3044" t="str">
            <v>x</v>
          </cell>
          <cell r="N3044" t="e">
            <v>#N/A</v>
          </cell>
          <cell r="O3044" t="str">
            <v>Boot gasket for LAF5069 &amp; LAF1818.</v>
          </cell>
        </row>
        <row r="3045">
          <cell r="K3045" t="str">
            <v>LMB1002</v>
          </cell>
          <cell r="L3045" t="str">
            <v>HD</v>
          </cell>
          <cell r="M3045" t="str">
            <v>x</v>
          </cell>
          <cell r="N3045" t="e">
            <v>#N/A</v>
          </cell>
          <cell r="O3045" t="str">
            <v>Base for LFF8010 or LFP944F</v>
          </cell>
        </row>
        <row r="3046">
          <cell r="K3046" t="str">
            <v>MACH</v>
          </cell>
          <cell r="L3046" t="str">
            <v>HD</v>
          </cell>
          <cell r="M3046" t="str">
            <v>x</v>
          </cell>
          <cell r="N3046" t="e">
            <v>#N/A</v>
          </cell>
          <cell r="O3046" t="str">
            <v>Base Bolts/750-2, 3, 2C &amp; 3C</v>
          </cell>
        </row>
        <row r="3047">
          <cell r="K3047">
            <v>1152</v>
          </cell>
          <cell r="L3047" t="str">
            <v>HD</v>
          </cell>
          <cell r="M3047" t="str">
            <v>x</v>
          </cell>
          <cell r="N3047" t="e">
            <v>#N/A</v>
          </cell>
          <cell r="O3047" t="str">
            <v>Baldwin G301; O-ring used in LP7485 by-pass lube filter for International trucks.</v>
          </cell>
        </row>
        <row r="3048">
          <cell r="K3048">
            <v>1151</v>
          </cell>
          <cell r="L3048" t="str">
            <v>HD</v>
          </cell>
          <cell r="M3048" t="str">
            <v>x</v>
          </cell>
          <cell r="N3048" t="e">
            <v>#N/A</v>
          </cell>
          <cell r="O3048" t="str">
            <v>Baldwin 75 Gasoline or Diesel Fuel Filter/Water Separator</v>
          </cell>
        </row>
        <row r="3049">
          <cell r="K3049">
            <v>1150</v>
          </cell>
          <cell r="L3049" t="str">
            <v>HD</v>
          </cell>
          <cell r="M3049" t="str">
            <v>x</v>
          </cell>
          <cell r="N3049" t="e">
            <v>#N/A</v>
          </cell>
          <cell r="O3049" t="str">
            <v>Baldwin 65 Gasoline or Diesel Fuel Filter/Water Separator</v>
          </cell>
        </row>
        <row r="3050">
          <cell r="K3050">
            <v>1147</v>
          </cell>
          <cell r="L3050" t="str">
            <v>HD</v>
          </cell>
          <cell r="M3050" t="str">
            <v>x</v>
          </cell>
          <cell r="N3050" t="e">
            <v>#N/A</v>
          </cell>
          <cell r="O3050" t="str">
            <v>Baldwin 200-GK; set of 11 gaskets for 200 and 300 Series Dahl fuel systems.</v>
          </cell>
        </row>
        <row r="3051">
          <cell r="K3051" t="str">
            <v>ALIGNMENT</v>
          </cell>
          <cell r="L3051" t="str">
            <v>HD</v>
          </cell>
          <cell r="M3051" t="str">
            <v>x</v>
          </cell>
          <cell r="N3051" t="e">
            <v>#N/A</v>
          </cell>
          <cell r="O3051" t="str">
            <v>Alignment Ring, Hold Down Assembly/750-2C, 3C</v>
          </cell>
        </row>
        <row r="3052">
          <cell r="K3052" t="str">
            <v>750CT</v>
          </cell>
          <cell r="L3052" t="str">
            <v>HD</v>
          </cell>
          <cell r="M3052" t="str">
            <v>x</v>
          </cell>
          <cell r="N3052" t="e">
            <v>#N/A</v>
          </cell>
          <cell r="O3052" t="str">
            <v>750T INVERT U</v>
          </cell>
        </row>
        <row r="3053">
          <cell r="K3053" t="str">
            <v>750CT</v>
          </cell>
          <cell r="L3053" t="str">
            <v>HD</v>
          </cell>
          <cell r="M3053" t="str">
            <v>x</v>
          </cell>
          <cell r="N3053" t="e">
            <v>#N/A</v>
          </cell>
          <cell r="O3053" t="str">
            <v>750T HORZ D U</v>
          </cell>
        </row>
        <row r="3054">
          <cell r="K3054" t="str">
            <v>750CT</v>
          </cell>
          <cell r="L3054" t="str">
            <v>HD</v>
          </cell>
          <cell r="M3054" t="str">
            <v>x</v>
          </cell>
          <cell r="N3054" t="e">
            <v>#N/A</v>
          </cell>
          <cell r="O3054" t="str">
            <v>750T GRAY UNT</v>
          </cell>
        </row>
        <row r="3055">
          <cell r="K3055" t="str">
            <v>750CT</v>
          </cell>
          <cell r="L3055" t="str">
            <v>HD</v>
          </cell>
          <cell r="M3055" t="str">
            <v>x</v>
          </cell>
          <cell r="N3055" t="e">
            <v>#N/A</v>
          </cell>
          <cell r="O3055" t="str">
            <v>750T GRAY UNT</v>
          </cell>
        </row>
        <row r="3056">
          <cell r="K3056" t="str">
            <v>750CT</v>
          </cell>
          <cell r="L3056" t="str">
            <v>HD</v>
          </cell>
          <cell r="M3056" t="str">
            <v>x</v>
          </cell>
          <cell r="N3056" t="e">
            <v>#N/A</v>
          </cell>
          <cell r="O3056" t="str">
            <v>750T GRAY D</v>
          </cell>
        </row>
        <row r="3057">
          <cell r="K3057" t="str">
            <v>750CT</v>
          </cell>
          <cell r="L3057" t="str">
            <v>HD</v>
          </cell>
          <cell r="M3057" t="str">
            <v>x</v>
          </cell>
          <cell r="N3057" t="e">
            <v>#N/A</v>
          </cell>
          <cell r="O3057" t="str">
            <v>750T FLTPAK</v>
          </cell>
        </row>
        <row r="3058">
          <cell r="K3058" t="str">
            <v>750CT</v>
          </cell>
          <cell r="L3058" t="str">
            <v>HD</v>
          </cell>
          <cell r="M3058" t="str">
            <v>x</v>
          </cell>
          <cell r="N3058" t="e">
            <v>#N/A</v>
          </cell>
          <cell r="O3058" t="str">
            <v>750T DIESEL</v>
          </cell>
        </row>
        <row r="3059">
          <cell r="K3059" t="str">
            <v>750CT</v>
          </cell>
          <cell r="L3059" t="str">
            <v>HD</v>
          </cell>
          <cell r="M3059" t="str">
            <v>x</v>
          </cell>
          <cell r="N3059" t="e">
            <v>#N/A</v>
          </cell>
          <cell r="O3059" t="str">
            <v>750T DIESEL</v>
          </cell>
        </row>
        <row r="3060">
          <cell r="K3060" t="str">
            <v>750CT</v>
          </cell>
          <cell r="L3060" t="str">
            <v>HD</v>
          </cell>
          <cell r="M3060" t="str">
            <v>x</v>
          </cell>
          <cell r="N3060" t="e">
            <v>#N/A</v>
          </cell>
          <cell r="O3060" t="str">
            <v>750T DIESEL</v>
          </cell>
        </row>
        <row r="3061">
          <cell r="K3061" t="str">
            <v>750CT</v>
          </cell>
          <cell r="L3061" t="str">
            <v>HD</v>
          </cell>
          <cell r="M3061" t="str">
            <v>x</v>
          </cell>
          <cell r="N3061" t="e">
            <v>#N/A</v>
          </cell>
          <cell r="O3061" t="str">
            <v>750T DIESEL</v>
          </cell>
        </row>
        <row r="3062">
          <cell r="K3062" t="str">
            <v>750CT</v>
          </cell>
          <cell r="L3062" t="str">
            <v>HD</v>
          </cell>
          <cell r="M3062" t="str">
            <v>x</v>
          </cell>
          <cell r="N3062" t="e">
            <v>#N/A</v>
          </cell>
          <cell r="O3062" t="str">
            <v>750T DEISEL U</v>
          </cell>
        </row>
        <row r="3063">
          <cell r="K3063" t="str">
            <v>750CT</v>
          </cell>
          <cell r="L3063" t="str">
            <v>HD</v>
          </cell>
          <cell r="M3063" t="str">
            <v>x</v>
          </cell>
          <cell r="N3063" t="e">
            <v>#N/A</v>
          </cell>
          <cell r="O3063" t="str">
            <v>750T 2122 EL</v>
          </cell>
        </row>
        <row r="3064">
          <cell r="K3064" t="str">
            <v>750CT</v>
          </cell>
          <cell r="L3064" t="str">
            <v>HD</v>
          </cell>
          <cell r="M3064" t="str">
            <v>x</v>
          </cell>
          <cell r="N3064" t="e">
            <v>#N/A</v>
          </cell>
          <cell r="O3064" t="str">
            <v>750CT Upright Filter Assembly with 2122 Element</v>
          </cell>
        </row>
        <row r="3065">
          <cell r="K3065" t="str">
            <v>750CT</v>
          </cell>
          <cell r="L3065" t="str">
            <v>HD</v>
          </cell>
          <cell r="M3065" t="str">
            <v>x</v>
          </cell>
          <cell r="N3065" t="e">
            <v>#N/A</v>
          </cell>
          <cell r="O3065" t="str">
            <v>750CT Upright Filter Assembly with 2122 Element</v>
          </cell>
        </row>
        <row r="3066">
          <cell r="K3066" t="str">
            <v>750CT</v>
          </cell>
          <cell r="L3066" t="str">
            <v>HD</v>
          </cell>
          <cell r="M3066" t="str">
            <v>x</v>
          </cell>
          <cell r="N3066" t="e">
            <v>#N/A</v>
          </cell>
          <cell r="O3066" t="str">
            <v>750CT Upright Filter Assembly with 2122 Element</v>
          </cell>
        </row>
        <row r="3067">
          <cell r="K3067" t="str">
            <v>750CT</v>
          </cell>
          <cell r="L3067" t="str">
            <v>HD</v>
          </cell>
          <cell r="M3067" t="str">
            <v>x</v>
          </cell>
          <cell r="N3067" t="e">
            <v>#N/A</v>
          </cell>
          <cell r="O3067" t="str">
            <v>750CT Upright Filter Assembly with 2122 Element</v>
          </cell>
        </row>
        <row r="3068">
          <cell r="K3068" t="str">
            <v>750CT</v>
          </cell>
          <cell r="L3068" t="str">
            <v>HD</v>
          </cell>
          <cell r="M3068" t="str">
            <v>x</v>
          </cell>
          <cell r="N3068" t="e">
            <v>#N/A</v>
          </cell>
          <cell r="O3068" t="str">
            <v>750CT Filter assembly with 2122 Element</v>
          </cell>
        </row>
        <row r="3069">
          <cell r="K3069" t="str">
            <v>BLK</v>
          </cell>
          <cell r="L3069" t="str">
            <v>HD</v>
          </cell>
          <cell r="M3069" t="str">
            <v>x</v>
          </cell>
          <cell r="N3069" t="e">
            <v>#N/A</v>
          </cell>
          <cell r="O3069" t="str">
            <v>750-C, CT Lower Housing Shell, Black/750-C, CT</v>
          </cell>
        </row>
        <row r="3070">
          <cell r="K3070" t="str">
            <v>750C</v>
          </cell>
          <cell r="L3070" t="str">
            <v>HD</v>
          </cell>
          <cell r="M3070" t="str">
            <v>x</v>
          </cell>
          <cell r="N3070" t="e">
            <v>#N/A</v>
          </cell>
          <cell r="O3070" t="str">
            <v>750C W/OUT PK</v>
          </cell>
        </row>
        <row r="3071">
          <cell r="K3071" t="str">
            <v>750-C</v>
          </cell>
          <cell r="L3071" t="str">
            <v>HD</v>
          </cell>
          <cell r="M3071" t="str">
            <v>x</v>
          </cell>
          <cell r="N3071" t="e">
            <v>#N/A</v>
          </cell>
          <cell r="O3071" t="str">
            <v>750C W/OUT PK</v>
          </cell>
        </row>
        <row r="3072">
          <cell r="K3072" t="str">
            <v>750-C</v>
          </cell>
          <cell r="L3072" t="str">
            <v>HD</v>
          </cell>
          <cell r="M3072" t="str">
            <v>x</v>
          </cell>
          <cell r="N3072" t="e">
            <v>#N/A</v>
          </cell>
          <cell r="O3072" t="str">
            <v>750C UNIT</v>
          </cell>
        </row>
        <row r="3073">
          <cell r="K3073" t="str">
            <v>LTTK55</v>
          </cell>
          <cell r="L3073" t="str">
            <v>HD</v>
          </cell>
          <cell r="M3073" t="str">
            <v>x</v>
          </cell>
          <cell r="N3073" t="e">
            <v>#N/A</v>
          </cell>
          <cell r="O3073" t="str">
            <v>750C to 750CT Converstion Kit</v>
          </cell>
        </row>
        <row r="3074">
          <cell r="K3074" t="str">
            <v>750-C</v>
          </cell>
          <cell r="L3074" t="str">
            <v>HD</v>
          </cell>
          <cell r="M3074" t="str">
            <v>x</v>
          </cell>
          <cell r="N3074" t="e">
            <v>#N/A</v>
          </cell>
          <cell r="O3074" t="str">
            <v>750C REFN UNT</v>
          </cell>
        </row>
        <row r="3075">
          <cell r="K3075" t="str">
            <v>2438857-1</v>
          </cell>
          <cell r="L3075" t="str">
            <v>HD</v>
          </cell>
          <cell r="M3075" t="str">
            <v>x</v>
          </cell>
          <cell r="N3075" t="e">
            <v>#N/A</v>
          </cell>
          <cell r="O3075" t="str">
            <v>750C REFINING</v>
          </cell>
        </row>
        <row r="3076">
          <cell r="K3076" t="str">
            <v>PKGD</v>
          </cell>
          <cell r="L3076" t="str">
            <v>HD</v>
          </cell>
          <cell r="M3076" t="str">
            <v>x</v>
          </cell>
          <cell r="N3076" t="e">
            <v>#N/A</v>
          </cell>
          <cell r="O3076" t="str">
            <v>750C NO CVALV</v>
          </cell>
        </row>
        <row r="3077">
          <cell r="K3077" t="str">
            <v>750C</v>
          </cell>
          <cell r="L3077" t="str">
            <v>HD</v>
          </cell>
          <cell r="M3077" t="str">
            <v>x</v>
          </cell>
          <cell r="N3077" t="e">
            <v>#N/A</v>
          </cell>
          <cell r="O3077" t="str">
            <v>750C DIESEL</v>
          </cell>
        </row>
        <row r="3078">
          <cell r="K3078" t="str">
            <v>PKGD</v>
          </cell>
          <cell r="L3078" t="str">
            <v>HD</v>
          </cell>
          <cell r="M3078" t="str">
            <v>x</v>
          </cell>
          <cell r="N3078" t="e">
            <v>#N/A</v>
          </cell>
          <cell r="O3078" t="str">
            <v>750-3C w/Floor Base &amp; 3 Imperial Diesel Packs</v>
          </cell>
        </row>
        <row r="3079">
          <cell r="K3079" t="str">
            <v>UNIT</v>
          </cell>
          <cell r="L3079" t="str">
            <v>HD</v>
          </cell>
          <cell r="M3079" t="str">
            <v>x</v>
          </cell>
          <cell r="N3079" t="e">
            <v>#N/A</v>
          </cell>
          <cell r="O3079" t="str">
            <v>750-2C w/Floor Base &amp; 2 Imperial Diesel Packs</v>
          </cell>
        </row>
        <row r="3080">
          <cell r="K3080" t="str">
            <v>750</v>
          </cell>
          <cell r="L3080" t="str">
            <v>HD</v>
          </cell>
          <cell r="M3080" t="str">
            <v>x</v>
          </cell>
          <cell r="N3080" t="e">
            <v>#N/A</v>
          </cell>
          <cell r="O3080" t="str">
            <v>750 IMP DISL</v>
          </cell>
        </row>
        <row r="3081">
          <cell r="K3081" t="str">
            <v>PKGD</v>
          </cell>
          <cell r="L3081" t="str">
            <v>HD</v>
          </cell>
          <cell r="M3081" t="str">
            <v>x</v>
          </cell>
          <cell r="N3081" t="e">
            <v>#N/A</v>
          </cell>
          <cell r="O3081" t="str">
            <v>750 GRAY UNIT</v>
          </cell>
        </row>
        <row r="3082">
          <cell r="K3082" t="str">
            <v>750</v>
          </cell>
          <cell r="L3082" t="str">
            <v>HD</v>
          </cell>
          <cell r="M3082" t="str">
            <v>x</v>
          </cell>
          <cell r="N3082" t="e">
            <v>#N/A</v>
          </cell>
          <cell r="O3082" t="str">
            <v>750 GRAY UNIT</v>
          </cell>
        </row>
        <row r="3083">
          <cell r="K3083" t="str">
            <v>5539</v>
          </cell>
          <cell r="L3083" t="str">
            <v>HD</v>
          </cell>
          <cell r="M3083" t="str">
            <v>x</v>
          </cell>
          <cell r="N3083" t="e">
            <v>#N/A</v>
          </cell>
          <cell r="O3083" t="str">
            <v>5539 GASKET</v>
          </cell>
        </row>
        <row r="3084">
          <cell r="K3084" t="str">
            <v>500CT</v>
          </cell>
          <cell r="L3084" t="str">
            <v>HD</v>
          </cell>
          <cell r="M3084" t="str">
            <v>x</v>
          </cell>
          <cell r="N3084" t="e">
            <v>#N/A</v>
          </cell>
          <cell r="O3084" t="str">
            <v>500T DRN/PLUG</v>
          </cell>
        </row>
        <row r="3085">
          <cell r="K3085" t="str">
            <v>500CT</v>
          </cell>
          <cell r="L3085" t="str">
            <v>HD</v>
          </cell>
          <cell r="M3085" t="str">
            <v>x</v>
          </cell>
          <cell r="N3085" t="e">
            <v>#N/A</v>
          </cell>
          <cell r="O3085" t="str">
            <v>500T DIESEL U</v>
          </cell>
        </row>
        <row r="3086">
          <cell r="K3086" t="str">
            <v>500CT</v>
          </cell>
          <cell r="L3086" t="str">
            <v>HD</v>
          </cell>
          <cell r="M3086" t="str">
            <v>x</v>
          </cell>
          <cell r="N3086" t="e">
            <v>#N/A</v>
          </cell>
          <cell r="O3086" t="str">
            <v>500CT Filter Assembly upright mount with 2095 Element</v>
          </cell>
        </row>
        <row r="3087">
          <cell r="K3087" t="str">
            <v>500CT</v>
          </cell>
          <cell r="L3087" t="str">
            <v>HD</v>
          </cell>
          <cell r="M3087" t="str">
            <v>x</v>
          </cell>
          <cell r="N3087" t="e">
            <v>#N/A</v>
          </cell>
          <cell r="O3087" t="str">
            <v>500CT Filter Assembly upright mount with 2095 Element</v>
          </cell>
        </row>
        <row r="3088">
          <cell r="K3088" t="str">
            <v>500CT</v>
          </cell>
          <cell r="L3088" t="str">
            <v>HD</v>
          </cell>
          <cell r="M3088" t="str">
            <v>x</v>
          </cell>
          <cell r="N3088" t="e">
            <v>#N/A</v>
          </cell>
          <cell r="O3088" t="str">
            <v>500CT Filter Assembly upright mount with 2095 Element</v>
          </cell>
        </row>
        <row r="3089">
          <cell r="K3089">
            <v>500</v>
          </cell>
          <cell r="L3089" t="str">
            <v>HD</v>
          </cell>
          <cell r="M3089" t="str">
            <v>x</v>
          </cell>
          <cell r="N3089" t="e">
            <v>#N/A</v>
          </cell>
          <cell r="O3089" t="str">
            <v>500-C Lower Housing Shell w/Retaining Ring Only</v>
          </cell>
        </row>
        <row r="3090">
          <cell r="K3090">
            <v>500</v>
          </cell>
          <cell r="L3090" t="str">
            <v>HD</v>
          </cell>
          <cell r="M3090" t="str">
            <v>x</v>
          </cell>
          <cell r="N3090" t="e">
            <v>#N/A</v>
          </cell>
          <cell r="O3090" t="str">
            <v xml:space="preserve">500 DEHYD REF FILTER PACK     </v>
          </cell>
        </row>
        <row r="3091">
          <cell r="K3091" t="str">
            <v>312510-1</v>
          </cell>
          <cell r="L3091" t="str">
            <v>HD</v>
          </cell>
          <cell r="M3091" t="str">
            <v>x</v>
          </cell>
          <cell r="N3091" t="e">
            <v>#N/A</v>
          </cell>
          <cell r="O3091" t="str">
            <v>312510-1 TANK</v>
          </cell>
        </row>
        <row r="3092">
          <cell r="K3092" t="str">
            <v>272</v>
          </cell>
          <cell r="L3092" t="str">
            <v>HD</v>
          </cell>
          <cell r="M3092" t="str">
            <v>x</v>
          </cell>
          <cell r="N3092" t="e">
            <v>#N/A</v>
          </cell>
          <cell r="O3092" t="str">
            <v>272 RF HYDRO Filter</v>
          </cell>
        </row>
        <row r="3093">
          <cell r="K3093" t="str">
            <v>LAF4205</v>
          </cell>
          <cell r="L3093" t="str">
            <v>HD</v>
          </cell>
          <cell r="M3093" t="str">
            <v>x</v>
          </cell>
          <cell r="N3093" t="e">
            <v>#N/A</v>
          </cell>
          <cell r="O3093" t="str">
            <v>Round Air Filter</v>
          </cell>
        </row>
        <row r="3094">
          <cell r="K3094" t="str">
            <v>LAF4361</v>
          </cell>
          <cell r="L3094" t="str">
            <v>HD</v>
          </cell>
          <cell r="M3094" t="str">
            <v>x</v>
          </cell>
          <cell r="N3094" t="e">
            <v>#N/A</v>
          </cell>
          <cell r="O3094" t="str">
            <v>Round Air Filter</v>
          </cell>
        </row>
        <row r="3095">
          <cell r="K3095" t="str">
            <v>LAF4317</v>
          </cell>
          <cell r="L3095" t="str">
            <v>HD</v>
          </cell>
          <cell r="M3095" t="str">
            <v>x</v>
          </cell>
          <cell r="N3095" t="e">
            <v>#N/A</v>
          </cell>
          <cell r="O3095" t="str">
            <v>HD Metal-End Inner Air Filter</v>
          </cell>
        </row>
        <row r="3096">
          <cell r="K3096" t="str">
            <v>LAF8605</v>
          </cell>
          <cell r="L3096" t="str">
            <v>HD</v>
          </cell>
          <cell r="M3096" t="str">
            <v>x</v>
          </cell>
          <cell r="N3096" t="e">
            <v>#N/A</v>
          </cell>
          <cell r="O3096" t="str">
            <v>HD Metal-End Air Filter-Inner</v>
          </cell>
        </row>
        <row r="3097">
          <cell r="K3097" t="str">
            <v>LAF1937</v>
          </cell>
          <cell r="L3097" t="str">
            <v>HD</v>
          </cell>
          <cell r="M3097" t="str">
            <v>x</v>
          </cell>
          <cell r="N3097" t="e">
            <v>#N/A</v>
          </cell>
          <cell r="O3097" t="str">
            <v>Finned Vane Air Filter</v>
          </cell>
        </row>
        <row r="3098">
          <cell r="K3098" t="str">
            <v>LAF5082</v>
          </cell>
          <cell r="L3098" t="str">
            <v>HD</v>
          </cell>
          <cell r="M3098" t="str">
            <v>x</v>
          </cell>
          <cell r="N3098" t="str">
            <v>LAF5082</v>
          </cell>
          <cell r="O3098" t="str">
            <v>Round Inner Air Filter with Flanged Endcap</v>
          </cell>
        </row>
        <row r="3099">
          <cell r="K3099" t="str">
            <v>LH5739</v>
          </cell>
          <cell r="L3099" t="str">
            <v>HD</v>
          </cell>
          <cell r="M3099" t="str">
            <v>x</v>
          </cell>
          <cell r="N3099" t="e">
            <v>#N/A</v>
          </cell>
          <cell r="O3099" t="str">
            <v>Cartridge Hydraulic Filter</v>
          </cell>
        </row>
        <row r="3100">
          <cell r="K3100" t="str">
            <v>LP2225</v>
          </cell>
          <cell r="L3100" t="str">
            <v>HD</v>
          </cell>
          <cell r="M3100" t="str">
            <v>x</v>
          </cell>
          <cell r="N3100" t="e">
            <v>#N/A</v>
          </cell>
          <cell r="O3100" t="str">
            <v>Cartridge Oil Filter</v>
          </cell>
        </row>
        <row r="3101">
          <cell r="K3101" t="str">
            <v>LAF1743</v>
          </cell>
          <cell r="L3101" t="str">
            <v>HD</v>
          </cell>
          <cell r="M3101" t="str">
            <v>x</v>
          </cell>
          <cell r="N3101" t="e">
            <v>#N/A</v>
          </cell>
          <cell r="O3101" t="str">
            <v>HD Metal-End Air Filter</v>
          </cell>
        </row>
        <row r="3102">
          <cell r="K3102" t="str">
            <v>P72</v>
          </cell>
          <cell r="L3102" t="str">
            <v>HD</v>
          </cell>
          <cell r="N3102" t="e">
            <v>#N/A</v>
          </cell>
          <cell r="O3102" t="str">
            <v>Cartridge Oil Filter</v>
          </cell>
        </row>
        <row r="3103">
          <cell r="K3103" t="str">
            <v>LAF1886</v>
          </cell>
          <cell r="L3103" t="str">
            <v>HD</v>
          </cell>
          <cell r="M3103" t="str">
            <v>x</v>
          </cell>
          <cell r="N3103" t="e">
            <v>#N/A</v>
          </cell>
          <cell r="O3103" t="str">
            <v xml:space="preserve">HD Round Air Filter </v>
          </cell>
        </row>
        <row r="3104">
          <cell r="K3104" t="str">
            <v>LFF6338</v>
          </cell>
          <cell r="L3104" t="str">
            <v>HD</v>
          </cell>
          <cell r="M3104" t="str">
            <v>x</v>
          </cell>
          <cell r="N3104" t="e">
            <v>#N/A</v>
          </cell>
          <cell r="O3104" t="str">
            <v>Spin-on Fuel Water Separator Filter</v>
          </cell>
        </row>
        <row r="3105">
          <cell r="K3105" t="str">
            <v>LAF5800</v>
          </cell>
          <cell r="L3105" t="str">
            <v>HD</v>
          </cell>
          <cell r="M3105" t="str">
            <v>x</v>
          </cell>
          <cell r="N3105" t="e">
            <v>#N/A</v>
          </cell>
          <cell r="O3105" t="str">
            <v>Oval Air Filter</v>
          </cell>
        </row>
        <row r="3106">
          <cell r="K3106" t="str">
            <v>LAF8627</v>
          </cell>
          <cell r="L3106" t="str">
            <v>HD</v>
          </cell>
          <cell r="M3106" t="str">
            <v>x</v>
          </cell>
          <cell r="N3106" t="e">
            <v>#N/A</v>
          </cell>
          <cell r="O3106" t="str">
            <v>Finned Vane Air Filter</v>
          </cell>
        </row>
        <row r="3107">
          <cell r="K3107" t="str">
            <v>FW1</v>
          </cell>
          <cell r="L3107" t="str">
            <v>HD</v>
          </cell>
          <cell r="M3107" t="str">
            <v>x</v>
          </cell>
          <cell r="N3107" t="e">
            <v>#N/A</v>
          </cell>
          <cell r="O3107" t="str">
            <v>Band Wrench with Handle for 4" diameter filters.</v>
          </cell>
        </row>
        <row r="3108">
          <cell r="K3108" t="str">
            <v>750CT</v>
          </cell>
          <cell r="L3108" t="str">
            <v>HD</v>
          </cell>
          <cell r="M3108" t="str">
            <v>x</v>
          </cell>
          <cell r="N3108" t="e">
            <v>#N/A</v>
          </cell>
          <cell r="O3108" t="str">
            <v>750T W/OUT PK</v>
          </cell>
        </row>
        <row r="3109">
          <cell r="K3109" t="str">
            <v>750CT</v>
          </cell>
          <cell r="L3109" t="str">
            <v>HD</v>
          </cell>
          <cell r="M3109" t="str">
            <v>x</v>
          </cell>
          <cell r="N3109" t="e">
            <v>#N/A</v>
          </cell>
          <cell r="O3109" t="str">
            <v>750CT Upright Filter Assembly with 2122 Element</v>
          </cell>
        </row>
        <row r="3110">
          <cell r="K3110" t="str">
            <v>LAF5801</v>
          </cell>
          <cell r="L3110" t="str">
            <v>HD</v>
          </cell>
          <cell r="M3110" t="str">
            <v>x</v>
          </cell>
          <cell r="N3110" t="e">
            <v>#N/A</v>
          </cell>
          <cell r="O3110" t="str">
            <v>Flexible Panel Air Filter</v>
          </cell>
        </row>
        <row r="3111">
          <cell r="K3111" t="str">
            <v>FW3C</v>
          </cell>
          <cell r="L3111" t="str">
            <v>HD</v>
          </cell>
          <cell r="M3111" t="str">
            <v>x</v>
          </cell>
          <cell r="N3111" t="e">
            <v>#N/A</v>
          </cell>
          <cell r="O3111" t="str">
            <v>End Cap Filter Removal Wrench 3" 14 flute filter.</v>
          </cell>
        </row>
        <row r="3112">
          <cell r="K3112" t="str">
            <v>L2603F</v>
          </cell>
          <cell r="L3112" t="str">
            <v>HD</v>
          </cell>
          <cell r="M3112" t="str">
            <v>x</v>
          </cell>
          <cell r="N3112" t="e">
            <v>#N/A</v>
          </cell>
          <cell r="O3112" t="str">
            <v>Cartridge Fuel Filter</v>
          </cell>
        </row>
        <row r="3113">
          <cell r="K3113" t="str">
            <v>LAF340</v>
          </cell>
          <cell r="L3113" t="str">
            <v>HD</v>
          </cell>
          <cell r="M3113" t="str">
            <v>x</v>
          </cell>
          <cell r="N3113" t="e">
            <v>#N/A</v>
          </cell>
          <cell r="O3113" t="str">
            <v>Round Inner Air Filter with Flanged Endcap</v>
          </cell>
        </row>
        <row r="3114">
          <cell r="K3114" t="str">
            <v>LAF22105</v>
          </cell>
          <cell r="L3114" t="str">
            <v>HD</v>
          </cell>
          <cell r="M3114" t="str">
            <v>x</v>
          </cell>
          <cell r="N3114" t="e">
            <v>#N/A</v>
          </cell>
          <cell r="O3114" t="str">
            <v>HD Round Air Filter with non-woven Batt Media</v>
          </cell>
        </row>
        <row r="3115">
          <cell r="K3115" t="str">
            <v>LAF8310</v>
          </cell>
          <cell r="L3115" t="str">
            <v>HD</v>
          </cell>
          <cell r="M3115" t="str">
            <v>x</v>
          </cell>
          <cell r="N3115" t="e">
            <v>#N/A</v>
          </cell>
          <cell r="O3115" t="str">
            <v xml:space="preserve">Round Plastisol Air Filter </v>
          </cell>
        </row>
        <row r="3116">
          <cell r="K3116" t="str">
            <v>LAF1807</v>
          </cell>
          <cell r="L3116" t="str">
            <v>HD</v>
          </cell>
          <cell r="M3116" t="str">
            <v>x</v>
          </cell>
          <cell r="N3116" t="e">
            <v>#N/A</v>
          </cell>
          <cell r="O3116" t="str">
            <v>Metal-End Air Filter with Closed Top End Cap</v>
          </cell>
        </row>
        <row r="3117">
          <cell r="K3117" t="str">
            <v>LH11014V</v>
          </cell>
          <cell r="L3117" t="str">
            <v>HD</v>
          </cell>
          <cell r="M3117" t="str">
            <v>x</v>
          </cell>
          <cell r="N3117" t="e">
            <v>#N/A</v>
          </cell>
          <cell r="O3117" t="str">
            <v>Industrial Cartridge Hydraulic Filter</v>
          </cell>
        </row>
        <row r="3118">
          <cell r="K3118" t="str">
            <v>LAF1730</v>
          </cell>
          <cell r="L3118" t="str">
            <v>HD</v>
          </cell>
          <cell r="M3118" t="str">
            <v>x</v>
          </cell>
          <cell r="N3118" t="e">
            <v>#N/A</v>
          </cell>
          <cell r="O3118" t="str">
            <v>HD Round Air Filter with Attached Lid</v>
          </cell>
        </row>
        <row r="3119">
          <cell r="K3119" t="str">
            <v>LAF2738</v>
          </cell>
          <cell r="L3119" t="str">
            <v>HD</v>
          </cell>
          <cell r="M3119" t="str">
            <v>x</v>
          </cell>
          <cell r="N3119" t="e">
            <v>#N/A</v>
          </cell>
          <cell r="O3119" t="str">
            <v>HD Metal-End Inner Air Filter</v>
          </cell>
        </row>
        <row r="3120">
          <cell r="K3120" t="str">
            <v>LK78D</v>
          </cell>
          <cell r="L3120" t="str">
            <v>HD</v>
          </cell>
          <cell r="M3120" t="str">
            <v>x</v>
          </cell>
          <cell r="N3120" t="e">
            <v>#N/A</v>
          </cell>
          <cell r="O3120" t="str">
            <v>Detroit Diesel Engine Maintenance Kit</v>
          </cell>
        </row>
        <row r="3121">
          <cell r="K3121" t="str">
            <v>L6286F</v>
          </cell>
          <cell r="L3121" t="str">
            <v>HD</v>
          </cell>
          <cell r="M3121" t="str">
            <v>x</v>
          </cell>
          <cell r="N3121" t="e">
            <v>#N/A</v>
          </cell>
          <cell r="O3121" t="str">
            <v>Box Type Fuel Filter</v>
          </cell>
        </row>
        <row r="3122">
          <cell r="K3122" t="str">
            <v>LAF8516</v>
          </cell>
          <cell r="L3122" t="str">
            <v>HD</v>
          </cell>
          <cell r="M3122" t="str">
            <v>x</v>
          </cell>
          <cell r="N3122" t="e">
            <v>#N/A</v>
          </cell>
          <cell r="O3122" t="str">
            <v>HD Metal-End Air Filter-Inner</v>
          </cell>
        </row>
        <row r="3123">
          <cell r="K3123" t="str">
            <v>CAF24008XL</v>
          </cell>
          <cell r="L3123" t="str">
            <v>HD</v>
          </cell>
          <cell r="M3123" t="str">
            <v>x</v>
          </cell>
          <cell r="N3123" t="e">
            <v>#N/A</v>
          </cell>
          <cell r="O3123" t="str">
            <v>Cabin Air Filter (Carbon) Extreme Clean</v>
          </cell>
        </row>
        <row r="3124">
          <cell r="K3124" t="str">
            <v>LAF1969</v>
          </cell>
          <cell r="L3124" t="str">
            <v>HD</v>
          </cell>
          <cell r="M3124" t="str">
            <v>x</v>
          </cell>
          <cell r="N3124" t="e">
            <v>#N/A</v>
          </cell>
          <cell r="O3124" t="str">
            <v>Round Air Filter</v>
          </cell>
        </row>
        <row r="3125">
          <cell r="K3125" t="str">
            <v>LAF1904</v>
          </cell>
          <cell r="L3125" t="str">
            <v>HD</v>
          </cell>
          <cell r="M3125" t="str">
            <v>x</v>
          </cell>
          <cell r="N3125" t="e">
            <v>#N/A</v>
          </cell>
          <cell r="O3125" t="str">
            <v>HD Metal-End Air Filter</v>
          </cell>
        </row>
        <row r="3126">
          <cell r="K3126" t="str">
            <v>LFF8774</v>
          </cell>
          <cell r="L3126" t="str">
            <v>HD</v>
          </cell>
          <cell r="M3126" t="str">
            <v>x</v>
          </cell>
          <cell r="N3126" t="e">
            <v>#N/A</v>
          </cell>
          <cell r="O3126" t="str">
            <v>Spin-on Fuel Filter</v>
          </cell>
        </row>
        <row r="3127">
          <cell r="K3127" t="str">
            <v>THERMO</v>
          </cell>
          <cell r="L3127" t="str">
            <v>HD</v>
          </cell>
          <cell r="M3127" t="str">
            <v>x</v>
          </cell>
          <cell r="N3127" t="e">
            <v>#N/A</v>
          </cell>
          <cell r="O3127" t="str">
            <v>Pack Hold-down Assembly w/Thermostat/500-CT, 750-CT, (Inverted Units)</v>
          </cell>
        </row>
        <row r="3128">
          <cell r="K3128" t="str">
            <v>LAF1778</v>
          </cell>
          <cell r="L3128" t="str">
            <v>HD</v>
          </cell>
          <cell r="M3128" t="str">
            <v>x</v>
          </cell>
          <cell r="N3128" t="e">
            <v>#N/A</v>
          </cell>
          <cell r="O3128" t="str">
            <v>HD Metal-End Inner Air Filter</v>
          </cell>
        </row>
        <row r="3129">
          <cell r="K3129" t="str">
            <v>LP2220X</v>
          </cell>
          <cell r="L3129" t="str">
            <v>HD</v>
          </cell>
          <cell r="M3129" t="str">
            <v>x</v>
          </cell>
          <cell r="N3129" t="e">
            <v>#N/A</v>
          </cell>
          <cell r="O3129" t="str">
            <v>Cartridge Oil Filter</v>
          </cell>
        </row>
        <row r="3130">
          <cell r="K3130" t="str">
            <v>LK285C</v>
          </cell>
          <cell r="L3130" t="str">
            <v>HD</v>
          </cell>
          <cell r="M3130" t="str">
            <v>x</v>
          </cell>
          <cell r="N3130" t="e">
            <v>#N/A</v>
          </cell>
          <cell r="O3130" t="str">
            <v>Cummins Engine Maintenance Kit</v>
          </cell>
        </row>
        <row r="3131">
          <cell r="K3131" t="str">
            <v>LK315CA</v>
          </cell>
          <cell r="L3131" t="str">
            <v>HD</v>
          </cell>
          <cell r="M3131" t="str">
            <v>x</v>
          </cell>
          <cell r="N3131" t="e">
            <v>#N/A</v>
          </cell>
          <cell r="O3131" t="str">
            <v>Caterpillar Engine Maintenance Kit</v>
          </cell>
        </row>
        <row r="3132">
          <cell r="K3132" t="str">
            <v>LAF1939</v>
          </cell>
          <cell r="L3132" t="str">
            <v>HD</v>
          </cell>
          <cell r="M3132" t="str">
            <v>x</v>
          </cell>
          <cell r="N3132" t="e">
            <v>#N/A</v>
          </cell>
          <cell r="O3132" t="str">
            <v>HD Metal-End Air Filter</v>
          </cell>
        </row>
        <row r="3133">
          <cell r="K3133" t="str">
            <v>LFP943F</v>
          </cell>
          <cell r="L3133" t="str">
            <v>HD</v>
          </cell>
          <cell r="M3133" t="str">
            <v>x</v>
          </cell>
          <cell r="N3133" t="e">
            <v>#N/A</v>
          </cell>
          <cell r="O3133" t="str">
            <v>Spin-on Fuel Filter</v>
          </cell>
        </row>
        <row r="3134">
          <cell r="K3134" t="str">
            <v>LAF8643</v>
          </cell>
          <cell r="L3134" t="str">
            <v>HD</v>
          </cell>
          <cell r="M3134" t="str">
            <v>x</v>
          </cell>
          <cell r="N3134" t="e">
            <v>#N/A</v>
          </cell>
          <cell r="O3134" t="str">
            <v>HD Metal-End Air Filter-Inner</v>
          </cell>
        </row>
        <row r="3135">
          <cell r="K3135" t="str">
            <v>LAF1339</v>
          </cell>
          <cell r="L3135" t="str">
            <v>HD</v>
          </cell>
          <cell r="M3135" t="str">
            <v>x</v>
          </cell>
          <cell r="N3135" t="e">
            <v>#N/A</v>
          </cell>
          <cell r="O3135" t="str">
            <v>Cone Shaped Conical Air Filter</v>
          </cell>
        </row>
        <row r="3136">
          <cell r="K3136" t="str">
            <v>LP212</v>
          </cell>
          <cell r="L3136" t="str">
            <v>HD</v>
          </cell>
          <cell r="M3136" t="str">
            <v>x</v>
          </cell>
          <cell r="N3136" t="e">
            <v>#N/A</v>
          </cell>
          <cell r="O3136" t="str">
            <v>Cartridge Oil Filter</v>
          </cell>
        </row>
        <row r="3137">
          <cell r="K3137" t="str">
            <v>LH95107V</v>
          </cell>
          <cell r="L3137" t="str">
            <v>HD</v>
          </cell>
          <cell r="M3137" t="str">
            <v>x</v>
          </cell>
          <cell r="N3137" t="e">
            <v>#N/A</v>
          </cell>
          <cell r="O3137" t="str">
            <v>Cartridge Hydraulic Filter</v>
          </cell>
        </row>
        <row r="3138">
          <cell r="K3138" t="str">
            <v>L93FP</v>
          </cell>
          <cell r="L3138" t="str">
            <v>HD</v>
          </cell>
          <cell r="M3138" t="str">
            <v>x</v>
          </cell>
          <cell r="N3138" t="e">
            <v>#N/A</v>
          </cell>
          <cell r="O3138" t="str">
            <v>Cartridge Fuel Filter</v>
          </cell>
        </row>
        <row r="3139">
          <cell r="K3139" t="str">
            <v>L3441F</v>
          </cell>
          <cell r="L3139" t="str">
            <v>HD</v>
          </cell>
          <cell r="M3139" t="str">
            <v>x</v>
          </cell>
          <cell r="N3139" t="e">
            <v>#N/A</v>
          </cell>
          <cell r="O3139" t="str">
            <v>Snap-lock Fuel/Water Separator Filter</v>
          </cell>
        </row>
        <row r="3140">
          <cell r="K3140" t="str">
            <v>LAF8646</v>
          </cell>
          <cell r="L3140" t="str">
            <v>HD</v>
          </cell>
          <cell r="M3140" t="str">
            <v>x</v>
          </cell>
          <cell r="N3140" t="e">
            <v>#N/A</v>
          </cell>
          <cell r="O3140" t="str">
            <v>Finned Vane Air Filter</v>
          </cell>
        </row>
        <row r="3141">
          <cell r="K3141" t="str">
            <v>LGK2</v>
          </cell>
          <cell r="L3141" t="str">
            <v>HD</v>
          </cell>
          <cell r="M3141" t="str">
            <v>x</v>
          </cell>
          <cell r="N3141" t="e">
            <v>#N/A</v>
          </cell>
          <cell r="O3141" t="str">
            <v>Service Gasket Kit for A922 Spin-on Conversion Kit</v>
          </cell>
        </row>
        <row r="3142">
          <cell r="K3142" t="str">
            <v>CAF24017XL</v>
          </cell>
          <cell r="L3142" t="str">
            <v>HD</v>
          </cell>
          <cell r="M3142" t="str">
            <v>x</v>
          </cell>
          <cell r="N3142" t="e">
            <v>#N/A</v>
          </cell>
          <cell r="O3142" t="str">
            <v>Cabin Air Filter (Carbon) Extreme Clean</v>
          </cell>
        </row>
        <row r="3143">
          <cell r="K3143" t="str">
            <v>LK257C</v>
          </cell>
          <cell r="L3143" t="str">
            <v>HD</v>
          </cell>
          <cell r="M3143" t="str">
            <v>x</v>
          </cell>
          <cell r="N3143" t="e">
            <v>#N/A</v>
          </cell>
          <cell r="O3143" t="str">
            <v>Cummins Engine Maintenance Kit</v>
          </cell>
        </row>
        <row r="3144">
          <cell r="K3144" t="str">
            <v>LK295C</v>
          </cell>
          <cell r="L3144" t="str">
            <v>HD</v>
          </cell>
          <cell r="M3144" t="str">
            <v>x</v>
          </cell>
          <cell r="N3144" t="e">
            <v>#N/A</v>
          </cell>
          <cell r="O3144" t="str">
            <v>Cummins Engine Maintenance Kit</v>
          </cell>
        </row>
        <row r="3145">
          <cell r="K3145" t="str">
            <v>LK306C</v>
          </cell>
          <cell r="L3145" t="str">
            <v>HD</v>
          </cell>
          <cell r="M3145" t="str">
            <v>x</v>
          </cell>
          <cell r="N3145" t="e">
            <v>#N/A</v>
          </cell>
          <cell r="O3145" t="str">
            <v>Cummins Engine Maintenance Kit</v>
          </cell>
        </row>
        <row r="3146">
          <cell r="K3146" t="str">
            <v>LAF8389</v>
          </cell>
          <cell r="L3146" t="str">
            <v>HD</v>
          </cell>
          <cell r="M3146" t="str">
            <v>x</v>
          </cell>
          <cell r="N3146" t="e">
            <v>#N/A</v>
          </cell>
          <cell r="O3146" t="str">
            <v>HD Metal-End Air Filter</v>
          </cell>
        </row>
        <row r="3147">
          <cell r="K3147" t="str">
            <v>LFH5083</v>
          </cell>
          <cell r="L3147" t="str">
            <v>HD</v>
          </cell>
          <cell r="M3147" t="str">
            <v>x</v>
          </cell>
          <cell r="N3147" t="e">
            <v>#N/A</v>
          </cell>
          <cell r="O3147" t="str">
            <v>Spin-on Hydraulic Filter</v>
          </cell>
        </row>
        <row r="3148">
          <cell r="K3148" t="str">
            <v>LFP2274</v>
          </cell>
          <cell r="L3148" t="str">
            <v>HD</v>
          </cell>
          <cell r="M3148" t="str">
            <v>x</v>
          </cell>
          <cell r="N3148" t="e">
            <v>#N/A</v>
          </cell>
          <cell r="O3148" t="str">
            <v>Spin-on Oil Filter</v>
          </cell>
        </row>
        <row r="3149">
          <cell r="K3149" t="str">
            <v>LAF1949</v>
          </cell>
          <cell r="L3149" t="str">
            <v>HD</v>
          </cell>
          <cell r="M3149" t="str">
            <v>x</v>
          </cell>
          <cell r="N3149" t="e">
            <v>#N/A</v>
          </cell>
          <cell r="O3149" t="str">
            <v>Round Inner Air Filter</v>
          </cell>
        </row>
        <row r="3150">
          <cell r="K3150" t="str">
            <v>LFF3536</v>
          </cell>
          <cell r="L3150" t="str">
            <v>HD</v>
          </cell>
          <cell r="M3150" t="str">
            <v>x</v>
          </cell>
          <cell r="N3150" t="e">
            <v>#N/A</v>
          </cell>
          <cell r="O3150" t="str">
            <v>Spin-on Fuel Filter</v>
          </cell>
        </row>
        <row r="3151">
          <cell r="K3151">
            <v>1143</v>
          </cell>
          <cell r="L3151" t="str">
            <v>HD</v>
          </cell>
          <cell r="M3151" t="str">
            <v>x</v>
          </cell>
          <cell r="N3151" t="e">
            <v>#N/A</v>
          </cell>
          <cell r="O3151" t="str">
            <v>Replaces Wix 15661 gasket.</v>
          </cell>
        </row>
        <row r="3152">
          <cell r="K3152" t="str">
            <v>LAF8651</v>
          </cell>
          <cell r="L3152" t="str">
            <v>HD</v>
          </cell>
          <cell r="M3152" t="str">
            <v>x</v>
          </cell>
          <cell r="N3152" t="e">
            <v>#N/A</v>
          </cell>
          <cell r="O3152" t="str">
            <v>HD Metal-End Air Filter</v>
          </cell>
        </row>
        <row r="3153">
          <cell r="K3153" t="str">
            <v>CAF24014XL</v>
          </cell>
          <cell r="L3153" t="str">
            <v>HD</v>
          </cell>
          <cell r="M3153" t="str">
            <v>x</v>
          </cell>
          <cell r="N3153" t="e">
            <v>#N/A</v>
          </cell>
          <cell r="O3153" t="str">
            <v>Cabin Air Filter (Carbon) Extreme Clean</v>
          </cell>
        </row>
        <row r="3154">
          <cell r="K3154" t="str">
            <v>LFP2251</v>
          </cell>
          <cell r="L3154" t="str">
            <v>HD</v>
          </cell>
          <cell r="M3154" t="str">
            <v>x</v>
          </cell>
          <cell r="N3154" t="e">
            <v>#N/A</v>
          </cell>
          <cell r="O3154" t="str">
            <v>Spin-on Oil Filter</v>
          </cell>
        </row>
        <row r="3155">
          <cell r="K3155" t="str">
            <v>LAF8526</v>
          </cell>
          <cell r="L3155" t="str">
            <v>HD</v>
          </cell>
          <cell r="M3155" t="str">
            <v>x</v>
          </cell>
          <cell r="N3155" t="e">
            <v>#N/A</v>
          </cell>
          <cell r="O3155" t="str">
            <v>HD Metal-End Air Filter-Inner</v>
          </cell>
        </row>
        <row r="3156">
          <cell r="K3156" t="str">
            <v>LAF8203</v>
          </cell>
          <cell r="L3156" t="str">
            <v>HD</v>
          </cell>
          <cell r="M3156" t="str">
            <v>x</v>
          </cell>
          <cell r="N3156" t="e">
            <v>#N/A</v>
          </cell>
          <cell r="O3156" t="str">
            <v>Round Plastisol Air Filter</v>
          </cell>
        </row>
        <row r="3157">
          <cell r="K3157" t="str">
            <v>LAF8647</v>
          </cell>
          <cell r="L3157" t="str">
            <v>HD</v>
          </cell>
          <cell r="M3157" t="str">
            <v>x</v>
          </cell>
          <cell r="N3157" t="e">
            <v>#N/A</v>
          </cell>
          <cell r="O3157" t="str">
            <v>HD Metal-End Air Filter with Attached Lid</v>
          </cell>
        </row>
        <row r="3158">
          <cell r="K3158" t="str">
            <v>LFH8417G</v>
          </cell>
          <cell r="L3158" t="str">
            <v>HD</v>
          </cell>
          <cell r="M3158" t="str">
            <v>x</v>
          </cell>
          <cell r="N3158" t="e">
            <v>#N/A</v>
          </cell>
          <cell r="O3158" t="str">
            <v>Spin-on Hydraulic Filter</v>
          </cell>
        </row>
        <row r="3159">
          <cell r="K3159" t="str">
            <v>LFH4223XL</v>
          </cell>
          <cell r="L3159" t="str">
            <v>HD</v>
          </cell>
          <cell r="M3159" t="str">
            <v>x</v>
          </cell>
          <cell r="N3159" t="e">
            <v>#N/A</v>
          </cell>
          <cell r="O3159" t="str">
            <v>Extended Life Hydraulic Spin-on Filter</v>
          </cell>
        </row>
        <row r="3160">
          <cell r="K3160" t="str">
            <v>LK339C</v>
          </cell>
          <cell r="L3160" t="str">
            <v>HD</v>
          </cell>
          <cell r="M3160" t="str">
            <v>x</v>
          </cell>
          <cell r="N3160" t="e">
            <v>#N/A</v>
          </cell>
          <cell r="O3160" t="str">
            <v>Cummins Engine Maintenance Kit</v>
          </cell>
        </row>
        <row r="3161">
          <cell r="K3161" t="str">
            <v>LAF1892</v>
          </cell>
          <cell r="L3161" t="str">
            <v>HD</v>
          </cell>
          <cell r="M3161" t="str">
            <v>x</v>
          </cell>
          <cell r="N3161" t="e">
            <v>#N/A</v>
          </cell>
          <cell r="O3161" t="str">
            <v>Cone Shaped Conical Air Filter</v>
          </cell>
        </row>
        <row r="3162">
          <cell r="K3162" t="str">
            <v>L3525F</v>
          </cell>
          <cell r="L3162" t="str">
            <v>HD</v>
          </cell>
          <cell r="M3162" t="str">
            <v>x</v>
          </cell>
          <cell r="N3162" t="e">
            <v>#N/A</v>
          </cell>
          <cell r="O3162" t="str">
            <v>Cartridge Fuel Filter</v>
          </cell>
        </row>
        <row r="3163">
          <cell r="K3163" t="str">
            <v>LH4234</v>
          </cell>
          <cell r="L3163" t="str">
            <v>HD</v>
          </cell>
          <cell r="M3163" t="str">
            <v>x</v>
          </cell>
          <cell r="N3163" t="e">
            <v>#N/A</v>
          </cell>
          <cell r="O3163" t="str">
            <v>Cartridge Hydraulic Filter</v>
          </cell>
        </row>
        <row r="3164">
          <cell r="K3164" t="str">
            <v>LFF6962</v>
          </cell>
          <cell r="L3164" t="str">
            <v>HD</v>
          </cell>
          <cell r="M3164" t="str">
            <v>x</v>
          </cell>
          <cell r="N3164" t="e">
            <v>#N/A</v>
          </cell>
          <cell r="O3164" t="str">
            <v>Spin-on Fuel Water Separator Filter</v>
          </cell>
        </row>
        <row r="3165">
          <cell r="K3165" t="str">
            <v>L50F</v>
          </cell>
          <cell r="L3165" t="str">
            <v>HD</v>
          </cell>
          <cell r="M3165" t="str">
            <v>x</v>
          </cell>
          <cell r="N3165" t="e">
            <v>#N/A</v>
          </cell>
          <cell r="O3165" t="str">
            <v>Cartridge Fuel Filter</v>
          </cell>
        </row>
        <row r="3166">
          <cell r="K3166" t="str">
            <v>L8852F</v>
          </cell>
          <cell r="L3166" t="str">
            <v>HD</v>
          </cell>
          <cell r="M3166" t="str">
            <v>x</v>
          </cell>
          <cell r="N3166" t="e">
            <v>#N/A</v>
          </cell>
          <cell r="O3166" t="str">
            <v>Cartridge Fuel Filter</v>
          </cell>
        </row>
        <row r="3167">
          <cell r="K3167" t="str">
            <v>LH4996</v>
          </cell>
          <cell r="L3167" t="str">
            <v>HD</v>
          </cell>
          <cell r="M3167" t="str">
            <v>x</v>
          </cell>
          <cell r="N3167" t="e">
            <v>#N/A</v>
          </cell>
          <cell r="O3167" t="str">
            <v>Cartridge Hydraulic Filter</v>
          </cell>
        </row>
        <row r="3168">
          <cell r="K3168" t="str">
            <v>LP613</v>
          </cell>
          <cell r="L3168" t="str">
            <v>HD</v>
          </cell>
          <cell r="M3168" t="str">
            <v>x</v>
          </cell>
          <cell r="N3168" t="e">
            <v>#N/A</v>
          </cell>
          <cell r="O3168" t="str">
            <v>Cartridge Oil Filter</v>
          </cell>
        </row>
        <row r="3169">
          <cell r="K3169" t="str">
            <v>LFF3368</v>
          </cell>
          <cell r="L3169" t="str">
            <v>HD</v>
          </cell>
          <cell r="M3169" t="str">
            <v>x</v>
          </cell>
          <cell r="N3169" t="e">
            <v>#N/A</v>
          </cell>
          <cell r="O3169" t="str">
            <v>Spin-on Fuel Filter</v>
          </cell>
        </row>
        <row r="3170">
          <cell r="K3170" t="str">
            <v>LFH5721</v>
          </cell>
          <cell r="L3170" t="str">
            <v>HD</v>
          </cell>
          <cell r="M3170" t="str">
            <v>x</v>
          </cell>
          <cell r="N3170" t="e">
            <v>#N/A</v>
          </cell>
          <cell r="O3170" t="str">
            <v>Spin-on Hydraulic Filter</v>
          </cell>
        </row>
        <row r="3171">
          <cell r="K3171" t="str">
            <v>LAF1816</v>
          </cell>
          <cell r="L3171" t="str">
            <v>HD</v>
          </cell>
          <cell r="M3171" t="str">
            <v>x</v>
          </cell>
          <cell r="N3171" t="e">
            <v>#N/A</v>
          </cell>
          <cell r="O3171" t="str">
            <v>HD Metal-End Inner Air Filter</v>
          </cell>
        </row>
        <row r="3172">
          <cell r="K3172" t="str">
            <v>LH4261</v>
          </cell>
          <cell r="L3172" t="str">
            <v>HD</v>
          </cell>
          <cell r="M3172" t="str">
            <v>x</v>
          </cell>
          <cell r="N3172" t="e">
            <v>#N/A</v>
          </cell>
          <cell r="O3172" t="str">
            <v>Cartridge Power Steering (Hydraulic) Filter</v>
          </cell>
        </row>
        <row r="3173">
          <cell r="K3173" t="str">
            <v>LAF5569</v>
          </cell>
          <cell r="L3173" t="str">
            <v>HD</v>
          </cell>
          <cell r="M3173" t="str">
            <v>x</v>
          </cell>
          <cell r="N3173" t="e">
            <v>#N/A</v>
          </cell>
          <cell r="O3173" t="str">
            <v>Radial Seal Inner Air Filter</v>
          </cell>
        </row>
        <row r="3174">
          <cell r="K3174" t="str">
            <v>LFP911G</v>
          </cell>
          <cell r="L3174" t="str">
            <v>HD</v>
          </cell>
          <cell r="M3174" t="str">
            <v>x</v>
          </cell>
          <cell r="N3174" t="e">
            <v>#N/A</v>
          </cell>
          <cell r="O3174" t="str">
            <v>Extended Life Spin-on Oil Filter</v>
          </cell>
        </row>
        <row r="3175">
          <cell r="K3175" t="str">
            <v>L2020FN-2</v>
          </cell>
          <cell r="L3175" t="str">
            <v>HD</v>
          </cell>
          <cell r="M3175" t="str">
            <v>x</v>
          </cell>
          <cell r="N3175" t="e">
            <v>#N/A</v>
          </cell>
          <cell r="O3175" t="str">
            <v>Cartridge Fuel Filter</v>
          </cell>
        </row>
        <row r="3176">
          <cell r="K3176" t="str">
            <v>LH95279V</v>
          </cell>
          <cell r="L3176" t="str">
            <v>HD</v>
          </cell>
          <cell r="M3176" t="str">
            <v>x</v>
          </cell>
          <cell r="N3176" t="e">
            <v>#N/A</v>
          </cell>
          <cell r="O3176" t="str">
            <v>Cartridge Hydraulic Filter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F Filters"/>
      <sheetName val="Water Pumps"/>
      <sheetName val="OBS"/>
    </sheetNames>
    <sheetDataSet>
      <sheetData sheetId="0">
        <row r="14">
          <cell r="G14" t="str">
            <v>LFP2160</v>
          </cell>
          <cell r="H14" t="str">
            <v>Spin-on Oil Filter</v>
          </cell>
        </row>
        <row r="15">
          <cell r="G15" t="str">
            <v>PH47</v>
          </cell>
          <cell r="H15" t="str">
            <v>Spin-on Oil Filter</v>
          </cell>
        </row>
        <row r="16">
          <cell r="G16" t="str">
            <v>PH48</v>
          </cell>
          <cell r="H16" t="str">
            <v>Spin-on Oil Filter</v>
          </cell>
        </row>
        <row r="17">
          <cell r="G17" t="str">
            <v>L3578FN</v>
          </cell>
          <cell r="H17" t="str">
            <v>Cartridge Fuel Water Separator Coalescer filter</v>
          </cell>
        </row>
        <row r="18">
          <cell r="G18" t="str">
            <v>AF785</v>
          </cell>
          <cell r="H18" t="str">
            <v>Round Air Filter</v>
          </cell>
        </row>
        <row r="19">
          <cell r="G19" t="str">
            <v>LFP9001</v>
          </cell>
          <cell r="H19" t="str">
            <v>Spin-on Oil Filter</v>
          </cell>
        </row>
        <row r="20">
          <cell r="G20" t="str">
            <v>LFP3191</v>
          </cell>
          <cell r="H20" t="str">
            <v>Spin-on Oil Filter</v>
          </cell>
        </row>
        <row r="21">
          <cell r="G21" t="str">
            <v>PH1218</v>
          </cell>
          <cell r="H21" t="str">
            <v>Spin-on Oil Filter</v>
          </cell>
        </row>
        <row r="22">
          <cell r="G22" t="str">
            <v>LFP4005</v>
          </cell>
          <cell r="H22" t="str">
            <v>Spin-on Oil Filter</v>
          </cell>
        </row>
        <row r="23">
          <cell r="G23" t="str">
            <v>LFF1000</v>
          </cell>
          <cell r="H23" t="str">
            <v>Spin-on Fuel Filter</v>
          </cell>
        </row>
        <row r="24">
          <cell r="G24" t="str">
            <v>LFP3970</v>
          </cell>
          <cell r="H24" t="str">
            <v>Spin-on Oil Filter</v>
          </cell>
        </row>
        <row r="25">
          <cell r="G25" t="str">
            <v>LFP816FN</v>
          </cell>
          <cell r="H25" t="str">
            <v>Secondary spin-on fuel filter</v>
          </cell>
        </row>
        <row r="26">
          <cell r="G26" t="str">
            <v>LFP3000G</v>
          </cell>
          <cell r="H26" t="str">
            <v>Extended Life Spin-on Oil Filter</v>
          </cell>
        </row>
        <row r="27">
          <cell r="G27" t="str">
            <v>LAF1849</v>
          </cell>
          <cell r="H27" t="str">
            <v>Radial Seal Air Filter (Primary) Filter</v>
          </cell>
        </row>
        <row r="28">
          <cell r="G28" t="str">
            <v>LFF2749</v>
          </cell>
          <cell r="H28" t="str">
            <v>HD Spin-on Fuel Filter</v>
          </cell>
        </row>
        <row r="29">
          <cell r="G29" t="str">
            <v>LFP8642</v>
          </cell>
          <cell r="H29" t="str">
            <v>Spin-on By-Pass Oil Filter</v>
          </cell>
        </row>
        <row r="30">
          <cell r="G30" t="str">
            <v>LFP3000</v>
          </cell>
          <cell r="H30" t="str">
            <v>Spin-on Oil Filter</v>
          </cell>
        </row>
        <row r="31">
          <cell r="G31" t="str">
            <v>LFF8059</v>
          </cell>
          <cell r="H31" t="str">
            <v>Spin-on Fuel Filter</v>
          </cell>
        </row>
        <row r="32">
          <cell r="G32" t="str">
            <v>LFP815FN</v>
          </cell>
          <cell r="H32" t="str">
            <v>Primary Spin-on Fuel Filter</v>
          </cell>
        </row>
        <row r="33">
          <cell r="G33" t="str">
            <v>LFF2201</v>
          </cell>
          <cell r="H33" t="str">
            <v>Spin-on Fuel Filter</v>
          </cell>
        </row>
        <row r="34">
          <cell r="G34" t="str">
            <v>LFF5</v>
          </cell>
          <cell r="H34" t="str">
            <v>Spin-on Fuel Filter</v>
          </cell>
        </row>
        <row r="35">
          <cell r="G35" t="str">
            <v>G481</v>
          </cell>
          <cell r="H35" t="str">
            <v>In-Line Fuel Filter</v>
          </cell>
        </row>
        <row r="36">
          <cell r="G36" t="str">
            <v>LFH8737</v>
          </cell>
          <cell r="H36" t="str">
            <v>Spin-on Transmission (Hydraulic) Filter</v>
          </cell>
        </row>
        <row r="37">
          <cell r="G37" t="str">
            <v>LFF5823B</v>
          </cell>
          <cell r="H37" t="str">
            <v>Spin-on Fuel Filter</v>
          </cell>
        </row>
        <row r="38">
          <cell r="G38" t="str">
            <v>LFW4071</v>
          </cell>
          <cell r="H38" t="str">
            <v>Spin-on Coolant Filter</v>
          </cell>
        </row>
        <row r="39">
          <cell r="G39" t="str">
            <v>PH820</v>
          </cell>
          <cell r="H39" t="str">
            <v>Spin-on Oil Filter</v>
          </cell>
        </row>
        <row r="40">
          <cell r="G40" t="str">
            <v>LFF6776</v>
          </cell>
          <cell r="H40" t="str">
            <v>Spin-on Fuel Filter</v>
          </cell>
        </row>
        <row r="41">
          <cell r="G41" t="str">
            <v>LFP3236</v>
          </cell>
          <cell r="H41" t="str">
            <v>Spin-on Oil Filter</v>
          </cell>
        </row>
        <row r="42">
          <cell r="G42" t="str">
            <v>P3244</v>
          </cell>
          <cell r="H42" t="str">
            <v>Cartridge Oil Filter</v>
          </cell>
        </row>
        <row r="43">
          <cell r="G43" t="str">
            <v>LP5090</v>
          </cell>
          <cell r="H43" t="str">
            <v>Cartridge Oil Filter</v>
          </cell>
        </row>
        <row r="44">
          <cell r="G44" t="str">
            <v>CAF24003</v>
          </cell>
          <cell r="H44" t="str">
            <v>Cabin Air Filter</v>
          </cell>
        </row>
        <row r="45">
          <cell r="G45" t="str">
            <v>L5467F</v>
          </cell>
          <cell r="H45" t="str">
            <v>Cartridge Fuel Filter</v>
          </cell>
        </row>
        <row r="46">
          <cell r="G46" t="str">
            <v>LAF3551</v>
          </cell>
          <cell r="H46" t="str">
            <v>HD Round Air Filter with Attached Lid</v>
          </cell>
        </row>
        <row r="47">
          <cell r="G47" t="str">
            <v>LFP440F</v>
          </cell>
          <cell r="H47" t="str">
            <v>Spin-on Fuel Filter</v>
          </cell>
        </row>
        <row r="48">
          <cell r="G48" t="str">
            <v>PH8A</v>
          </cell>
          <cell r="H48" t="str">
            <v>Spin-on Oil Filter</v>
          </cell>
        </row>
        <row r="49">
          <cell r="G49" t="str">
            <v>L9915F</v>
          </cell>
          <cell r="H49" t="str">
            <v>Cartridge Fuel Water Separator Coalescer filter</v>
          </cell>
        </row>
        <row r="50">
          <cell r="G50" t="str">
            <v>PH253</v>
          </cell>
          <cell r="H50" t="str">
            <v>Spin-on Oil Filter</v>
          </cell>
        </row>
        <row r="51">
          <cell r="G51" t="str">
            <v>LFP2286</v>
          </cell>
          <cell r="H51" t="str">
            <v>Spin-on Oil Filter</v>
          </cell>
        </row>
        <row r="52">
          <cell r="G52" t="str">
            <v>LAF1878</v>
          </cell>
          <cell r="H52" t="str">
            <v>Radial Seal Air Filter (Primary) Filter</v>
          </cell>
        </row>
        <row r="53">
          <cell r="G53" t="str">
            <v>LFP780</v>
          </cell>
          <cell r="H53" t="str">
            <v>Spin-on Oil Filter</v>
          </cell>
        </row>
        <row r="54">
          <cell r="G54" t="str">
            <v>LFF2203</v>
          </cell>
          <cell r="H54" t="str">
            <v>Spin-on Fuel Filter</v>
          </cell>
        </row>
        <row r="55">
          <cell r="G55" t="str">
            <v>L9765FXL</v>
          </cell>
          <cell r="H55" t="str">
            <v>Extended Life Cartridge Fuel Water Separator Filter</v>
          </cell>
        </row>
        <row r="56">
          <cell r="G56" t="str">
            <v>PH2835</v>
          </cell>
          <cell r="H56" t="str">
            <v>Spin-on Oil Filter</v>
          </cell>
        </row>
        <row r="57">
          <cell r="G57" t="str">
            <v>LFF8020</v>
          </cell>
          <cell r="H57" t="str">
            <v>Spin-on Fuel Water Separator Filter</v>
          </cell>
        </row>
        <row r="58">
          <cell r="G58" t="str">
            <v>LFF5488</v>
          </cell>
          <cell r="H58" t="str">
            <v>Spin-on Fuel Filter</v>
          </cell>
        </row>
        <row r="59">
          <cell r="G59">
            <v>920021</v>
          </cell>
          <cell r="H59" t="str">
            <v>Lubercool II Pint Bottle</v>
          </cell>
        </row>
        <row r="60">
          <cell r="G60" t="str">
            <v>LFP3236TRT</v>
          </cell>
          <cell r="H60" t="str">
            <v>Spin-on Oil Filter</v>
          </cell>
        </row>
        <row r="61">
          <cell r="G61" t="str">
            <v>LAF6260</v>
          </cell>
          <cell r="H61" t="str">
            <v>Corrugated Media Air Filter</v>
          </cell>
        </row>
        <row r="62">
          <cell r="G62" t="str">
            <v>AF925</v>
          </cell>
          <cell r="H62" t="str">
            <v>Round Air Filter</v>
          </cell>
        </row>
        <row r="63">
          <cell r="G63" t="str">
            <v>LFP9025</v>
          </cell>
          <cell r="H63" t="str">
            <v>Spin-on Oil Filter</v>
          </cell>
        </row>
        <row r="64">
          <cell r="G64" t="str">
            <v>L5091F</v>
          </cell>
          <cell r="H64" t="str">
            <v>Fuel Filter Kit Primary/Secondary</v>
          </cell>
        </row>
        <row r="65">
          <cell r="G65" t="str">
            <v>L5467FNXL</v>
          </cell>
          <cell r="H65" t="str">
            <v>Extended life Cartridge fuel filter</v>
          </cell>
        </row>
        <row r="66">
          <cell r="G66" t="str">
            <v>L9763FXL</v>
          </cell>
          <cell r="H66" t="str">
            <v>Extended Life Cartridge Fuel Water Separator Filter</v>
          </cell>
        </row>
        <row r="67">
          <cell r="G67" t="str">
            <v>CAF24000</v>
          </cell>
          <cell r="H67" t="str">
            <v>Cabin Air Filter</v>
          </cell>
        </row>
        <row r="68">
          <cell r="G68" t="str">
            <v>LFP1652</v>
          </cell>
          <cell r="H68" t="str">
            <v>Spin-on Hydraulic Filter</v>
          </cell>
        </row>
        <row r="69">
          <cell r="G69" t="str">
            <v>LAF6663</v>
          </cell>
          <cell r="H69" t="str">
            <v>Radial Seal Outer Air Filter</v>
          </cell>
        </row>
        <row r="70">
          <cell r="G70" t="str">
            <v>L5104F</v>
          </cell>
          <cell r="H70" t="str">
            <v>Fuel Filter Kit Primary/Secondary</v>
          </cell>
        </row>
        <row r="71">
          <cell r="G71" t="str">
            <v>LFF3521</v>
          </cell>
          <cell r="H71" t="str">
            <v>Spin-on Fuel Filter</v>
          </cell>
        </row>
        <row r="72">
          <cell r="G72" t="str">
            <v>L9729F</v>
          </cell>
          <cell r="H72" t="str">
            <v>Cartridge Fuel Water Separator Filter</v>
          </cell>
        </row>
        <row r="73">
          <cell r="G73" t="str">
            <v>PH2808</v>
          </cell>
          <cell r="H73" t="str">
            <v>Spin-on Oil Filter</v>
          </cell>
        </row>
        <row r="74">
          <cell r="G74" t="str">
            <v>LFP2285</v>
          </cell>
          <cell r="H74" t="str">
            <v>Spin-on Oil Filter</v>
          </cell>
        </row>
        <row r="75">
          <cell r="G75" t="str">
            <v>LFF4783</v>
          </cell>
          <cell r="H75" t="str">
            <v>Spin-on Fuel Filter</v>
          </cell>
        </row>
        <row r="76">
          <cell r="G76" t="str">
            <v>LFF5632</v>
          </cell>
          <cell r="H76" t="str">
            <v>Spin-on Fuel Filter</v>
          </cell>
        </row>
        <row r="77">
          <cell r="G77" t="str">
            <v>LAF9201</v>
          </cell>
          <cell r="H77" t="str">
            <v>Radial Seal Outer Air Filter</v>
          </cell>
        </row>
        <row r="78">
          <cell r="G78" t="str">
            <v>LAF4816</v>
          </cell>
          <cell r="H78" t="str">
            <v>Radial Seal Air Filter (Primary) Filter</v>
          </cell>
        </row>
        <row r="79">
          <cell r="G79" t="str">
            <v>LAF5114MXM</v>
          </cell>
          <cell r="H79" t="str">
            <v>Nano Tech Radial Seal Air Filter</v>
          </cell>
        </row>
        <row r="80">
          <cell r="G80" t="str">
            <v>AF1658</v>
          </cell>
          <cell r="H80" t="str">
            <v>Flexible Panel Air Filter</v>
          </cell>
        </row>
        <row r="81">
          <cell r="G81" t="str">
            <v>LFP670</v>
          </cell>
          <cell r="H81" t="str">
            <v>Spin-on Oil Filter</v>
          </cell>
        </row>
        <row r="82">
          <cell r="G82" t="str">
            <v>CAF24005</v>
          </cell>
          <cell r="H82" t="str">
            <v>Cabin Air Filter</v>
          </cell>
        </row>
        <row r="83">
          <cell r="G83" t="str">
            <v>LFP3191TRT</v>
          </cell>
          <cell r="H83" t="str">
            <v>Spin-on Oil Filter</v>
          </cell>
        </row>
        <row r="84">
          <cell r="G84" t="str">
            <v>LFF1003</v>
          </cell>
          <cell r="H84" t="str">
            <v>Spin-on Fuel Filter</v>
          </cell>
        </row>
        <row r="85">
          <cell r="G85" t="str">
            <v>LFF3358</v>
          </cell>
          <cell r="H85" t="str">
            <v>Spin-on Fuel Filter</v>
          </cell>
        </row>
        <row r="86">
          <cell r="G86" t="str">
            <v>PH59</v>
          </cell>
          <cell r="H86" t="str">
            <v>Spin-on Oil Filter</v>
          </cell>
        </row>
        <row r="87">
          <cell r="G87" t="str">
            <v>LAF9099</v>
          </cell>
          <cell r="H87" t="str">
            <v>Radial Seal Outer Air Filter</v>
          </cell>
        </row>
        <row r="88">
          <cell r="G88" t="str">
            <v>PH51A</v>
          </cell>
          <cell r="H88" t="str">
            <v>Spin-on Oil Filter</v>
          </cell>
        </row>
        <row r="89">
          <cell r="G89" t="str">
            <v>L5086F</v>
          </cell>
          <cell r="H89" t="str">
            <v>Cartridge Fuel Water Separator Coalescer filter</v>
          </cell>
        </row>
        <row r="90">
          <cell r="G90" t="str">
            <v>PH500</v>
          </cell>
          <cell r="H90" t="str">
            <v>Spin-on Oil Filter</v>
          </cell>
        </row>
        <row r="91">
          <cell r="G91" t="str">
            <v>L7694F</v>
          </cell>
          <cell r="H91" t="str">
            <v>Cartridge Fuel Filter</v>
          </cell>
        </row>
        <row r="92">
          <cell r="G92" t="str">
            <v>AF1236</v>
          </cell>
          <cell r="H92" t="str">
            <v>Flexible Panel Air Filter</v>
          </cell>
        </row>
        <row r="93">
          <cell r="G93" t="str">
            <v>LFF3349</v>
          </cell>
          <cell r="H93" t="str">
            <v>Spin-on Fuel Filter</v>
          </cell>
        </row>
        <row r="94">
          <cell r="G94" t="str">
            <v>LP8213</v>
          </cell>
          <cell r="H94" t="str">
            <v>Cartridge By-Pass Oil Filter</v>
          </cell>
        </row>
        <row r="95">
          <cell r="G95" t="str">
            <v>LFW2127</v>
          </cell>
          <cell r="H95" t="str">
            <v>Extended Life Spin-on Coolant Filter</v>
          </cell>
        </row>
        <row r="96">
          <cell r="G96" t="str">
            <v>LP5048</v>
          </cell>
          <cell r="H96" t="str">
            <v>Cartridge Oil Filter</v>
          </cell>
        </row>
        <row r="97">
          <cell r="G97" t="str">
            <v>LAF8837</v>
          </cell>
          <cell r="H97" t="str">
            <v>Flexible Panel Air Filter</v>
          </cell>
        </row>
        <row r="98">
          <cell r="G98" t="str">
            <v>LFF1065</v>
          </cell>
          <cell r="H98" t="str">
            <v>Spin-on Fuel Water Separator Filter</v>
          </cell>
        </row>
        <row r="99">
          <cell r="G99" t="str">
            <v>L5094F</v>
          </cell>
          <cell r="H99" t="str">
            <v>Cartridge Fuel Water Separator Filter</v>
          </cell>
        </row>
        <row r="100">
          <cell r="G100" t="str">
            <v>LP7498XL</v>
          </cell>
          <cell r="H100" t="str">
            <v>Extended Life Cartridge Oil Filter</v>
          </cell>
        </row>
        <row r="101">
          <cell r="G101" t="str">
            <v>CAF1815P</v>
          </cell>
          <cell r="H101" t="str">
            <v>Cabin Air Filter</v>
          </cell>
        </row>
        <row r="102">
          <cell r="G102" t="str">
            <v>LFP9000</v>
          </cell>
          <cell r="H102" t="str">
            <v>Spin-on Oil Filter</v>
          </cell>
        </row>
        <row r="103">
          <cell r="G103" t="str">
            <v>LFW4685</v>
          </cell>
          <cell r="H103" t="str">
            <v>Spin-on Coolant Filter</v>
          </cell>
        </row>
        <row r="104">
          <cell r="G104" t="str">
            <v>LFF1224</v>
          </cell>
          <cell r="H104" t="str">
            <v>Spin-on Fuel Filter</v>
          </cell>
        </row>
        <row r="105">
          <cell r="G105" t="str">
            <v>LFW4074</v>
          </cell>
          <cell r="H105" t="str">
            <v>Spin-on Coolant Filter</v>
          </cell>
        </row>
        <row r="106">
          <cell r="G106" t="str">
            <v>LP2017</v>
          </cell>
          <cell r="H106" t="str">
            <v>Cartridge Oil Filter</v>
          </cell>
        </row>
        <row r="107">
          <cell r="G107" t="str">
            <v>L8994F</v>
          </cell>
          <cell r="H107" t="str">
            <v>Cartridge Fuel Filter</v>
          </cell>
        </row>
        <row r="108">
          <cell r="G108" t="str">
            <v>LAF3233</v>
          </cell>
          <cell r="H108" t="str">
            <v>Corrugated Media Air Filter</v>
          </cell>
        </row>
        <row r="109">
          <cell r="G109" t="str">
            <v>LFP777B</v>
          </cell>
          <cell r="H109" t="str">
            <v>Spin-on By-Pass Oil Filter</v>
          </cell>
        </row>
        <row r="110">
          <cell r="G110" t="str">
            <v>LAF3302</v>
          </cell>
          <cell r="H110" t="str">
            <v>Radial Seal Air Filter (Primary) Filter</v>
          </cell>
        </row>
        <row r="111">
          <cell r="G111" t="str">
            <v>LFH4984</v>
          </cell>
          <cell r="H111" t="str">
            <v>Spin-on Power Steering (Hydraulic) Filter</v>
          </cell>
        </row>
        <row r="112">
          <cell r="G112" t="str">
            <v>LFF4470</v>
          </cell>
          <cell r="H112" t="str">
            <v>Primary Spin-on Fuel Filter</v>
          </cell>
        </row>
        <row r="113">
          <cell r="G113" t="str">
            <v>LFP2999R</v>
          </cell>
          <cell r="H113" t="str">
            <v>Spin-on Oil Filter</v>
          </cell>
        </row>
        <row r="114">
          <cell r="G114" t="str">
            <v>LFP4005RN</v>
          </cell>
          <cell r="H114" t="str">
            <v>Spin-on Oil Filter</v>
          </cell>
        </row>
        <row r="115">
          <cell r="G115" t="str">
            <v>LAF2100</v>
          </cell>
          <cell r="H115" t="str">
            <v>Cone Shaped Conical Air Filter</v>
          </cell>
        </row>
        <row r="116">
          <cell r="G116" t="str">
            <v>LAF8388</v>
          </cell>
          <cell r="H116" t="str">
            <v>Radial Seal Outer Air Filter</v>
          </cell>
        </row>
        <row r="117">
          <cell r="G117" t="str">
            <v>LFP9001TRT</v>
          </cell>
          <cell r="H117" t="str">
            <v>Spin-on Oil Filter</v>
          </cell>
        </row>
        <row r="118">
          <cell r="G118" t="str">
            <v>PH2903</v>
          </cell>
          <cell r="H118" t="str">
            <v>Spin-on Oil Filter</v>
          </cell>
        </row>
        <row r="119">
          <cell r="G119" t="str">
            <v>LP6043</v>
          </cell>
          <cell r="H119" t="str">
            <v>Cartridge Oil Filter</v>
          </cell>
        </row>
        <row r="120">
          <cell r="G120" t="str">
            <v>LFP6035</v>
          </cell>
          <cell r="H120" t="str">
            <v>Spin-on Oil Filter</v>
          </cell>
        </row>
        <row r="121">
          <cell r="G121" t="str">
            <v>P1009</v>
          </cell>
          <cell r="H121" t="str">
            <v>Cartridge Oil Filter</v>
          </cell>
        </row>
        <row r="122">
          <cell r="G122" t="str">
            <v>L9684F</v>
          </cell>
          <cell r="H122" t="str">
            <v>Cartridge Fuel Water Separator Filter</v>
          </cell>
        </row>
        <row r="123">
          <cell r="G123" t="str">
            <v>LP8700</v>
          </cell>
          <cell r="H123" t="str">
            <v>Cartridge Oil Filter</v>
          </cell>
        </row>
        <row r="124">
          <cell r="G124" t="str">
            <v>PH2827</v>
          </cell>
          <cell r="H124" t="str">
            <v>Spin-on Oil Filter</v>
          </cell>
        </row>
        <row r="125">
          <cell r="G125" t="str">
            <v>L2020FN</v>
          </cell>
          <cell r="H125" t="str">
            <v>Cartridge Fuel Water Separator Filter</v>
          </cell>
        </row>
        <row r="126">
          <cell r="G126" t="str">
            <v>LAF9545</v>
          </cell>
          <cell r="H126" t="str">
            <v>HD Metal-End Air Filter</v>
          </cell>
        </row>
        <row r="127">
          <cell r="G127" t="str">
            <v>LFF3520</v>
          </cell>
          <cell r="H127" t="str">
            <v>Fuel Dispensing Filter</v>
          </cell>
        </row>
        <row r="128">
          <cell r="G128" t="str">
            <v>CAF24015</v>
          </cell>
          <cell r="H128" t="str">
            <v>Cabin Air Filter</v>
          </cell>
        </row>
        <row r="129">
          <cell r="G129" t="str">
            <v>LFP2051</v>
          </cell>
          <cell r="H129" t="str">
            <v>Spin-on Oil Filter</v>
          </cell>
        </row>
        <row r="130">
          <cell r="G130" t="str">
            <v>LFF8957</v>
          </cell>
          <cell r="H130" t="str">
            <v>Bowl Style Fuel Water Separator Filter</v>
          </cell>
        </row>
        <row r="131">
          <cell r="G131" t="str">
            <v>LFP5964</v>
          </cell>
          <cell r="H131" t="str">
            <v>Spin-on Oil Filter</v>
          </cell>
        </row>
        <row r="132">
          <cell r="G132" t="str">
            <v>PH454</v>
          </cell>
          <cell r="H132" t="str">
            <v>Spin-on Oil Filter</v>
          </cell>
        </row>
        <row r="133">
          <cell r="G133" t="str">
            <v>LFF8064</v>
          </cell>
          <cell r="H133" t="str">
            <v>Spin-on Fuel Filter</v>
          </cell>
        </row>
        <row r="134">
          <cell r="G134" t="str">
            <v>LFP780G</v>
          </cell>
          <cell r="H134" t="str">
            <v>Extended Life Spin-on Oil Filter</v>
          </cell>
        </row>
        <row r="135">
          <cell r="G135" t="str">
            <v>LFF5485</v>
          </cell>
          <cell r="H135" t="str">
            <v>Spin-on Fuel Filter</v>
          </cell>
        </row>
        <row r="136">
          <cell r="G136" t="str">
            <v>L3578FXL</v>
          </cell>
          <cell r="H136" t="str">
            <v>Extended Life Cartridge Fuel Water Separator Coalescer filter</v>
          </cell>
        </row>
        <row r="137">
          <cell r="G137" t="str">
            <v>LFH4209</v>
          </cell>
          <cell r="H137" t="str">
            <v>Spin-on Hydraulic Filter</v>
          </cell>
        </row>
        <row r="138">
          <cell r="G138" t="str">
            <v>LFP219F</v>
          </cell>
          <cell r="H138" t="str">
            <v>Spin-on Fuel Filter</v>
          </cell>
        </row>
        <row r="139">
          <cell r="G139" t="str">
            <v>CAF24003XL</v>
          </cell>
          <cell r="H139" t="str">
            <v>Cabin Air Filter (Carbon) Extreme Clean</v>
          </cell>
        </row>
        <row r="140">
          <cell r="G140" t="str">
            <v>LFF6012</v>
          </cell>
          <cell r="H140" t="str">
            <v>Spin-on Fuel Filter</v>
          </cell>
        </row>
        <row r="141">
          <cell r="G141" t="str">
            <v>CAF24016</v>
          </cell>
          <cell r="H141" t="str">
            <v>Cabin Air Filter</v>
          </cell>
        </row>
        <row r="142">
          <cell r="G142" t="str">
            <v>LFF1223</v>
          </cell>
          <cell r="H142" t="str">
            <v>Spin-on Fuel Filter</v>
          </cell>
        </row>
        <row r="143">
          <cell r="G143" t="str">
            <v>LFF9342</v>
          </cell>
          <cell r="H143" t="str">
            <v>Spin-on Fuel Water Separator Filter</v>
          </cell>
        </row>
        <row r="144">
          <cell r="G144" t="str">
            <v>LFP9182</v>
          </cell>
          <cell r="H144" t="str">
            <v>Spin-on Oil Filter</v>
          </cell>
        </row>
        <row r="145">
          <cell r="G145" t="str">
            <v>LFW2126</v>
          </cell>
          <cell r="H145" t="str">
            <v>Spin-on Coolant Filter</v>
          </cell>
        </row>
        <row r="146">
          <cell r="G146" t="str">
            <v>PH2867</v>
          </cell>
          <cell r="H146" t="str">
            <v>Spin-on Oil Filter</v>
          </cell>
        </row>
        <row r="147">
          <cell r="G147" t="str">
            <v>LFF4471</v>
          </cell>
          <cell r="H147" t="str">
            <v>Secondary spin-on fuel filter</v>
          </cell>
        </row>
        <row r="148">
          <cell r="G148" t="str">
            <v>LAF6116</v>
          </cell>
          <cell r="H148" t="str">
            <v>Corrugated Media Air Filter</v>
          </cell>
        </row>
        <row r="149">
          <cell r="G149" t="str">
            <v>LFF5851</v>
          </cell>
          <cell r="H149" t="str">
            <v>Bowl Style Fuel Water Separator Filter</v>
          </cell>
        </row>
        <row r="150">
          <cell r="G150" t="str">
            <v>LFF5686</v>
          </cell>
          <cell r="H150" t="str">
            <v>Spin-on Fuel Filter</v>
          </cell>
        </row>
        <row r="151">
          <cell r="G151" t="str">
            <v>LFP2160TRT</v>
          </cell>
          <cell r="H151" t="str">
            <v>Spin-on Oil Filter</v>
          </cell>
        </row>
        <row r="152">
          <cell r="G152" t="str">
            <v>LP7485</v>
          </cell>
          <cell r="H152" t="str">
            <v>Centrifugal Cartridge Oil Filter</v>
          </cell>
        </row>
        <row r="153">
          <cell r="G153" t="str">
            <v>LW4076XL</v>
          </cell>
          <cell r="H153" t="str">
            <v>Extended Life Cartridge Coolant Filter</v>
          </cell>
        </row>
        <row r="154">
          <cell r="G154" t="str">
            <v>LFP8654</v>
          </cell>
          <cell r="H154" t="str">
            <v>Brake Dryer Air Filter</v>
          </cell>
        </row>
        <row r="155">
          <cell r="G155" t="str">
            <v>LFF9342SC</v>
          </cell>
          <cell r="H155" t="str">
            <v>Spin-on Fuel Water Separator Filter</v>
          </cell>
        </row>
        <row r="156">
          <cell r="G156" t="str">
            <v>LFF5421</v>
          </cell>
          <cell r="H156" t="str">
            <v>Spin-on Fuel Filter</v>
          </cell>
        </row>
        <row r="157">
          <cell r="G157" t="str">
            <v>LAF9544</v>
          </cell>
          <cell r="H157" t="str">
            <v>HD Metal-End Air Filter</v>
          </cell>
        </row>
        <row r="158">
          <cell r="G158" t="str">
            <v>LFW2055</v>
          </cell>
          <cell r="H158" t="str">
            <v>Spin-on Coolant Filter</v>
          </cell>
        </row>
        <row r="159">
          <cell r="G159" t="str">
            <v>LAF5873</v>
          </cell>
          <cell r="H159" t="str">
            <v>Radial Seal Outer Air Filter</v>
          </cell>
        </row>
        <row r="160">
          <cell r="G160" t="str">
            <v>LAF2536</v>
          </cell>
          <cell r="H160" t="str">
            <v>Radial Seal Outer Air Filter</v>
          </cell>
        </row>
        <row r="161">
          <cell r="G161" t="str">
            <v>LP8741</v>
          </cell>
          <cell r="H161" t="str">
            <v>Cartridge Oil Filter</v>
          </cell>
        </row>
        <row r="162">
          <cell r="G162" t="str">
            <v>LFF8062</v>
          </cell>
          <cell r="H162" t="str">
            <v>Spin-on Fuel Water Separator Filter</v>
          </cell>
        </row>
        <row r="163">
          <cell r="G163" t="str">
            <v>LFF5766</v>
          </cell>
          <cell r="H163" t="str">
            <v>Spin-on Fuel Filter</v>
          </cell>
        </row>
        <row r="164">
          <cell r="G164" t="str">
            <v>LFP4836</v>
          </cell>
          <cell r="H164" t="str">
            <v>Spin-on Oil Filter</v>
          </cell>
        </row>
        <row r="165">
          <cell r="G165" t="str">
            <v>L4596F</v>
          </cell>
          <cell r="H165" t="str">
            <v>Cartridge Fuel Water Separator Filter</v>
          </cell>
        </row>
        <row r="166">
          <cell r="G166" t="str">
            <v>LH4582G</v>
          </cell>
          <cell r="H166" t="str">
            <v>Cartridge Transmission (Hydraulic) Filter</v>
          </cell>
        </row>
        <row r="167">
          <cell r="G167" t="str">
            <v>LFF3476</v>
          </cell>
          <cell r="H167" t="str">
            <v>Spin-on Secondary Fuel Filter</v>
          </cell>
        </row>
        <row r="168">
          <cell r="G168" t="str">
            <v>L1261F</v>
          </cell>
          <cell r="H168" t="str">
            <v>Cartridge Fuel Water Separator Coalescer filter</v>
          </cell>
        </row>
        <row r="169">
          <cell r="G169" t="str">
            <v>LFF8030</v>
          </cell>
          <cell r="H169" t="str">
            <v>Spin-on Fuel Water Separator Filter</v>
          </cell>
        </row>
        <row r="170">
          <cell r="G170" t="str">
            <v>L296F</v>
          </cell>
          <cell r="H170" t="str">
            <v>Cartridge Fuel Filter</v>
          </cell>
        </row>
        <row r="171">
          <cell r="G171" t="str">
            <v>LAF4544</v>
          </cell>
          <cell r="H171" t="str">
            <v>Radial Seal Outer Air Filter</v>
          </cell>
        </row>
        <row r="172">
          <cell r="G172" t="str">
            <v>LFP449</v>
          </cell>
          <cell r="H172" t="str">
            <v>Spin-on Hydraulic Filter</v>
          </cell>
        </row>
        <row r="173">
          <cell r="G173" t="str">
            <v>LAF5962</v>
          </cell>
          <cell r="H173" t="str">
            <v>Radial Seal Outer Air Filter</v>
          </cell>
        </row>
        <row r="174">
          <cell r="G174" t="str">
            <v>AF2883</v>
          </cell>
          <cell r="H174" t="str">
            <v>Flexible Panel Air Filter</v>
          </cell>
        </row>
        <row r="175">
          <cell r="G175" t="str">
            <v>LAF4348</v>
          </cell>
          <cell r="H175" t="str">
            <v>Special Configuration Air Filter</v>
          </cell>
        </row>
        <row r="176">
          <cell r="G176" t="str">
            <v>LAF4498</v>
          </cell>
          <cell r="H176" t="str">
            <v>Radial Seal Outer Air Filter</v>
          </cell>
        </row>
        <row r="177">
          <cell r="G177" t="str">
            <v>CAF24015XL</v>
          </cell>
          <cell r="H177" t="str">
            <v>Cabin Air Filter (Carbon) Extreme Clean</v>
          </cell>
        </row>
        <row r="178">
          <cell r="G178" t="str">
            <v>PH2840</v>
          </cell>
          <cell r="H178" t="str">
            <v>Spin-on Oil Filter</v>
          </cell>
        </row>
        <row r="179">
          <cell r="G179" t="str">
            <v>L4615F</v>
          </cell>
          <cell r="H179" t="str">
            <v>Fuel Filter Kit Primary/Secondary</v>
          </cell>
        </row>
        <row r="180">
          <cell r="G180" t="str">
            <v>LAF9396</v>
          </cell>
          <cell r="H180" t="str">
            <v>Cone Shaped Conical Air Filter</v>
          </cell>
        </row>
        <row r="181">
          <cell r="G181" t="str">
            <v>LFW4744</v>
          </cell>
          <cell r="H181" t="str">
            <v>Spin-on Coolant Filter</v>
          </cell>
        </row>
        <row r="182">
          <cell r="G182" t="str">
            <v>LFF1225</v>
          </cell>
          <cell r="H182" t="str">
            <v>Spin-on Fuel Filter</v>
          </cell>
        </row>
        <row r="183">
          <cell r="G183" t="str">
            <v>LFW5141</v>
          </cell>
          <cell r="H183" t="str">
            <v>Spin-on Coolant Filter</v>
          </cell>
        </row>
        <row r="184">
          <cell r="G184" t="str">
            <v>LFF8063</v>
          </cell>
          <cell r="H184" t="str">
            <v>Bowl Style Fuel Water Separator Filter</v>
          </cell>
        </row>
        <row r="185">
          <cell r="G185" t="str">
            <v>LAF8195</v>
          </cell>
          <cell r="H185" t="str">
            <v>Radial Seal Outer Air Filter</v>
          </cell>
        </row>
        <row r="186">
          <cell r="G186" t="str">
            <v>LFF5849</v>
          </cell>
          <cell r="H186" t="str">
            <v>Bowl Style Fuel Water Separator Filter</v>
          </cell>
        </row>
        <row r="187">
          <cell r="G187" t="str">
            <v>L8701F</v>
          </cell>
          <cell r="H187" t="str">
            <v>Cartridge Fuel Filter</v>
          </cell>
        </row>
        <row r="188">
          <cell r="G188" t="str">
            <v>LFP2190</v>
          </cell>
          <cell r="H188" t="str">
            <v>Spin-on Oil Filter</v>
          </cell>
        </row>
        <row r="189">
          <cell r="G189" t="str">
            <v>PH44</v>
          </cell>
          <cell r="H189" t="str">
            <v>Spin-on Oil Filter</v>
          </cell>
        </row>
        <row r="190">
          <cell r="G190" t="str">
            <v>LFF3417</v>
          </cell>
          <cell r="H190" t="str">
            <v>Spin-on Fuel Water Separator Filter</v>
          </cell>
        </row>
        <row r="191">
          <cell r="G191" t="str">
            <v>LFP3191G</v>
          </cell>
          <cell r="H191" t="str">
            <v>Extended Life Spin-on Oil Filter</v>
          </cell>
        </row>
        <row r="192">
          <cell r="G192" t="str">
            <v>G115</v>
          </cell>
          <cell r="H192" t="str">
            <v>In-Line Fuel Filter</v>
          </cell>
        </row>
        <row r="193">
          <cell r="G193" t="str">
            <v>LFP431F</v>
          </cell>
          <cell r="H193" t="str">
            <v>Spin-on Fuel Filter</v>
          </cell>
        </row>
        <row r="194">
          <cell r="G194" t="str">
            <v>AF1615</v>
          </cell>
          <cell r="H194" t="str">
            <v>Cone-Shaped, Conical Air Filter</v>
          </cell>
        </row>
        <row r="195">
          <cell r="G195" t="str">
            <v>LFF4783RD</v>
          </cell>
          <cell r="H195" t="str">
            <v>Spin-on Fuel Filter</v>
          </cell>
        </row>
        <row r="196">
          <cell r="G196" t="str">
            <v>LP3985</v>
          </cell>
          <cell r="H196" t="str">
            <v>Centrifugal Cartridge Oil Filter</v>
          </cell>
        </row>
        <row r="197">
          <cell r="G197" t="str">
            <v>LFW4860</v>
          </cell>
          <cell r="H197" t="str">
            <v>Spin-on Coolant Filter</v>
          </cell>
        </row>
        <row r="198">
          <cell r="G198" t="str">
            <v>LFP911</v>
          </cell>
          <cell r="H198" t="str">
            <v>Spin-on Oil Filter</v>
          </cell>
        </row>
        <row r="199">
          <cell r="G199" t="str">
            <v>FP941F</v>
          </cell>
          <cell r="H199" t="str">
            <v>Spin-on Fuel Water Separator Filter</v>
          </cell>
        </row>
        <row r="200">
          <cell r="G200" t="str">
            <v>LFF9732</v>
          </cell>
          <cell r="H200" t="str">
            <v>Fuel/Water Separator Spin-on Filter</v>
          </cell>
        </row>
        <row r="201">
          <cell r="G201" t="str">
            <v>L4595F</v>
          </cell>
          <cell r="H201" t="str">
            <v>Cartridge Fuel Water Separator Filter</v>
          </cell>
        </row>
        <row r="202">
          <cell r="G202" t="str">
            <v>FP953F</v>
          </cell>
          <cell r="H202" t="str">
            <v>Diesel In-Line Fuel Filter</v>
          </cell>
        </row>
        <row r="203">
          <cell r="G203" t="str">
            <v>LAF6902</v>
          </cell>
          <cell r="H203" t="str">
            <v>Flexible Panel Air Filter</v>
          </cell>
        </row>
        <row r="204">
          <cell r="G204" t="str">
            <v>LFP5570</v>
          </cell>
          <cell r="H204" t="str">
            <v>Spin-on Oil Filter</v>
          </cell>
        </row>
        <row r="205">
          <cell r="G205" t="str">
            <v>PH561</v>
          </cell>
          <cell r="H205" t="str">
            <v>Spin-on Oil Filter</v>
          </cell>
        </row>
        <row r="206">
          <cell r="G206" t="str">
            <v>LFF3347</v>
          </cell>
          <cell r="H206" t="str">
            <v>Spin-on Fuel Filter</v>
          </cell>
        </row>
        <row r="207">
          <cell r="G207" t="str">
            <v>LFF8010</v>
          </cell>
          <cell r="H207" t="str">
            <v>Spin-on Fuel Water Separator Filter</v>
          </cell>
        </row>
        <row r="208">
          <cell r="G208" t="str">
            <v>LAF5722</v>
          </cell>
          <cell r="H208" t="str">
            <v>Radial Seal Outer Air Filter</v>
          </cell>
        </row>
        <row r="209">
          <cell r="G209" t="str">
            <v>CAF24004</v>
          </cell>
          <cell r="H209" t="str">
            <v>Cabin Air Filter</v>
          </cell>
        </row>
        <row r="210">
          <cell r="G210" t="str">
            <v>LFF1022</v>
          </cell>
          <cell r="H210" t="str">
            <v>Spin-on Fuel Filter</v>
          </cell>
        </row>
        <row r="211">
          <cell r="G211" t="str">
            <v>LFF202</v>
          </cell>
          <cell r="H211" t="str">
            <v>Spin-on Fuel Filter</v>
          </cell>
        </row>
        <row r="212">
          <cell r="G212" t="str">
            <v>LFW4686XL</v>
          </cell>
          <cell r="H212" t="str">
            <v>Extended Life Spin-on Coolant Filter</v>
          </cell>
        </row>
        <row r="213">
          <cell r="G213" t="str">
            <v>LFF6289</v>
          </cell>
          <cell r="H213" t="str">
            <v>Spin-on Fuel Filter</v>
          </cell>
        </row>
        <row r="214">
          <cell r="G214" t="str">
            <v>LFW4073</v>
          </cell>
          <cell r="H214" t="str">
            <v>Spin-on Coolant Filter</v>
          </cell>
        </row>
        <row r="215">
          <cell r="G215" t="str">
            <v>LP2232</v>
          </cell>
          <cell r="H215" t="str">
            <v>Centrifugal Cartridge Oil Filter</v>
          </cell>
        </row>
        <row r="216">
          <cell r="G216" t="str">
            <v>LFF5850</v>
          </cell>
          <cell r="H216" t="str">
            <v>Bowl Style Fuel Water Separator Filter</v>
          </cell>
        </row>
        <row r="217">
          <cell r="G217" t="str">
            <v>G3/8</v>
          </cell>
          <cell r="H217" t="str">
            <v>In-Line Fuel Filter</v>
          </cell>
        </row>
        <row r="218">
          <cell r="G218" t="str">
            <v>LFP2292</v>
          </cell>
          <cell r="H218" t="str">
            <v>Spin-on Oil Filter</v>
          </cell>
        </row>
        <row r="219">
          <cell r="G219" t="str">
            <v>LFF1007</v>
          </cell>
          <cell r="H219" t="str">
            <v>Spin-on Fuel Filter</v>
          </cell>
        </row>
        <row r="220">
          <cell r="G220" t="str">
            <v>FP586F</v>
          </cell>
          <cell r="H220" t="str">
            <v>Spin-on Fuel Filter</v>
          </cell>
        </row>
        <row r="221">
          <cell r="G221" t="str">
            <v>FP588F</v>
          </cell>
          <cell r="H221" t="str">
            <v>Spin-on Fuel Filter</v>
          </cell>
        </row>
        <row r="222">
          <cell r="G222" t="str">
            <v>LFP6015</v>
          </cell>
          <cell r="H222" t="str">
            <v>Spin-on Oil Filter</v>
          </cell>
        </row>
        <row r="223">
          <cell r="G223" t="str">
            <v>LAF2608</v>
          </cell>
          <cell r="H223" t="str">
            <v>Metal-End Air Filter with Closed Top End Cap</v>
          </cell>
        </row>
        <row r="224">
          <cell r="G224" t="str">
            <v>AF3984</v>
          </cell>
          <cell r="H224" t="str">
            <v>Rigid Panel Air Filter</v>
          </cell>
        </row>
        <row r="225">
          <cell r="G225" t="str">
            <v>HP1</v>
          </cell>
          <cell r="H225" t="str">
            <v>High Performance Spin-on Oil Filter</v>
          </cell>
        </row>
        <row r="226">
          <cell r="G226" t="str">
            <v>LAF695</v>
          </cell>
          <cell r="H226" t="str">
            <v>HD Round Air Filter with Attached Lid</v>
          </cell>
        </row>
        <row r="227">
          <cell r="G227" t="str">
            <v>PH2814</v>
          </cell>
          <cell r="H227" t="str">
            <v>Spin-on Oil Filter</v>
          </cell>
        </row>
        <row r="228">
          <cell r="G228" t="str">
            <v>LAF1953</v>
          </cell>
          <cell r="H228" t="str">
            <v>Radial Seal Outer Air Filter</v>
          </cell>
        </row>
        <row r="229">
          <cell r="G229" t="str">
            <v>LFP5757</v>
          </cell>
          <cell r="H229" t="str">
            <v>Spin-on Oil Filter</v>
          </cell>
        </row>
        <row r="230">
          <cell r="G230" t="str">
            <v>LAF1934</v>
          </cell>
          <cell r="H230" t="str">
            <v>Disposible Housing Air Filter</v>
          </cell>
        </row>
        <row r="231">
          <cell r="G231" t="str">
            <v>L6806F</v>
          </cell>
          <cell r="H231" t="str">
            <v>Cartridge Fuel Filter</v>
          </cell>
        </row>
        <row r="232">
          <cell r="G232" t="str">
            <v>LH8504</v>
          </cell>
          <cell r="H232" t="str">
            <v>Cartridge Power Steering (Hydraulic) Filter</v>
          </cell>
        </row>
        <row r="233">
          <cell r="G233" t="str">
            <v>LAF1899</v>
          </cell>
          <cell r="H233" t="str">
            <v>Cone Shaped Conical Air Filter</v>
          </cell>
        </row>
        <row r="234">
          <cell r="G234" t="str">
            <v>LFP3900</v>
          </cell>
          <cell r="H234" t="str">
            <v>Spin-on Oil Filter</v>
          </cell>
        </row>
        <row r="235">
          <cell r="G235" t="str">
            <v>LFW5141XL</v>
          </cell>
          <cell r="H235" t="str">
            <v>Extended Life Spin-on Coolant Filter</v>
          </cell>
        </row>
        <row r="236">
          <cell r="G236" t="str">
            <v>FP570F</v>
          </cell>
          <cell r="H236" t="str">
            <v>Spin-on Fuel Filter</v>
          </cell>
        </row>
        <row r="237">
          <cell r="G237" t="str">
            <v>LK364M</v>
          </cell>
          <cell r="H237" t="str">
            <v>Mack Engine Maintenance Kit</v>
          </cell>
        </row>
        <row r="238">
          <cell r="G238" t="str">
            <v>PH299</v>
          </cell>
          <cell r="H238" t="str">
            <v>Spin-on Oil Filter</v>
          </cell>
        </row>
        <row r="239">
          <cell r="G239" t="str">
            <v>LAF3930</v>
          </cell>
          <cell r="H239" t="str">
            <v>Radial Seal Outer Air Filter</v>
          </cell>
        </row>
        <row r="240">
          <cell r="G240" t="str">
            <v>LFF5849U</v>
          </cell>
          <cell r="H240" t="str">
            <v>Bowless Style Fuel Water Separator Filter</v>
          </cell>
        </row>
        <row r="241">
          <cell r="G241" t="str">
            <v>G5/16</v>
          </cell>
          <cell r="H241" t="str">
            <v>In-Line Fuel Filter</v>
          </cell>
        </row>
        <row r="242">
          <cell r="G242" t="str">
            <v>CAF24014</v>
          </cell>
          <cell r="H242" t="str">
            <v>Cabin Air Filter</v>
          </cell>
        </row>
        <row r="243">
          <cell r="G243" t="str">
            <v>LAF7797</v>
          </cell>
          <cell r="H243" t="str">
            <v>Metal-End Air Filter with Closed Top End Cap</v>
          </cell>
        </row>
        <row r="244">
          <cell r="G244" t="str">
            <v>LFH4955</v>
          </cell>
          <cell r="H244" t="str">
            <v>Spin-on Hydraulic Filter</v>
          </cell>
        </row>
        <row r="245">
          <cell r="G245" t="str">
            <v>PH3656</v>
          </cell>
          <cell r="H245" t="str">
            <v>Spin-on Oil Filter</v>
          </cell>
        </row>
        <row r="246">
          <cell r="G246" t="str">
            <v>FP20</v>
          </cell>
          <cell r="H246" t="str">
            <v>Spin-on Oil Filter</v>
          </cell>
        </row>
        <row r="247">
          <cell r="G247" t="str">
            <v>LFW5142XL</v>
          </cell>
          <cell r="H247" t="str">
            <v>Extended Life Spin-on Coolant Filter</v>
          </cell>
        </row>
        <row r="248">
          <cell r="G248" t="str">
            <v>FP587F</v>
          </cell>
          <cell r="H248" t="str">
            <v>Spin-on Fuel Filter</v>
          </cell>
        </row>
        <row r="249">
          <cell r="G249" t="str">
            <v>LFP6027</v>
          </cell>
          <cell r="H249" t="str">
            <v>Spin-on Oil Filter</v>
          </cell>
        </row>
        <row r="250">
          <cell r="G250" t="str">
            <v>FP590F</v>
          </cell>
          <cell r="H250" t="str">
            <v>Spin-on Fuel Filter</v>
          </cell>
        </row>
        <row r="251">
          <cell r="G251" t="str">
            <v>LAF4545</v>
          </cell>
          <cell r="H251" t="str">
            <v>Radial Seal Inner Air Filter</v>
          </cell>
        </row>
        <row r="252">
          <cell r="G252" t="str">
            <v>LFP784</v>
          </cell>
          <cell r="H252" t="str">
            <v>Spin-on Oil Filter</v>
          </cell>
        </row>
        <row r="253">
          <cell r="G253" t="str">
            <v>PH725</v>
          </cell>
          <cell r="H253" t="str">
            <v>Spin-on Oil Filter</v>
          </cell>
        </row>
        <row r="254">
          <cell r="G254" t="str">
            <v>LAF8494</v>
          </cell>
          <cell r="H254" t="str">
            <v>Metal-End Air Filter with Closed Top End Cap</v>
          </cell>
        </row>
        <row r="255">
          <cell r="G255" t="str">
            <v>LAF8751</v>
          </cell>
          <cell r="H255" t="str">
            <v>Disposible Housing Air Filter</v>
          </cell>
        </row>
        <row r="256">
          <cell r="G256" t="str">
            <v>FF2D</v>
          </cell>
          <cell r="H256" t="str">
            <v>Fuel Dispensing Filter</v>
          </cell>
        </row>
        <row r="257">
          <cell r="G257" t="str">
            <v>LFP6007</v>
          </cell>
          <cell r="H257" t="str">
            <v>Spin-on Oil Filter</v>
          </cell>
        </row>
        <row r="258">
          <cell r="G258" t="str">
            <v>LFF8215</v>
          </cell>
          <cell r="H258" t="str">
            <v>Snap-lock Fuel/Water Separator Filter</v>
          </cell>
        </row>
        <row r="259">
          <cell r="G259" t="str">
            <v>LAF8669</v>
          </cell>
          <cell r="H259" t="str">
            <v>Radial Seal Outer Air Filter</v>
          </cell>
        </row>
        <row r="260">
          <cell r="G260" t="str">
            <v>LFF7660</v>
          </cell>
          <cell r="H260" t="str">
            <v>Spin-on Fuel Water Separator Filter</v>
          </cell>
        </row>
        <row r="261">
          <cell r="G261" t="str">
            <v>LFP2268</v>
          </cell>
          <cell r="H261" t="str">
            <v>Spin-on Oil Filter</v>
          </cell>
        </row>
        <row r="262">
          <cell r="G262" t="str">
            <v>LFF8000</v>
          </cell>
          <cell r="H262" t="str">
            <v>Spin-on Fuel Water Separator Filter</v>
          </cell>
        </row>
        <row r="263">
          <cell r="G263" t="str">
            <v>LP2247</v>
          </cell>
          <cell r="H263" t="str">
            <v>Cartridge Oil Filter</v>
          </cell>
        </row>
        <row r="264">
          <cell r="G264" t="str">
            <v>LFH4990</v>
          </cell>
          <cell r="H264" t="str">
            <v>Spin-on Hydraulic Filter</v>
          </cell>
        </row>
        <row r="265">
          <cell r="G265" t="str">
            <v>LFP2050</v>
          </cell>
          <cell r="H265" t="str">
            <v>Spin-on Oil Filter</v>
          </cell>
        </row>
        <row r="266">
          <cell r="G266" t="str">
            <v>LP5005</v>
          </cell>
          <cell r="H266" t="str">
            <v>Cartridge Power Steering (Hydraulic) Filter</v>
          </cell>
        </row>
        <row r="267">
          <cell r="G267" t="str">
            <v>CAF24012</v>
          </cell>
          <cell r="H267" t="str">
            <v>Cabin Air Filter</v>
          </cell>
        </row>
        <row r="268">
          <cell r="G268" t="str">
            <v>LFW6500</v>
          </cell>
          <cell r="H268" t="str">
            <v>Controll Release Spin-on Coolant Filter</v>
          </cell>
        </row>
        <row r="269">
          <cell r="G269" t="str">
            <v>LFF2</v>
          </cell>
          <cell r="H269" t="str">
            <v>Fuel Dispensing Filter</v>
          </cell>
        </row>
        <row r="270">
          <cell r="G270" t="str">
            <v>LFF3292</v>
          </cell>
          <cell r="H270" t="str">
            <v>Spin-on Fuel Water Separator Filter</v>
          </cell>
        </row>
        <row r="271">
          <cell r="G271" t="str">
            <v>LFF3808</v>
          </cell>
          <cell r="H271" t="str">
            <v>Spin-on Fuel Filter</v>
          </cell>
        </row>
        <row r="272">
          <cell r="G272" t="str">
            <v>PH400</v>
          </cell>
          <cell r="H272" t="str">
            <v>Spin-on Oil Filter</v>
          </cell>
        </row>
        <row r="273">
          <cell r="G273" t="str">
            <v>L4604F</v>
          </cell>
          <cell r="H273" t="str">
            <v>Fuel Filter Kit Primary/Secondary</v>
          </cell>
        </row>
        <row r="274">
          <cell r="G274" t="str">
            <v>LAF9472</v>
          </cell>
          <cell r="H274" t="str">
            <v>Cone Shaped Conical Air Filter</v>
          </cell>
        </row>
        <row r="275">
          <cell r="G275" t="str">
            <v>500</v>
          </cell>
          <cell r="H275" t="str">
            <v>500 FLEETPAK</v>
          </cell>
        </row>
        <row r="276">
          <cell r="G276" t="str">
            <v>AF1519</v>
          </cell>
          <cell r="H276" t="str">
            <v>Flexible Panel Air Filter</v>
          </cell>
        </row>
        <row r="277">
          <cell r="G277" t="str">
            <v>AF7872</v>
          </cell>
          <cell r="H277" t="str">
            <v>Flexible Panel Air Filter</v>
          </cell>
        </row>
        <row r="278">
          <cell r="G278" t="str">
            <v>LFF3415</v>
          </cell>
          <cell r="H278" t="str">
            <v>Spin-on Fuel Filter</v>
          </cell>
        </row>
        <row r="279">
          <cell r="G279" t="str">
            <v>LAF1520</v>
          </cell>
          <cell r="H279" t="str">
            <v>Flexible Panel Air Filter</v>
          </cell>
        </row>
        <row r="280">
          <cell r="G280" t="str">
            <v>LAF1770</v>
          </cell>
          <cell r="H280" t="str">
            <v>Cone Shaped Conical Air Filter</v>
          </cell>
        </row>
        <row r="281">
          <cell r="G281" t="str">
            <v>LAF6880</v>
          </cell>
          <cell r="H281" t="str">
            <v>Metal-End Air Filter with Closed Top End Cap</v>
          </cell>
        </row>
        <row r="282">
          <cell r="G282" t="str">
            <v>LFF5002</v>
          </cell>
          <cell r="H282" t="str">
            <v>Spin-on Fuel Filter</v>
          </cell>
        </row>
        <row r="283">
          <cell r="G283" t="str">
            <v>LFF5874</v>
          </cell>
          <cell r="H283" t="str">
            <v>Spin-on Fuel Filter</v>
          </cell>
        </row>
        <row r="284">
          <cell r="G284" t="str">
            <v>LFP2160XL</v>
          </cell>
          <cell r="H284" t="str">
            <v>Extended Life Spin-on Oil Filter</v>
          </cell>
        </row>
        <row r="285">
          <cell r="G285" t="str">
            <v>AF5HD</v>
          </cell>
          <cell r="H285" t="str">
            <v>Round Air Filter</v>
          </cell>
        </row>
        <row r="286">
          <cell r="G286" t="str">
            <v>LK161D</v>
          </cell>
          <cell r="H286" t="str">
            <v>Detroit Diesel Engine Maintenance Kit</v>
          </cell>
        </row>
        <row r="287">
          <cell r="G287" t="str">
            <v>LFP6241</v>
          </cell>
          <cell r="H287" t="str">
            <v>Spin-on Oil Filter</v>
          </cell>
        </row>
        <row r="288">
          <cell r="G288" t="str">
            <v>LFP4005G</v>
          </cell>
          <cell r="H288" t="str">
            <v>Extended Life Spin-on Oil Filter</v>
          </cell>
        </row>
        <row r="289">
          <cell r="G289" t="str">
            <v>LK288V</v>
          </cell>
          <cell r="H289" t="str">
            <v>Volvo Engine Maintenance Kit</v>
          </cell>
        </row>
        <row r="290">
          <cell r="G290" t="str">
            <v>PH2876</v>
          </cell>
          <cell r="H290" t="str">
            <v>Spin-on Oil Filter</v>
          </cell>
        </row>
        <row r="291">
          <cell r="G291" t="str">
            <v>P1130</v>
          </cell>
          <cell r="H291" t="str">
            <v>Box Type Fuel Filter</v>
          </cell>
        </row>
        <row r="292">
          <cell r="G292" t="str">
            <v>LFF3579</v>
          </cell>
          <cell r="H292" t="str">
            <v>Bowl Style Fuel Water Separator Filter</v>
          </cell>
        </row>
        <row r="293">
          <cell r="G293" t="str">
            <v>LP487</v>
          </cell>
          <cell r="H293" t="str">
            <v>Power Steering Cartridge Filter</v>
          </cell>
        </row>
        <row r="294">
          <cell r="G294" t="str">
            <v>LAF8148</v>
          </cell>
          <cell r="H294" t="str">
            <v>Radial Seal Outer Air Filter</v>
          </cell>
        </row>
        <row r="295">
          <cell r="G295" t="str">
            <v>LFP2294</v>
          </cell>
          <cell r="H295" t="str">
            <v>Spin-on Oil Filter</v>
          </cell>
        </row>
        <row r="296">
          <cell r="G296" t="str">
            <v>PH675</v>
          </cell>
          <cell r="H296" t="str">
            <v>Spin-on Oil Filter</v>
          </cell>
        </row>
        <row r="297">
          <cell r="G297" t="str">
            <v>LH4101</v>
          </cell>
          <cell r="H297" t="str">
            <v>Cartridge Power Steering Filter</v>
          </cell>
        </row>
        <row r="298">
          <cell r="G298" t="str">
            <v>LAF4556</v>
          </cell>
          <cell r="H298" t="str">
            <v>Primary Radial Seal Air Filter</v>
          </cell>
        </row>
        <row r="299">
          <cell r="G299" t="str">
            <v>LFH4223</v>
          </cell>
          <cell r="H299" t="str">
            <v>Spin-on Hydraulic Filter</v>
          </cell>
        </row>
        <row r="300">
          <cell r="G300">
            <v>920064</v>
          </cell>
          <cell r="H300" t="str">
            <v>LUBERCOOL</v>
          </cell>
        </row>
        <row r="301">
          <cell r="G301" t="str">
            <v>LAF8143</v>
          </cell>
          <cell r="H301" t="str">
            <v>Radial Seal Outer Air Filter</v>
          </cell>
        </row>
        <row r="302">
          <cell r="G302" t="str">
            <v>PH4403</v>
          </cell>
          <cell r="H302" t="str">
            <v>Spin-on Oil Filter</v>
          </cell>
        </row>
        <row r="303">
          <cell r="G303" t="str">
            <v>FP591F</v>
          </cell>
          <cell r="H303" t="str">
            <v>Spin-on Fuel Filter</v>
          </cell>
        </row>
        <row r="304">
          <cell r="G304" t="str">
            <v>AF1518</v>
          </cell>
          <cell r="H304" t="str">
            <v>Flexible Panel Air Filter</v>
          </cell>
        </row>
        <row r="305">
          <cell r="G305" t="str">
            <v>LAF6889</v>
          </cell>
          <cell r="H305" t="str">
            <v>Corrugated Media Air Filter</v>
          </cell>
        </row>
        <row r="306">
          <cell r="G306" t="str">
            <v>LFF5080</v>
          </cell>
          <cell r="H306" t="str">
            <v>Spin-on Fuel Filter</v>
          </cell>
        </row>
        <row r="307">
          <cell r="G307" t="str">
            <v>LAF6918</v>
          </cell>
          <cell r="H307" t="str">
            <v>Metal-End Air Filter with Closed Top End Cap</v>
          </cell>
        </row>
        <row r="308">
          <cell r="G308" t="str">
            <v>LAF8047</v>
          </cell>
          <cell r="H308" t="str">
            <v>HD Metal-End Air Filter with Attached Lid</v>
          </cell>
        </row>
        <row r="309">
          <cell r="G309" t="str">
            <v>LAF3141</v>
          </cell>
          <cell r="H309" t="str">
            <v>Flexible Panel Air Filter</v>
          </cell>
        </row>
        <row r="310">
          <cell r="G310" t="str">
            <v>LFF5804</v>
          </cell>
          <cell r="H310" t="str">
            <v>Spin-on Fuel Filter</v>
          </cell>
        </row>
        <row r="311">
          <cell r="G311" t="str">
            <v>LFF9982</v>
          </cell>
          <cell r="H311" t="str">
            <v>Spin-on Fuel Filter</v>
          </cell>
        </row>
        <row r="312">
          <cell r="G312" t="str">
            <v>FP603</v>
          </cell>
          <cell r="H312" t="str">
            <v>Spin-on Fuel Filter</v>
          </cell>
        </row>
        <row r="313">
          <cell r="G313" t="str">
            <v>LFF8012</v>
          </cell>
          <cell r="H313" t="str">
            <v>Spin-on Fuel Filter</v>
          </cell>
        </row>
        <row r="314">
          <cell r="G314" t="str">
            <v>LCTK12</v>
          </cell>
          <cell r="H314" t="str">
            <v>Coolant Analysis Test Kit</v>
          </cell>
        </row>
        <row r="315">
          <cell r="G315" t="str">
            <v>LAF9102</v>
          </cell>
          <cell r="H315" t="str">
            <v>Radial Seal Inner Air Filter</v>
          </cell>
        </row>
        <row r="316">
          <cell r="G316" t="str">
            <v>PH2816</v>
          </cell>
          <cell r="H316" t="str">
            <v>Spin-on Oil Filter</v>
          </cell>
        </row>
        <row r="317">
          <cell r="G317" t="str">
            <v>LFF5D</v>
          </cell>
          <cell r="H317" t="str">
            <v>HD Fuel Spin-on Filter</v>
          </cell>
        </row>
        <row r="318">
          <cell r="G318" t="str">
            <v>LAF222</v>
          </cell>
          <cell r="H318" t="str">
            <v>Finned Vane Air Filter</v>
          </cell>
        </row>
        <row r="319">
          <cell r="G319" t="str">
            <v>LP2273</v>
          </cell>
          <cell r="H319" t="str">
            <v>Centrifugal Cartridge Oil Filter</v>
          </cell>
        </row>
        <row r="320">
          <cell r="G320" t="str">
            <v>LK124S</v>
          </cell>
          <cell r="H320" t="str">
            <v>Spinner II Maintenance Kit</v>
          </cell>
        </row>
        <row r="321">
          <cell r="G321" t="str">
            <v>LFP2440</v>
          </cell>
          <cell r="H321" t="str">
            <v>Spin-on Oil Filter</v>
          </cell>
        </row>
        <row r="322">
          <cell r="G322" t="str">
            <v>L9800F</v>
          </cell>
          <cell r="H322" t="str">
            <v>Cartridge Fuel Water Separator Coalescer filter</v>
          </cell>
        </row>
        <row r="323">
          <cell r="G323" t="str">
            <v>P3</v>
          </cell>
          <cell r="H323" t="str">
            <v>Cartridge Oil Filter</v>
          </cell>
        </row>
        <row r="324">
          <cell r="G324" t="str">
            <v>LFP2300</v>
          </cell>
          <cell r="H324" t="str">
            <v>Spin-on Oil Filter</v>
          </cell>
        </row>
        <row r="325">
          <cell r="G325" t="str">
            <v>LFF3806</v>
          </cell>
          <cell r="H325" t="str">
            <v>Spin-on Fuel Filter</v>
          </cell>
        </row>
        <row r="326">
          <cell r="G326" t="str">
            <v>LFH4915</v>
          </cell>
          <cell r="H326" t="str">
            <v>Spin-on Hydraulic Filter</v>
          </cell>
        </row>
        <row r="327">
          <cell r="G327" t="str">
            <v>AF1890</v>
          </cell>
          <cell r="H327" t="str">
            <v>Panel Air Irregular Shaped Filter</v>
          </cell>
        </row>
        <row r="328">
          <cell r="G328" t="str">
            <v>LFF8707</v>
          </cell>
          <cell r="H328" t="str">
            <v>Bowl Style Fuel Water Separator Filter</v>
          </cell>
        </row>
        <row r="329">
          <cell r="G329" t="str">
            <v>AF7984</v>
          </cell>
          <cell r="H329" t="str">
            <v>Flexible Panel Air Filter</v>
          </cell>
        </row>
        <row r="330">
          <cell r="G330" t="str">
            <v>LFP8590</v>
          </cell>
          <cell r="H330" t="str">
            <v>Spin-on Oil Filter</v>
          </cell>
        </row>
        <row r="331">
          <cell r="G331" t="str">
            <v>AF5185</v>
          </cell>
          <cell r="H331" t="str">
            <v>Rigid Panel Air Filter</v>
          </cell>
        </row>
        <row r="332">
          <cell r="G332" t="str">
            <v>LFP2000C</v>
          </cell>
          <cell r="H332" t="str">
            <v>Spin-on Fuel Water Separator Coalescer Filter</v>
          </cell>
        </row>
        <row r="333">
          <cell r="G333" t="str">
            <v>LAF5325</v>
          </cell>
          <cell r="H333" t="str">
            <v>Radial Seal Outer Air Filter</v>
          </cell>
        </row>
        <row r="334">
          <cell r="G334" t="str">
            <v>AF7996</v>
          </cell>
          <cell r="H334" t="str">
            <v>Radial Seal Air Filter</v>
          </cell>
        </row>
        <row r="335">
          <cell r="G335" t="str">
            <v>LAF9540</v>
          </cell>
          <cell r="H335" t="str">
            <v>Radial Seal Outer Air Filter</v>
          </cell>
        </row>
        <row r="336">
          <cell r="G336" t="str">
            <v>LFF6771</v>
          </cell>
          <cell r="H336" t="str">
            <v>Spin-on Fuel Water Separator Filter</v>
          </cell>
        </row>
        <row r="337">
          <cell r="G337" t="str">
            <v>LFW4075</v>
          </cell>
          <cell r="H337" t="str">
            <v>Spin-on Coolant Filter</v>
          </cell>
        </row>
        <row r="338">
          <cell r="G338" t="str">
            <v>LFW4072</v>
          </cell>
          <cell r="H338" t="str">
            <v>Spin-on Coolant Filter</v>
          </cell>
        </row>
        <row r="339">
          <cell r="G339" t="str">
            <v>CAF24002</v>
          </cell>
          <cell r="H339" t="str">
            <v>Cabin Air Filter</v>
          </cell>
        </row>
        <row r="340">
          <cell r="G340" t="str">
            <v>FP251F</v>
          </cell>
          <cell r="H340" t="str">
            <v>Spin-on Fuel Filter</v>
          </cell>
        </row>
        <row r="341">
          <cell r="G341" t="str">
            <v>LAF8150</v>
          </cell>
          <cell r="H341" t="str">
            <v>Radial Seal Outer Air Filter</v>
          </cell>
        </row>
        <row r="342">
          <cell r="G342" t="str">
            <v>LFF3553</v>
          </cell>
          <cell r="H342" t="str">
            <v>Spin-on Fuel Filter</v>
          </cell>
        </row>
        <row r="343">
          <cell r="G343" t="str">
            <v>LFH5659</v>
          </cell>
          <cell r="H343" t="str">
            <v>Spin-on Hydraulic Filter</v>
          </cell>
        </row>
        <row r="344">
          <cell r="G344" t="str">
            <v>LFF3806/4806</v>
          </cell>
          <cell r="H344" t="str">
            <v>Spin-on Fuel Filter</v>
          </cell>
        </row>
        <row r="345">
          <cell r="G345" t="str">
            <v>L7662FK</v>
          </cell>
          <cell r="H345" t="str">
            <v>Fuel filter kit</v>
          </cell>
        </row>
        <row r="346">
          <cell r="G346" t="str">
            <v>CAF1914P</v>
          </cell>
          <cell r="H346" t="str">
            <v>Cabin Air Filter</v>
          </cell>
        </row>
        <row r="347">
          <cell r="G347" t="str">
            <v>LAF6265</v>
          </cell>
          <cell r="H347" t="str">
            <v>Corrugated Media Air Filter</v>
          </cell>
        </row>
        <row r="348">
          <cell r="G348" t="str">
            <v>LAF1839</v>
          </cell>
          <cell r="H348" t="str">
            <v>HD Round Air Filter with Attached Boot</v>
          </cell>
        </row>
        <row r="349">
          <cell r="G349" t="str">
            <v>L3102F</v>
          </cell>
          <cell r="H349" t="str">
            <v>Snap-lock Fuel/Water Separator Filter</v>
          </cell>
        </row>
        <row r="350">
          <cell r="G350" t="str">
            <v>LFP2222</v>
          </cell>
          <cell r="H350" t="str">
            <v>Spin-on Oil Filter</v>
          </cell>
        </row>
        <row r="351">
          <cell r="G351" t="str">
            <v>P990</v>
          </cell>
          <cell r="H351" t="str">
            <v>Cartridge Oil Filter</v>
          </cell>
        </row>
        <row r="352">
          <cell r="G352" t="str">
            <v>LFP8340</v>
          </cell>
          <cell r="H352" t="str">
            <v>Spin-on Oil Filter</v>
          </cell>
        </row>
        <row r="353">
          <cell r="G353" t="str">
            <v>PH720</v>
          </cell>
          <cell r="H353" t="str">
            <v>Spin-on Oil Filter</v>
          </cell>
        </row>
        <row r="354">
          <cell r="G354" t="str">
            <v>LAF1246</v>
          </cell>
          <cell r="H354" t="str">
            <v>Finned Vane Air Filter</v>
          </cell>
        </row>
        <row r="355">
          <cell r="G355" t="str">
            <v>G6593</v>
          </cell>
          <cell r="H355" t="str">
            <v>In-Line Fuel Filter</v>
          </cell>
        </row>
        <row r="356">
          <cell r="G356" t="str">
            <v>LAF5633</v>
          </cell>
          <cell r="H356" t="str">
            <v>Radial Seal Outer Air Filter</v>
          </cell>
        </row>
        <row r="357">
          <cell r="G357" t="str">
            <v>LFF1201</v>
          </cell>
          <cell r="H357" t="str">
            <v>Spin-on Fuel Filter</v>
          </cell>
        </row>
        <row r="358">
          <cell r="G358" t="str">
            <v>LFF6816XL</v>
          </cell>
          <cell r="H358" t="str">
            <v>Spin-on Fuel Filter</v>
          </cell>
        </row>
        <row r="359">
          <cell r="G359" t="str">
            <v>LFF8060</v>
          </cell>
          <cell r="H359" t="str">
            <v>Spin-on Fuel Water Separator Filter</v>
          </cell>
        </row>
        <row r="360">
          <cell r="G360" t="str">
            <v>LFF2040N</v>
          </cell>
          <cell r="H360" t="str">
            <v>Cartridge Fuel Filter</v>
          </cell>
        </row>
        <row r="361">
          <cell r="G361" t="str">
            <v>LAF7472</v>
          </cell>
          <cell r="H361" t="str">
            <v>Cone Shaped Conical Air Filter</v>
          </cell>
        </row>
        <row r="362">
          <cell r="G362" t="str">
            <v>G6635</v>
          </cell>
          <cell r="H362" t="str">
            <v>In-Line Fuel Filter</v>
          </cell>
        </row>
        <row r="363">
          <cell r="G363" t="str">
            <v>LFP2275</v>
          </cell>
          <cell r="H363" t="str">
            <v>Spin-on Oil Filter</v>
          </cell>
        </row>
        <row r="364">
          <cell r="G364" t="str">
            <v>L4609F</v>
          </cell>
          <cell r="H364" t="str">
            <v>Fuel Filter Kit Primary/Secondary</v>
          </cell>
        </row>
        <row r="365">
          <cell r="G365" t="str">
            <v>LAF8430</v>
          </cell>
          <cell r="H365" t="str">
            <v>Radial Seal Outer Air Filter</v>
          </cell>
        </row>
        <row r="366">
          <cell r="G366" t="str">
            <v>L9730F</v>
          </cell>
          <cell r="H366" t="str">
            <v>Cartridge Fuel Water Separator Filter</v>
          </cell>
        </row>
        <row r="367">
          <cell r="G367" t="str">
            <v>LOSK-1</v>
          </cell>
          <cell r="H367" t="str">
            <v>Oil Analysis Test Kit</v>
          </cell>
        </row>
        <row r="368">
          <cell r="G368" t="str">
            <v>L3887F</v>
          </cell>
          <cell r="H368" t="str">
            <v>Snap-Lock Fuel Filter</v>
          </cell>
        </row>
        <row r="369">
          <cell r="G369" t="str">
            <v>LFP3693F</v>
          </cell>
          <cell r="H369" t="str">
            <v>Spin-on Fuel Filter</v>
          </cell>
        </row>
        <row r="370">
          <cell r="G370" t="str">
            <v>LFP3729</v>
          </cell>
          <cell r="H370" t="str">
            <v>Spin-on Oil Filter</v>
          </cell>
        </row>
        <row r="371">
          <cell r="G371" t="str">
            <v>LAF237</v>
          </cell>
          <cell r="H371" t="str">
            <v>Finned Vane Air Filter</v>
          </cell>
        </row>
        <row r="372">
          <cell r="G372" t="str">
            <v>750</v>
          </cell>
          <cell r="H372" t="str">
            <v>Refining Oil Filter Element used in Luberfiner 750 Units</v>
          </cell>
        </row>
        <row r="373">
          <cell r="G373" t="str">
            <v>LAF1829</v>
          </cell>
          <cell r="H373" t="str">
            <v>Disposible Housing Air Filter</v>
          </cell>
        </row>
        <row r="374">
          <cell r="G374" t="str">
            <v>LFP734</v>
          </cell>
          <cell r="H374" t="str">
            <v>Spin-on Oil Filter</v>
          </cell>
        </row>
        <row r="375">
          <cell r="G375" t="str">
            <v>LFF8762</v>
          </cell>
          <cell r="H375" t="str">
            <v>Spin-on Fuel Filter</v>
          </cell>
        </row>
        <row r="376">
          <cell r="G376" t="str">
            <v>LAF8670</v>
          </cell>
          <cell r="H376" t="str">
            <v>Radial Seal Inner Air Filter</v>
          </cell>
        </row>
        <row r="377">
          <cell r="G377" t="str">
            <v>LAF8691</v>
          </cell>
          <cell r="H377" t="str">
            <v>Radial Seal Outer Air Filter</v>
          </cell>
        </row>
        <row r="378">
          <cell r="G378" t="str">
            <v>LAF3407</v>
          </cell>
          <cell r="H378" t="str">
            <v>Panel Air Filter Metal Framed</v>
          </cell>
        </row>
        <row r="379">
          <cell r="G379" t="str">
            <v>LAF6986</v>
          </cell>
          <cell r="H379" t="str">
            <v>Radial Seal Air Filter, Primary</v>
          </cell>
        </row>
        <row r="380">
          <cell r="G380" t="str">
            <v>AF2782</v>
          </cell>
          <cell r="H380" t="str">
            <v>Flexible Panel Air Filter</v>
          </cell>
        </row>
        <row r="381">
          <cell r="G381" t="str">
            <v>L3523F</v>
          </cell>
          <cell r="H381" t="str">
            <v>Cartridge Fuel Filter</v>
          </cell>
        </row>
        <row r="382">
          <cell r="G382" t="str">
            <v>LFF1001</v>
          </cell>
          <cell r="H382" t="str">
            <v>Spin-on Fuel Filter</v>
          </cell>
        </row>
        <row r="383">
          <cell r="G383" t="str">
            <v>LFP5748</v>
          </cell>
          <cell r="H383" t="str">
            <v>Spin-on Oil Filter</v>
          </cell>
        </row>
        <row r="384">
          <cell r="G384" t="str">
            <v>L6161F</v>
          </cell>
          <cell r="H384" t="str">
            <v>Cartridge Fuel Filter</v>
          </cell>
        </row>
        <row r="385">
          <cell r="G385" t="str">
            <v>LAF8765</v>
          </cell>
          <cell r="H385" t="str">
            <v>Radial Seal Outer Air Filter</v>
          </cell>
        </row>
        <row r="386">
          <cell r="G386" t="str">
            <v>L7663F</v>
          </cell>
          <cell r="H386" t="str">
            <v>Cartridge Fuel Filter</v>
          </cell>
        </row>
        <row r="387">
          <cell r="G387" t="str">
            <v>LAF9104</v>
          </cell>
          <cell r="H387" t="str">
            <v>Corrugated Media Air Filter</v>
          </cell>
        </row>
        <row r="388">
          <cell r="G388" t="str">
            <v>LFF6770</v>
          </cell>
          <cell r="H388" t="str">
            <v>Spin-on Fuel Water Separator Filter</v>
          </cell>
        </row>
        <row r="389">
          <cell r="G389" t="str">
            <v>LAF1787</v>
          </cell>
          <cell r="H389" t="str">
            <v>HD Metal-End Air Filter</v>
          </cell>
        </row>
        <row r="390">
          <cell r="G390" t="str">
            <v>PC234</v>
          </cell>
          <cell r="H390" t="str">
            <v>PCV Valve</v>
          </cell>
        </row>
        <row r="391">
          <cell r="G391" t="str">
            <v>LAF4503</v>
          </cell>
          <cell r="H391" t="str">
            <v>Radial Seal Outer Air Filter</v>
          </cell>
        </row>
        <row r="392">
          <cell r="G392" t="str">
            <v>LH5747</v>
          </cell>
          <cell r="H392" t="str">
            <v>Cartridge Hydraulic Filter</v>
          </cell>
        </row>
        <row r="393">
          <cell r="G393" t="str">
            <v>L2021F</v>
          </cell>
          <cell r="H393" t="str">
            <v>Cartridge Fuel Water Separator Filter</v>
          </cell>
        </row>
        <row r="394">
          <cell r="G394" t="str">
            <v>LAF7413</v>
          </cell>
          <cell r="H394" t="str">
            <v>HD Metal-End Air Filter</v>
          </cell>
        </row>
        <row r="395">
          <cell r="G395" t="str">
            <v>LAF4505</v>
          </cell>
          <cell r="H395" t="str">
            <v>Radial Seal Outer Air Filter</v>
          </cell>
        </row>
        <row r="396">
          <cell r="G396" t="str">
            <v>LFP4005SC</v>
          </cell>
          <cell r="H396" t="str">
            <v>Spin-on Oil Filter</v>
          </cell>
        </row>
        <row r="397">
          <cell r="G397" t="str">
            <v>LAF9500</v>
          </cell>
          <cell r="H397" t="str">
            <v>Radial Seal Outer Air Filter</v>
          </cell>
        </row>
        <row r="398">
          <cell r="G398" t="str">
            <v>AF211</v>
          </cell>
          <cell r="H398" t="str">
            <v>Round Air Filter</v>
          </cell>
        </row>
        <row r="399">
          <cell r="G399" t="str">
            <v>L1011F</v>
          </cell>
          <cell r="H399" t="str">
            <v>Cartridge Fuel Filter</v>
          </cell>
        </row>
        <row r="400">
          <cell r="G400" t="str">
            <v>LAF6664</v>
          </cell>
          <cell r="H400" t="str">
            <v>Radial Seal Inner Air Filter</v>
          </cell>
        </row>
        <row r="401">
          <cell r="G401" t="str">
            <v>G2978</v>
          </cell>
          <cell r="H401" t="str">
            <v>In-Line Fuel Filter</v>
          </cell>
        </row>
        <row r="402">
          <cell r="G402" t="str">
            <v>CAF24005XL</v>
          </cell>
          <cell r="H402" t="str">
            <v>Cabin Air Filter (Carbon) Extreme Clean</v>
          </cell>
        </row>
        <row r="403">
          <cell r="G403" t="str">
            <v>LAF292</v>
          </cell>
          <cell r="H403" t="str">
            <v>Round Plastisol Air Filter</v>
          </cell>
        </row>
        <row r="404">
          <cell r="G404" t="str">
            <v>LAF1275</v>
          </cell>
          <cell r="H404" t="str">
            <v>Finned Vane Air Filter</v>
          </cell>
        </row>
        <row r="405">
          <cell r="G405" t="str">
            <v>LAF8693</v>
          </cell>
          <cell r="H405" t="str">
            <v>Radial Seal Inner Air Filter</v>
          </cell>
        </row>
        <row r="406">
          <cell r="G406" t="str">
            <v>LFW4686</v>
          </cell>
          <cell r="H406" t="str">
            <v>Spin-on Coolant Filter</v>
          </cell>
        </row>
        <row r="407">
          <cell r="G407" t="str">
            <v>LFP928F</v>
          </cell>
          <cell r="H407" t="str">
            <v>Spin-on Fuel Filter</v>
          </cell>
        </row>
        <row r="408">
          <cell r="G408" t="str">
            <v>LFF3579U</v>
          </cell>
          <cell r="H408" t="str">
            <v>Bowless Fuel Water Separator Filter</v>
          </cell>
        </row>
        <row r="409">
          <cell r="G409" t="str">
            <v>LAF8690</v>
          </cell>
          <cell r="H409" t="str">
            <v>Radial Seal Inner Air Filter</v>
          </cell>
        </row>
        <row r="410">
          <cell r="G410" t="str">
            <v>LAF6923</v>
          </cell>
          <cell r="H410" t="str">
            <v>Radial Seal Inner Air Filter</v>
          </cell>
        </row>
        <row r="411">
          <cell r="G411" t="str">
            <v>LFP3404A</v>
          </cell>
          <cell r="H411" t="str">
            <v>Spin-on Oil Filter</v>
          </cell>
        </row>
        <row r="412">
          <cell r="G412" t="str">
            <v>LP2017</v>
          </cell>
          <cell r="H412" t="str">
            <v>Oil filter and Cap for Ford Super Duty Diesel trucks</v>
          </cell>
        </row>
        <row r="413">
          <cell r="G413" t="str">
            <v>LFH4959</v>
          </cell>
          <cell r="H413" t="str">
            <v>Spin-on Hydraulic Filter</v>
          </cell>
        </row>
        <row r="414">
          <cell r="G414" t="str">
            <v>LAF6127</v>
          </cell>
          <cell r="H414" t="str">
            <v>HD Round Air Filter with Attached Boot</v>
          </cell>
        </row>
        <row r="415">
          <cell r="G415" t="str">
            <v>LFF902</v>
          </cell>
          <cell r="H415" t="str">
            <v>Bowl Style Fuel Water Separator Filter</v>
          </cell>
        </row>
        <row r="416">
          <cell r="G416" t="str">
            <v>LFW5875</v>
          </cell>
          <cell r="H416" t="str">
            <v>Spin-on Coolant Filter</v>
          </cell>
        </row>
        <row r="417">
          <cell r="G417" t="str">
            <v>LP5090A</v>
          </cell>
          <cell r="H417" t="str">
            <v>Cartridge Oil Filter</v>
          </cell>
        </row>
        <row r="418">
          <cell r="G418" t="str">
            <v>AF299</v>
          </cell>
          <cell r="H418" t="str">
            <v>Flexible Panel Air Filter</v>
          </cell>
        </row>
        <row r="419">
          <cell r="G419" t="str">
            <v>LP2243</v>
          </cell>
          <cell r="H419" t="str">
            <v>Cartridge Oil Filter</v>
          </cell>
        </row>
        <row r="420">
          <cell r="G420" t="str">
            <v>L6285F</v>
          </cell>
          <cell r="H420" t="str">
            <v>Box Type Fuel Filter</v>
          </cell>
        </row>
        <row r="421">
          <cell r="G421" t="str">
            <v>G5/16CP</v>
          </cell>
          <cell r="H421" t="str">
            <v>Clear Plastic in-line fuel</v>
          </cell>
        </row>
        <row r="422">
          <cell r="G422" t="str">
            <v>L3995F</v>
          </cell>
          <cell r="H422" t="str">
            <v>In-Line Fuel Filter</v>
          </cell>
        </row>
        <row r="423">
          <cell r="G423" t="str">
            <v>LFH5876</v>
          </cell>
          <cell r="H423" t="str">
            <v>Spin-on Hydraulic Filter</v>
          </cell>
        </row>
        <row r="424">
          <cell r="G424" t="str">
            <v>LAF1544</v>
          </cell>
          <cell r="H424" t="str">
            <v>Finned Vane Air Filter</v>
          </cell>
        </row>
        <row r="425">
          <cell r="G425" t="str">
            <v>LAF6725</v>
          </cell>
          <cell r="H425" t="str">
            <v>Corrugated Media Air Filter</v>
          </cell>
        </row>
        <row r="426">
          <cell r="G426" t="str">
            <v>LAF8149</v>
          </cell>
          <cell r="H426" t="str">
            <v>Radial Seal Outer Air Filter</v>
          </cell>
        </row>
        <row r="427">
          <cell r="G427" t="str">
            <v>LFP6023</v>
          </cell>
          <cell r="H427" t="str">
            <v>Spin-on Oil Filter</v>
          </cell>
        </row>
        <row r="428">
          <cell r="G428" t="str">
            <v>LFF3294</v>
          </cell>
          <cell r="H428" t="str">
            <v>Spin-on Fuel Filter</v>
          </cell>
        </row>
        <row r="429">
          <cell r="G429" t="str">
            <v>CAF24013</v>
          </cell>
          <cell r="H429" t="str">
            <v>Cabin Air Filter</v>
          </cell>
        </row>
        <row r="430">
          <cell r="G430" t="str">
            <v>CAF24024</v>
          </cell>
          <cell r="H430" t="str">
            <v>Cabin Air Filter</v>
          </cell>
        </row>
        <row r="431">
          <cell r="G431" t="str">
            <v>LAF9501</v>
          </cell>
          <cell r="H431" t="str">
            <v>HD Metal-End Air Filter</v>
          </cell>
        </row>
        <row r="432">
          <cell r="G432" t="str">
            <v>L8868F</v>
          </cell>
          <cell r="H432" t="str">
            <v>Snap-Lock Fuel Filter</v>
          </cell>
        </row>
        <row r="433">
          <cell r="G433" t="str">
            <v>LFF5510</v>
          </cell>
          <cell r="H433" t="str">
            <v>Fuel Dispensing Filter</v>
          </cell>
        </row>
        <row r="434">
          <cell r="G434" t="str">
            <v>LFF1129</v>
          </cell>
          <cell r="H434" t="str">
            <v>Spin-on Fuel Filter</v>
          </cell>
        </row>
        <row r="435">
          <cell r="G435" t="str">
            <v>LAF9547</v>
          </cell>
          <cell r="H435" t="str">
            <v>Radial Seal Outer Air Filter</v>
          </cell>
        </row>
        <row r="436">
          <cell r="G436" t="str">
            <v>LAF9538</v>
          </cell>
          <cell r="H436" t="str">
            <v>Finned Vane Air Filter</v>
          </cell>
        </row>
        <row r="437">
          <cell r="G437" t="str">
            <v>LFF871</v>
          </cell>
          <cell r="H437" t="str">
            <v>Cartridge Fuel Filter</v>
          </cell>
        </row>
        <row r="438">
          <cell r="G438" t="str">
            <v>LFH4204</v>
          </cell>
          <cell r="H438" t="str">
            <v>Spin-on Hydraulic Filter</v>
          </cell>
        </row>
        <row r="439">
          <cell r="G439" t="str">
            <v>LH5961</v>
          </cell>
          <cell r="H439" t="str">
            <v>Cartridge Power Steering (Hydraulic) Filter</v>
          </cell>
        </row>
        <row r="440">
          <cell r="G440" t="str">
            <v>LP560</v>
          </cell>
          <cell r="H440" t="str">
            <v>Cartridge Oil Filter</v>
          </cell>
        </row>
        <row r="441">
          <cell r="G441" t="str">
            <v>AF5198</v>
          </cell>
          <cell r="H441" t="str">
            <v>Flexible Panel Air Filter</v>
          </cell>
        </row>
        <row r="442">
          <cell r="G442" t="str">
            <v>L8683F</v>
          </cell>
          <cell r="H442" t="str">
            <v>Snap-Lock Fuel Filter</v>
          </cell>
        </row>
        <row r="443">
          <cell r="G443" t="str">
            <v>LK341M</v>
          </cell>
          <cell r="H443" t="str">
            <v>Mack Engine Maintenance Kit</v>
          </cell>
        </row>
        <row r="444">
          <cell r="G444" t="str">
            <v>LFF1282</v>
          </cell>
          <cell r="H444" t="str">
            <v>Spin-on Fuel Water Separator Filter</v>
          </cell>
        </row>
        <row r="445">
          <cell r="G445" t="str">
            <v>LFH4910</v>
          </cell>
          <cell r="H445" t="str">
            <v>Spin-on Hydraulic Filter</v>
          </cell>
        </row>
        <row r="446">
          <cell r="G446" t="str">
            <v>LFF4296</v>
          </cell>
          <cell r="H446" t="str">
            <v>Spin-on Fuel Filter</v>
          </cell>
        </row>
        <row r="447">
          <cell r="G447" t="str">
            <v>G2920</v>
          </cell>
          <cell r="H447" t="str">
            <v>Spin-on Fuel Filter</v>
          </cell>
        </row>
        <row r="448">
          <cell r="G448" t="str">
            <v>AF2884</v>
          </cell>
          <cell r="H448" t="str">
            <v>Flexible Panel Air Filter</v>
          </cell>
        </row>
        <row r="449">
          <cell r="G449" t="str">
            <v>LAF1947</v>
          </cell>
          <cell r="H449" t="str">
            <v>HD Metal-End Air Filter with Attached Lid</v>
          </cell>
        </row>
        <row r="450">
          <cell r="G450" t="str">
            <v>LAF8114</v>
          </cell>
          <cell r="H450" t="str">
            <v>Radial Seal Inner Air Filter</v>
          </cell>
        </row>
        <row r="451">
          <cell r="G451" t="str">
            <v>AF3955</v>
          </cell>
          <cell r="H451" t="str">
            <v>Flexible Panel Air Filter</v>
          </cell>
        </row>
        <row r="452">
          <cell r="G452" t="str">
            <v>LFF4295</v>
          </cell>
          <cell r="H452" t="str">
            <v>Spin-on Fuel Filter</v>
          </cell>
        </row>
        <row r="453">
          <cell r="G453" t="str">
            <v>L7264F</v>
          </cell>
          <cell r="H453" t="str">
            <v>Box Type Fuel Filter</v>
          </cell>
        </row>
        <row r="454">
          <cell r="G454" t="str">
            <v>AF917</v>
          </cell>
          <cell r="H454" t="str">
            <v>Flexible Panel Air Filter</v>
          </cell>
        </row>
        <row r="455">
          <cell r="G455" t="str">
            <v>LAF1646</v>
          </cell>
          <cell r="H455" t="str">
            <v>Corrugated Media Air Filter</v>
          </cell>
        </row>
        <row r="456">
          <cell r="G456" t="str">
            <v>P90</v>
          </cell>
          <cell r="H456" t="str">
            <v>Cartridge Oil Filter</v>
          </cell>
        </row>
        <row r="457">
          <cell r="G457" t="str">
            <v>CAF24011</v>
          </cell>
          <cell r="H457" t="str">
            <v>Cabin Air Filter</v>
          </cell>
        </row>
        <row r="458">
          <cell r="G458" t="str">
            <v>LP5979</v>
          </cell>
          <cell r="H458" t="str">
            <v>Cartridge Oil Filter</v>
          </cell>
        </row>
        <row r="459">
          <cell r="G459" t="str">
            <v>LFF8307</v>
          </cell>
          <cell r="H459" t="str">
            <v>Spin-on Fuel Filter</v>
          </cell>
        </row>
        <row r="460">
          <cell r="G460" t="str">
            <v>LK367C</v>
          </cell>
          <cell r="H460" t="str">
            <v>Cummins Maintenance Kit</v>
          </cell>
        </row>
        <row r="461">
          <cell r="G461" t="str">
            <v>LFP791</v>
          </cell>
          <cell r="H461" t="str">
            <v>Spin-on Oil Filter</v>
          </cell>
        </row>
        <row r="462">
          <cell r="G462" t="str">
            <v>LFH4909</v>
          </cell>
          <cell r="H462" t="str">
            <v>Breather Filter</v>
          </cell>
        </row>
        <row r="463">
          <cell r="G463" t="str">
            <v>LFP9025XL</v>
          </cell>
          <cell r="H463" t="str">
            <v>Extended Life Spin-on Oil Filter</v>
          </cell>
        </row>
        <row r="464">
          <cell r="G464" t="str">
            <v>PH610</v>
          </cell>
          <cell r="H464" t="str">
            <v>Spin-on Oil Filter</v>
          </cell>
        </row>
        <row r="465">
          <cell r="G465" t="str">
            <v>LAF6922</v>
          </cell>
          <cell r="H465" t="str">
            <v>Radial Seal Outer Air Filter</v>
          </cell>
        </row>
        <row r="466">
          <cell r="G466" t="str">
            <v>LAF2947</v>
          </cell>
          <cell r="H466" t="str">
            <v>Corrugated Media Air Filter</v>
          </cell>
        </row>
        <row r="467">
          <cell r="G467" t="str">
            <v>AF3978</v>
          </cell>
          <cell r="H467" t="str">
            <v>Panel Air Filter</v>
          </cell>
        </row>
        <row r="468">
          <cell r="G468" t="str">
            <v>LFF8011</v>
          </cell>
          <cell r="H468" t="str">
            <v>Spin-on Fuel Water Separator Filter</v>
          </cell>
        </row>
        <row r="469">
          <cell r="G469" t="str">
            <v>LAF9332</v>
          </cell>
          <cell r="H469" t="str">
            <v>Radial Seal Inner Air Filter</v>
          </cell>
        </row>
        <row r="470">
          <cell r="G470" t="str">
            <v>LAF4504</v>
          </cell>
          <cell r="H470" t="str">
            <v>Radial Seal Inner Air Filter</v>
          </cell>
        </row>
        <row r="471">
          <cell r="G471" t="str">
            <v>LFP1101F</v>
          </cell>
          <cell r="H471" t="str">
            <v>Spin-on Fuel Filter</v>
          </cell>
        </row>
        <row r="472">
          <cell r="G472" t="str">
            <v>AF5187</v>
          </cell>
          <cell r="H472" t="str">
            <v>Rigid Panel Air Filter</v>
          </cell>
        </row>
        <row r="473">
          <cell r="G473" t="str">
            <v>LAF8172</v>
          </cell>
          <cell r="H473" t="str">
            <v>Radial Seal Air Filter (Primary)</v>
          </cell>
        </row>
        <row r="474">
          <cell r="G474" t="str">
            <v>CAF24007</v>
          </cell>
          <cell r="H474" t="str">
            <v>Cabin Air Filter</v>
          </cell>
        </row>
        <row r="475">
          <cell r="G475" t="str">
            <v>L8569F</v>
          </cell>
          <cell r="H475" t="str">
            <v>Snap-Lock Fuel Filter</v>
          </cell>
        </row>
        <row r="476">
          <cell r="G476" t="str">
            <v>LAF6684</v>
          </cell>
          <cell r="H476" t="str">
            <v>Cone-Shaped, Conical Air Filter</v>
          </cell>
        </row>
        <row r="477">
          <cell r="G477" t="str">
            <v>CAF24000XL</v>
          </cell>
          <cell r="H477" t="str">
            <v>Cabin Air Filter (Carbon) Extreme Clean</v>
          </cell>
        </row>
        <row r="478">
          <cell r="G478" t="str">
            <v>P2062</v>
          </cell>
          <cell r="H478" t="str">
            <v>Cartridge Oil Filter</v>
          </cell>
        </row>
        <row r="479">
          <cell r="G479" t="str">
            <v>LAF9498</v>
          </cell>
          <cell r="H479" t="str">
            <v>Corrugated Media Air Filter</v>
          </cell>
        </row>
        <row r="480">
          <cell r="G480" t="str">
            <v>LFP218F</v>
          </cell>
          <cell r="H480" t="str">
            <v>Spin-on Fuel Filter</v>
          </cell>
        </row>
        <row r="481">
          <cell r="G481" t="str">
            <v>PH832</v>
          </cell>
          <cell r="H481" t="str">
            <v>Spin-on Oil Filter</v>
          </cell>
        </row>
        <row r="482">
          <cell r="G482" t="str">
            <v>L9729FXL</v>
          </cell>
          <cell r="H482" t="str">
            <v>Extended Life Cartridge Fuel Water Separator Filter</v>
          </cell>
        </row>
        <row r="483">
          <cell r="G483" t="str">
            <v>P1026</v>
          </cell>
          <cell r="H483" t="str">
            <v>Cartridge Oil Filter</v>
          </cell>
        </row>
        <row r="484">
          <cell r="G484" t="str">
            <v>CAF24001</v>
          </cell>
          <cell r="H484" t="str">
            <v>Cabin Air Filter</v>
          </cell>
        </row>
        <row r="485">
          <cell r="G485" t="str">
            <v>LFP781</v>
          </cell>
          <cell r="H485" t="str">
            <v>Spin-on Oil Filter</v>
          </cell>
        </row>
        <row r="486">
          <cell r="G486" t="str">
            <v>LP44</v>
          </cell>
          <cell r="H486" t="str">
            <v>Cartridge Oil Filter</v>
          </cell>
        </row>
        <row r="487">
          <cell r="G487" t="str">
            <v>LAF2886</v>
          </cell>
          <cell r="H487" t="str">
            <v>Corrugated Media Air Filter</v>
          </cell>
        </row>
        <row r="488">
          <cell r="G488" t="str">
            <v>LAF6124</v>
          </cell>
          <cell r="H488" t="str">
            <v>Radial Seal Outer Air Filter</v>
          </cell>
        </row>
        <row r="489">
          <cell r="G489">
            <v>750</v>
          </cell>
          <cell r="H489" t="str">
            <v xml:space="preserve">Luber-finer 750 diesel filter pak, Imperial II (single element) detergent type lube oil. (4 pack case) </v>
          </cell>
        </row>
        <row r="490">
          <cell r="G490" t="str">
            <v>AF5222</v>
          </cell>
          <cell r="H490" t="str">
            <v>Rigid Panel Air Filter</v>
          </cell>
        </row>
        <row r="491">
          <cell r="G491" t="str">
            <v>LFW4685XL</v>
          </cell>
          <cell r="H491" t="str">
            <v>Extended Life Spin-on Coolant Filter</v>
          </cell>
        </row>
        <row r="492">
          <cell r="G492" t="str">
            <v>L5092F</v>
          </cell>
          <cell r="H492" t="str">
            <v>Cartridge Fuel Water Separator Filter</v>
          </cell>
        </row>
        <row r="493">
          <cell r="G493" t="str">
            <v>PH488</v>
          </cell>
          <cell r="H493" t="str">
            <v>Spin-on Oil Filter</v>
          </cell>
        </row>
        <row r="494">
          <cell r="G494" t="str">
            <v>L8872F</v>
          </cell>
          <cell r="H494" t="str">
            <v>Snap-Lock Fuel Filter</v>
          </cell>
        </row>
        <row r="495">
          <cell r="G495" t="str">
            <v>PH477</v>
          </cell>
          <cell r="H495" t="str">
            <v>Spin-on OIl Filter</v>
          </cell>
        </row>
        <row r="496">
          <cell r="G496" t="str">
            <v>L8557F</v>
          </cell>
          <cell r="H496" t="str">
            <v>Snap-Lock Fuel Filter</v>
          </cell>
        </row>
        <row r="497">
          <cell r="G497">
            <v>2788</v>
          </cell>
          <cell r="H497" t="str">
            <v>Cover Gasket, Buna-N/500-C, 750-3C, 970-C</v>
          </cell>
        </row>
        <row r="498">
          <cell r="G498" t="str">
            <v>LFP3828</v>
          </cell>
          <cell r="H498" t="str">
            <v>Spin-on Oil Filter</v>
          </cell>
        </row>
        <row r="499">
          <cell r="G499" t="str">
            <v>LFH4922</v>
          </cell>
          <cell r="H499" t="str">
            <v>Spin-on Hydraulic Filter</v>
          </cell>
        </row>
        <row r="500">
          <cell r="G500" t="str">
            <v>L7693F</v>
          </cell>
          <cell r="H500" t="str">
            <v>Cartridge Fuel Filter</v>
          </cell>
        </row>
        <row r="501">
          <cell r="G501" t="str">
            <v>LFP7217</v>
          </cell>
          <cell r="H501" t="str">
            <v>Spin-on Oil Filter</v>
          </cell>
        </row>
        <row r="502">
          <cell r="G502" t="str">
            <v>L550F</v>
          </cell>
          <cell r="H502" t="str">
            <v>Cartridge Fuel Filter</v>
          </cell>
        </row>
        <row r="503">
          <cell r="G503" t="str">
            <v>LFH8740G</v>
          </cell>
          <cell r="H503" t="str">
            <v>Spin-on Hydraulic Filter</v>
          </cell>
        </row>
        <row r="504">
          <cell r="G504" t="str">
            <v>L549F</v>
          </cell>
          <cell r="H504" t="str">
            <v>Cartridge Fuel Filter</v>
          </cell>
        </row>
        <row r="505">
          <cell r="G505" t="str">
            <v>T715A</v>
          </cell>
          <cell r="H505" t="str">
            <v>Transmission Filter Kit</v>
          </cell>
        </row>
        <row r="506">
          <cell r="G506" t="str">
            <v>LCTS11</v>
          </cell>
          <cell r="H506" t="str">
            <v>Coolant Analysis Test Kit</v>
          </cell>
        </row>
        <row r="507">
          <cell r="G507" t="str">
            <v>AF5196</v>
          </cell>
          <cell r="H507" t="str">
            <v>Rigid Panel Air Filter</v>
          </cell>
        </row>
        <row r="508">
          <cell r="G508" t="str">
            <v>LFF8678</v>
          </cell>
          <cell r="H508" t="str">
            <v>Spin-on Fuel Filter</v>
          </cell>
        </row>
        <row r="509">
          <cell r="G509" t="str">
            <v>WHG481FK</v>
          </cell>
          <cell r="H509" t="str">
            <v>Fuel Filter Adaptor and filter</v>
          </cell>
        </row>
        <row r="510">
          <cell r="G510" t="str">
            <v>LFP2265</v>
          </cell>
          <cell r="H510" t="str">
            <v>Spin-on Oil Filter</v>
          </cell>
        </row>
        <row r="511">
          <cell r="G511" t="str">
            <v>LFF3807</v>
          </cell>
          <cell r="H511" t="str">
            <v>Spin-on Fuel Filter</v>
          </cell>
        </row>
        <row r="512">
          <cell r="G512" t="str">
            <v>LAF3585</v>
          </cell>
          <cell r="H512" t="str">
            <v>Radial Seal Inner Air Filter</v>
          </cell>
        </row>
        <row r="513">
          <cell r="G513" t="str">
            <v>PH2875</v>
          </cell>
          <cell r="H513" t="str">
            <v>Spin-on Oil Filter</v>
          </cell>
        </row>
        <row r="514">
          <cell r="G514" t="str">
            <v>LP132</v>
          </cell>
          <cell r="H514" t="str">
            <v>Cartridge Oil Filter</v>
          </cell>
        </row>
        <row r="515">
          <cell r="G515" t="str">
            <v>L8874FK</v>
          </cell>
          <cell r="H515" t="str">
            <v>Fuel Filter Kit Primary/Secondary</v>
          </cell>
        </row>
        <row r="516">
          <cell r="G516" t="str">
            <v>LAF1956</v>
          </cell>
          <cell r="H516" t="str">
            <v>Radial Seal Inner Air Filter</v>
          </cell>
        </row>
        <row r="517">
          <cell r="G517" t="str">
            <v>LAF9543</v>
          </cell>
          <cell r="H517" t="str">
            <v>Radial Seal Inner Air Filter</v>
          </cell>
        </row>
        <row r="518">
          <cell r="G518" t="str">
            <v>LAF2533</v>
          </cell>
          <cell r="H518" t="str">
            <v>Disposible Housing Air Filter</v>
          </cell>
        </row>
        <row r="519">
          <cell r="G519" t="str">
            <v>2788B</v>
          </cell>
          <cell r="H519" t="str">
            <v>Luberfiner 500 and 750 cover gasket</v>
          </cell>
        </row>
        <row r="520">
          <cell r="G520" t="str">
            <v>AF5201</v>
          </cell>
          <cell r="H520" t="str">
            <v>Rigid Panel Air Filter</v>
          </cell>
        </row>
        <row r="521">
          <cell r="G521" t="str">
            <v>LAF8730</v>
          </cell>
          <cell r="H521" t="str">
            <v>Radial Seal Outer Air Filter</v>
          </cell>
        </row>
        <row r="522">
          <cell r="G522" t="str">
            <v>AF905</v>
          </cell>
          <cell r="H522" t="str">
            <v>Round Air Filter</v>
          </cell>
        </row>
        <row r="523">
          <cell r="G523" t="str">
            <v>L3101F</v>
          </cell>
          <cell r="H523" t="str">
            <v>Snap-lock Fuel/Water Separator Filter</v>
          </cell>
        </row>
        <row r="524">
          <cell r="G524" t="str">
            <v>LFF9608</v>
          </cell>
          <cell r="H524" t="str">
            <v>Spin-on Fuel Filter</v>
          </cell>
        </row>
        <row r="525">
          <cell r="G525" t="str">
            <v>LAF4509</v>
          </cell>
          <cell r="H525" t="str">
            <v>Radial Seal Outer Air Filter</v>
          </cell>
        </row>
        <row r="526">
          <cell r="G526" t="str">
            <v>AF3590</v>
          </cell>
          <cell r="H526" t="str">
            <v>Flexible Panel Air Filter</v>
          </cell>
        </row>
        <row r="527">
          <cell r="G527" t="str">
            <v>LAF190</v>
          </cell>
          <cell r="H527" t="str">
            <v>Round Plastisol Air Filter</v>
          </cell>
        </row>
        <row r="528">
          <cell r="G528" t="str">
            <v>G1010</v>
          </cell>
          <cell r="H528" t="str">
            <v>In-Line Fuel Filter</v>
          </cell>
        </row>
        <row r="529">
          <cell r="G529" t="str">
            <v>LAF3714</v>
          </cell>
          <cell r="H529" t="str">
            <v>HD Metal-End Air Filter</v>
          </cell>
        </row>
        <row r="530">
          <cell r="G530" t="str">
            <v>LFH5011-10</v>
          </cell>
          <cell r="H530" t="str">
            <v>Spin-on Hydraulic Filter</v>
          </cell>
        </row>
        <row r="531">
          <cell r="G531" t="str">
            <v>L9559F</v>
          </cell>
          <cell r="H531" t="str">
            <v>Cartridge Fuel Filter</v>
          </cell>
        </row>
        <row r="532">
          <cell r="G532" t="str">
            <v>AF7878</v>
          </cell>
          <cell r="H532" t="str">
            <v>Flexible Panel Air Filter</v>
          </cell>
        </row>
        <row r="533">
          <cell r="G533" t="str">
            <v>AF5206</v>
          </cell>
          <cell r="H533" t="str">
            <v>Rigid Panel Air Filter</v>
          </cell>
        </row>
        <row r="534">
          <cell r="G534" t="str">
            <v>LAF5932</v>
          </cell>
          <cell r="H534" t="str">
            <v>Radial Seal Inner Air Filter Inner</v>
          </cell>
        </row>
        <row r="535">
          <cell r="G535" t="str">
            <v>AF2962</v>
          </cell>
          <cell r="H535" t="str">
            <v>Flexible Panel Air Filter</v>
          </cell>
        </row>
        <row r="536">
          <cell r="G536" t="str">
            <v>LAF5871</v>
          </cell>
          <cell r="H536" t="str">
            <v>Radial Seal Outer Air Filter</v>
          </cell>
        </row>
        <row r="537">
          <cell r="G537" t="str">
            <v>LFF15</v>
          </cell>
          <cell r="H537" t="str">
            <v>Fuel Dispensing Filter</v>
          </cell>
        </row>
        <row r="538">
          <cell r="G538" t="str">
            <v>LFH5011-03</v>
          </cell>
          <cell r="H538" t="str">
            <v>Spin-on Hydraulic Filter</v>
          </cell>
        </row>
        <row r="539">
          <cell r="G539" t="str">
            <v>LFH4987</v>
          </cell>
          <cell r="H539" t="str">
            <v>Spin-on Hydraulic Filter</v>
          </cell>
        </row>
        <row r="540">
          <cell r="G540" t="str">
            <v>LFP947</v>
          </cell>
          <cell r="H540" t="str">
            <v>Spin-on Oil Filter</v>
          </cell>
        </row>
        <row r="541">
          <cell r="G541" t="str">
            <v>LFP9035</v>
          </cell>
          <cell r="H541" t="str">
            <v>Spin-on Oil Filter</v>
          </cell>
        </row>
        <row r="542">
          <cell r="G542" t="str">
            <v>LP161</v>
          </cell>
          <cell r="H542" t="str">
            <v>Cartridge Oil Filter</v>
          </cell>
        </row>
        <row r="543">
          <cell r="G543" t="str">
            <v>LFF8350</v>
          </cell>
          <cell r="H543" t="str">
            <v>Spin-on Fuel Filter</v>
          </cell>
        </row>
        <row r="544">
          <cell r="G544" t="str">
            <v>LAF8727</v>
          </cell>
          <cell r="H544" t="str">
            <v>HD Metal-End Air Filter</v>
          </cell>
        </row>
        <row r="545">
          <cell r="G545" t="str">
            <v>LAF5980</v>
          </cell>
          <cell r="H545" t="str">
            <v>Flexible Panel Air Filter</v>
          </cell>
        </row>
        <row r="546">
          <cell r="G546" t="str">
            <v>LAF3350</v>
          </cell>
          <cell r="H546" t="str">
            <v>Round Air Filter</v>
          </cell>
        </row>
        <row r="547">
          <cell r="G547" t="str">
            <v>LFP8845</v>
          </cell>
          <cell r="H547" t="str">
            <v>Brake Dryer Water Coalescer Filter (Other)</v>
          </cell>
        </row>
        <row r="548">
          <cell r="G548" t="str">
            <v>LAF1745</v>
          </cell>
          <cell r="H548" t="str">
            <v>Cone Shaped Conical Air Filter</v>
          </cell>
        </row>
        <row r="549">
          <cell r="G549" t="str">
            <v>LFP2244</v>
          </cell>
          <cell r="H549" t="str">
            <v>Spin-on Oil Filter</v>
          </cell>
        </row>
        <row r="550">
          <cell r="G550" t="str">
            <v>LP3964</v>
          </cell>
          <cell r="H550" t="str">
            <v>Cartridge Oil Filter</v>
          </cell>
        </row>
        <row r="551">
          <cell r="G551" t="str">
            <v>LFP3307</v>
          </cell>
          <cell r="H551" t="str">
            <v>Spin-on Oil Filter</v>
          </cell>
        </row>
        <row r="552">
          <cell r="G552" t="str">
            <v>LAF1810</v>
          </cell>
          <cell r="H552" t="str">
            <v>HD Round Air Filter with Attached Boot</v>
          </cell>
        </row>
        <row r="553">
          <cell r="G553" t="str">
            <v>LAF4365</v>
          </cell>
          <cell r="H553" t="str">
            <v>HD Metal-End Air Filter</v>
          </cell>
        </row>
        <row r="554">
          <cell r="G554" t="str">
            <v>LFF6816</v>
          </cell>
          <cell r="H554" t="str">
            <v>Spin-on Fuel Filter</v>
          </cell>
        </row>
        <row r="555">
          <cell r="G555" t="str">
            <v>LAF2079</v>
          </cell>
          <cell r="H555" t="str">
            <v>HD Metal-End Air Filter with Attached Lid</v>
          </cell>
        </row>
        <row r="556">
          <cell r="G556" t="str">
            <v>PH8862</v>
          </cell>
          <cell r="H556" t="str">
            <v>Spin-on Oil Filter</v>
          </cell>
        </row>
        <row r="557">
          <cell r="G557" t="str">
            <v>LAF3947</v>
          </cell>
          <cell r="H557" t="str">
            <v>Radial Seal Outer Air Filter</v>
          </cell>
        </row>
        <row r="558">
          <cell r="G558" t="str">
            <v>LFF8038</v>
          </cell>
          <cell r="H558" t="str">
            <v>Spin-on Fuel Water Separator Filter</v>
          </cell>
        </row>
        <row r="559">
          <cell r="G559" t="str">
            <v>LFP8469</v>
          </cell>
          <cell r="H559" t="str">
            <v>Spin-on Oil Filter</v>
          </cell>
        </row>
        <row r="560">
          <cell r="G560" t="str">
            <v>CAF1885P</v>
          </cell>
          <cell r="H560" t="str">
            <v>Cabin Air Filter</v>
          </cell>
        </row>
        <row r="561">
          <cell r="G561" t="str">
            <v>LFF1021</v>
          </cell>
          <cell r="H561" t="str">
            <v>Spin-on Fuel Filter</v>
          </cell>
        </row>
        <row r="562">
          <cell r="G562" t="str">
            <v>L3531F</v>
          </cell>
          <cell r="H562" t="str">
            <v>Cartridge Fuel Filter</v>
          </cell>
        </row>
        <row r="563">
          <cell r="G563" t="str">
            <v>LAF4501</v>
          </cell>
          <cell r="H563" t="str">
            <v>Radial Seal Outer Air Filter</v>
          </cell>
        </row>
        <row r="564">
          <cell r="G564" t="str">
            <v>PH2819</v>
          </cell>
          <cell r="H564" t="str">
            <v>Spin-on Oil Filter</v>
          </cell>
        </row>
        <row r="565">
          <cell r="G565" t="str">
            <v>LFF5851U</v>
          </cell>
          <cell r="H565" t="str">
            <v>Bowless Fuel Water Separator Filter</v>
          </cell>
        </row>
        <row r="566">
          <cell r="G566" t="str">
            <v>P967</v>
          </cell>
          <cell r="H566" t="str">
            <v>Cartridge Oil Filter</v>
          </cell>
        </row>
        <row r="567">
          <cell r="G567" t="str">
            <v>LAF9410</v>
          </cell>
          <cell r="H567" t="str">
            <v>HD Metal-End Air Filter-Inner</v>
          </cell>
        </row>
        <row r="568">
          <cell r="G568" t="str">
            <v>L4597F</v>
          </cell>
          <cell r="H568" t="str">
            <v>Cartridge Fuel Water Separator Filter</v>
          </cell>
        </row>
        <row r="569">
          <cell r="G569" t="str">
            <v>PH3942</v>
          </cell>
          <cell r="H569" t="str">
            <v>Spin-on Oil Filter</v>
          </cell>
        </row>
        <row r="570">
          <cell r="G570" t="str">
            <v>LAF3234</v>
          </cell>
          <cell r="H570" t="str">
            <v>Special Configuration Air Filter</v>
          </cell>
        </row>
        <row r="571">
          <cell r="G571" t="str">
            <v>LAF4510</v>
          </cell>
          <cell r="H571" t="str">
            <v>Radial Seal Inner Air Filter</v>
          </cell>
        </row>
        <row r="572">
          <cell r="G572" t="str">
            <v>LAF1769</v>
          </cell>
          <cell r="H572" t="str">
            <v>Cone Shaped Conical Air Filter</v>
          </cell>
        </row>
        <row r="573">
          <cell r="G573" t="str">
            <v>LAF6453</v>
          </cell>
          <cell r="H573" t="str">
            <v>HD Round Air Filter with Attached Boot</v>
          </cell>
        </row>
        <row r="574">
          <cell r="G574" t="str">
            <v>LFF9616</v>
          </cell>
          <cell r="H574" t="str">
            <v>Spin-on Fuel Water Separator Filter</v>
          </cell>
        </row>
        <row r="575">
          <cell r="G575">
            <v>750</v>
          </cell>
          <cell r="H575" t="str">
            <v>Refining Pak Filter, LF750-C used on straight mineral oil, hydraulic fluids, fuel oils, etc.</v>
          </cell>
        </row>
        <row r="576">
          <cell r="G576" t="str">
            <v>LFF5778</v>
          </cell>
          <cell r="H576" t="str">
            <v>Spin-on Fuel Water Separator Filter</v>
          </cell>
        </row>
        <row r="577">
          <cell r="G577" t="str">
            <v>LAF1891</v>
          </cell>
          <cell r="H577" t="str">
            <v>HD Metal-End Air Filter</v>
          </cell>
        </row>
        <row r="578">
          <cell r="G578" t="str">
            <v>LFF5088</v>
          </cell>
          <cell r="H578" t="str">
            <v>Spin-on Fuel Filter</v>
          </cell>
        </row>
        <row r="579">
          <cell r="G579" t="str">
            <v>LAF7640</v>
          </cell>
          <cell r="H579" t="str">
            <v>HD Metal-End Inner Air Filter</v>
          </cell>
        </row>
        <row r="580">
          <cell r="G580" t="str">
            <v>LFH5013</v>
          </cell>
          <cell r="H580" t="str">
            <v>Spin-on Hydraulic Filter</v>
          </cell>
        </row>
        <row r="581">
          <cell r="G581" t="str">
            <v>L8681F</v>
          </cell>
          <cell r="H581" t="str">
            <v>Snap-Lock Fuel Filter</v>
          </cell>
        </row>
        <row r="582">
          <cell r="G582" t="str">
            <v>LFF8472</v>
          </cell>
          <cell r="H582" t="str">
            <v>Fuel/Water Separator Spin-on Filter</v>
          </cell>
        </row>
        <row r="583">
          <cell r="G583" t="str">
            <v>PH4408</v>
          </cell>
          <cell r="H583" t="str">
            <v>Spin-on Oil Filter</v>
          </cell>
        </row>
        <row r="584">
          <cell r="G584" t="str">
            <v>LAF6300</v>
          </cell>
          <cell r="H584" t="str">
            <v>Metal-End Air Filter with Closed Top End Cap</v>
          </cell>
        </row>
        <row r="585">
          <cell r="G585" t="str">
            <v>P7013</v>
          </cell>
          <cell r="H585" t="str">
            <v>Cartridge Oil Filter</v>
          </cell>
        </row>
        <row r="586">
          <cell r="G586" t="str">
            <v>CAF24021</v>
          </cell>
          <cell r="H586" t="str">
            <v>Cabin Air Filter</v>
          </cell>
        </row>
        <row r="587">
          <cell r="G587" t="str">
            <v>LH9394</v>
          </cell>
          <cell r="H587" t="str">
            <v>Cartridge Power Steering (Hydraulic) Filter</v>
          </cell>
        </row>
        <row r="588">
          <cell r="G588" t="str">
            <v>LFH5068-10</v>
          </cell>
          <cell r="H588" t="str">
            <v>Spin-on Hydraulic Filter</v>
          </cell>
        </row>
        <row r="589">
          <cell r="G589" t="str">
            <v>AF697</v>
          </cell>
          <cell r="H589" t="str">
            <v>Round Air Filter</v>
          </cell>
        </row>
        <row r="590">
          <cell r="G590" t="str">
            <v>G1/4</v>
          </cell>
          <cell r="H590" t="str">
            <v>In-Line Fuel Filter</v>
          </cell>
        </row>
        <row r="591">
          <cell r="G591" t="str">
            <v>LAF9001</v>
          </cell>
          <cell r="H591" t="str">
            <v>Finned Vane Air Filter</v>
          </cell>
        </row>
        <row r="592">
          <cell r="G592" t="str">
            <v>LAF6769</v>
          </cell>
          <cell r="H592" t="str">
            <v>HD Metal-End Air Filter</v>
          </cell>
        </row>
        <row r="593">
          <cell r="G593" t="str">
            <v>LFF8707U</v>
          </cell>
          <cell r="H593" t="str">
            <v>Bowless Fuel Water Separator Filter</v>
          </cell>
        </row>
        <row r="594">
          <cell r="G594">
            <v>2831</v>
          </cell>
          <cell r="H594" t="str">
            <v>Cover Gasket, Buna-N/272-C, 363-C</v>
          </cell>
        </row>
        <row r="595">
          <cell r="G595" t="str">
            <v>LK363T</v>
          </cell>
          <cell r="H595" t="str">
            <v>Thermo King Engine Maintenance Kit</v>
          </cell>
        </row>
        <row r="596">
          <cell r="G596" t="str">
            <v>LAF334</v>
          </cell>
          <cell r="H596" t="str">
            <v>HD Metal-End Air Filter</v>
          </cell>
        </row>
        <row r="597">
          <cell r="G597" t="str">
            <v>LFP6228</v>
          </cell>
          <cell r="H597" t="str">
            <v>Spin-on Oil Filter</v>
          </cell>
        </row>
        <row r="598">
          <cell r="G598" t="str">
            <v>LAF1751</v>
          </cell>
          <cell r="H598" t="str">
            <v>Disposible Housing Air Filter</v>
          </cell>
        </row>
        <row r="599">
          <cell r="G599" t="str">
            <v>LAF9085</v>
          </cell>
          <cell r="H599" t="str">
            <v>HD Metal-End Inner Air Filter</v>
          </cell>
        </row>
        <row r="600">
          <cell r="G600" t="str">
            <v>LAF2031</v>
          </cell>
          <cell r="H600" t="str">
            <v>Radial Seal Outer Air Filter</v>
          </cell>
        </row>
        <row r="601">
          <cell r="G601" t="str">
            <v>LAF1821</v>
          </cell>
          <cell r="H601" t="str">
            <v>Disposible Housing Air Filter</v>
          </cell>
        </row>
        <row r="602">
          <cell r="G602" t="str">
            <v>P1017</v>
          </cell>
          <cell r="H602" t="str">
            <v>Cartridge Oil Filter</v>
          </cell>
        </row>
        <row r="603">
          <cell r="G603" t="str">
            <v>FP888</v>
          </cell>
          <cell r="H603" t="str">
            <v>Box Type Fuel Filter</v>
          </cell>
        </row>
        <row r="604">
          <cell r="G604" t="str">
            <v>LAF8996</v>
          </cell>
          <cell r="H604" t="str">
            <v>Flexible Panel Air Filter</v>
          </cell>
        </row>
        <row r="605">
          <cell r="G605" t="str">
            <v>T217</v>
          </cell>
          <cell r="H605" t="str">
            <v>Transmission Filter Kit</v>
          </cell>
        </row>
        <row r="606">
          <cell r="G606" t="str">
            <v>LK366C</v>
          </cell>
          <cell r="H606" t="str">
            <v>Cummins Maintenance Kit</v>
          </cell>
        </row>
        <row r="607">
          <cell r="G607" t="str">
            <v>LFP959F</v>
          </cell>
          <cell r="H607" t="str">
            <v>Spin-on Fuel Filter</v>
          </cell>
        </row>
        <row r="608">
          <cell r="G608" t="str">
            <v>AF5233</v>
          </cell>
          <cell r="H608" t="str">
            <v>Air Filter</v>
          </cell>
        </row>
        <row r="609">
          <cell r="G609" t="str">
            <v>P1014</v>
          </cell>
          <cell r="H609" t="str">
            <v>Cartridge Oil Filter</v>
          </cell>
        </row>
        <row r="610">
          <cell r="G610" t="str">
            <v>LAF4506</v>
          </cell>
          <cell r="H610" t="str">
            <v>Radial Seal Inner Air Filter</v>
          </cell>
        </row>
        <row r="611">
          <cell r="G611" t="str">
            <v>LAF1988</v>
          </cell>
          <cell r="H611" t="str">
            <v>Spin-on Air Filter</v>
          </cell>
        </row>
        <row r="612">
          <cell r="G612" t="str">
            <v>LAF5980FP</v>
          </cell>
          <cell r="H612" t="str">
            <v>Flexible Panel Air Filter with Attached Foam Pad</v>
          </cell>
        </row>
        <row r="613">
          <cell r="G613" t="str">
            <v>T709</v>
          </cell>
          <cell r="H613" t="str">
            <v>Transmission Filter Kit</v>
          </cell>
        </row>
        <row r="614">
          <cell r="G614" t="str">
            <v>G243</v>
          </cell>
          <cell r="H614" t="str">
            <v>In-Line Fuel Filter</v>
          </cell>
        </row>
        <row r="615">
          <cell r="G615" t="str">
            <v>P979</v>
          </cell>
          <cell r="H615" t="str">
            <v>Cartridge Oil Filter</v>
          </cell>
        </row>
        <row r="616">
          <cell r="G616" t="str">
            <v>LAF1793</v>
          </cell>
          <cell r="H616" t="str">
            <v>HD Metal-End Air Filter-Inner</v>
          </cell>
        </row>
        <row r="617">
          <cell r="G617" t="str">
            <v>LFH4988</v>
          </cell>
          <cell r="H617" t="str">
            <v>Spin-on Hydraulic Filter</v>
          </cell>
        </row>
        <row r="618">
          <cell r="G618" t="str">
            <v>LAF6243</v>
          </cell>
          <cell r="H618" t="str">
            <v>Radial Seal Air Filter (Primary)</v>
          </cell>
        </row>
        <row r="619">
          <cell r="G619" t="str">
            <v>L540F</v>
          </cell>
          <cell r="H619" t="str">
            <v>Cartridge Fuel Filter</v>
          </cell>
        </row>
        <row r="620">
          <cell r="G620" t="str">
            <v>LFF3534</v>
          </cell>
          <cell r="H620" t="str">
            <v>Spin-on Fuel Filter</v>
          </cell>
        </row>
        <row r="621">
          <cell r="G621" t="str">
            <v>LP2029</v>
          </cell>
          <cell r="H621" t="str">
            <v>Cartridge Oil Filter</v>
          </cell>
        </row>
        <row r="622">
          <cell r="G622" t="str">
            <v>LAF3781</v>
          </cell>
          <cell r="H622" t="str">
            <v>Radial Seal Inner Air Filter</v>
          </cell>
        </row>
        <row r="623">
          <cell r="G623" t="str">
            <v>364F</v>
          </cell>
          <cell r="H623" t="str">
            <v>Cartridge Fuel Filter</v>
          </cell>
        </row>
        <row r="624">
          <cell r="G624" t="str">
            <v>LAF8694</v>
          </cell>
          <cell r="H624" t="str">
            <v>Radial Seal Outer Air Filter</v>
          </cell>
        </row>
        <row r="625">
          <cell r="G625" t="str">
            <v>AF6900</v>
          </cell>
          <cell r="H625" t="str">
            <v>Panel Air Irregular Shaped Filter</v>
          </cell>
        </row>
        <row r="626">
          <cell r="G626" t="str">
            <v>LAF1765</v>
          </cell>
          <cell r="H626" t="str">
            <v>HD Metal-End Inner Air Filter</v>
          </cell>
        </row>
        <row r="627">
          <cell r="G627" t="str">
            <v>P70</v>
          </cell>
          <cell r="H627" t="str">
            <v>Cartridge Oil Filter</v>
          </cell>
        </row>
        <row r="628">
          <cell r="G628" t="str">
            <v>AF5207</v>
          </cell>
          <cell r="H628" t="str">
            <v>Flexible Panel Air Filter</v>
          </cell>
        </row>
        <row r="629">
          <cell r="G629" t="str">
            <v>LFF9954</v>
          </cell>
          <cell r="H629" t="str">
            <v>Spin-on Fuel Filter</v>
          </cell>
        </row>
        <row r="630">
          <cell r="G630" t="str">
            <v>T646</v>
          </cell>
          <cell r="H630" t="str">
            <v>Transmission Filter Kit</v>
          </cell>
        </row>
        <row r="631">
          <cell r="G631" t="str">
            <v>G6529</v>
          </cell>
          <cell r="H631" t="str">
            <v>In-Line Fuel Filter</v>
          </cell>
        </row>
        <row r="632">
          <cell r="G632" t="str">
            <v>LAF4714</v>
          </cell>
          <cell r="H632" t="str">
            <v>Rigid Panel Air Filter</v>
          </cell>
        </row>
        <row r="633">
          <cell r="G633" t="str">
            <v>750</v>
          </cell>
          <cell r="H633" t="str">
            <v>LF750 microcell pak-reduce fluid content to extremely low level</v>
          </cell>
        </row>
        <row r="634">
          <cell r="G634" t="str">
            <v>LFF3545</v>
          </cell>
          <cell r="H634" t="str">
            <v>Spin-on Fuel Filter</v>
          </cell>
        </row>
        <row r="635">
          <cell r="G635" t="str">
            <v>L5788F</v>
          </cell>
          <cell r="H635" t="str">
            <v>Cartridge Fuel Filter</v>
          </cell>
        </row>
        <row r="636">
          <cell r="G636" t="str">
            <v>LFF9013</v>
          </cell>
          <cell r="H636" t="str">
            <v>Bowl Style Fuel Water Separator Filter</v>
          </cell>
        </row>
        <row r="637">
          <cell r="G637" t="str">
            <v>LAF2551</v>
          </cell>
          <cell r="H637" t="str">
            <v>Disposible Housing Air Filter</v>
          </cell>
        </row>
        <row r="638">
          <cell r="G638" t="str">
            <v>L3258F</v>
          </cell>
          <cell r="H638" t="str">
            <v>Cartridge Fuel Filter</v>
          </cell>
        </row>
        <row r="639">
          <cell r="G639" t="str">
            <v>LAF8597</v>
          </cell>
          <cell r="H639" t="str">
            <v>Round Air Filter</v>
          </cell>
        </row>
        <row r="640">
          <cell r="G640" t="str">
            <v>LFF4511-30</v>
          </cell>
          <cell r="H640" t="str">
            <v>Fuel Dispensing Filter</v>
          </cell>
        </row>
        <row r="641">
          <cell r="G641" t="str">
            <v>LFF5824U</v>
          </cell>
          <cell r="H641" t="str">
            <v>Bowless Fuel Water Separator Filter</v>
          </cell>
        </row>
        <row r="642">
          <cell r="G642" t="str">
            <v>LAF5810</v>
          </cell>
          <cell r="H642" t="str">
            <v>Disposible Housing Air Filter</v>
          </cell>
        </row>
        <row r="643">
          <cell r="G643" t="str">
            <v>LAF4191</v>
          </cell>
          <cell r="H643" t="str">
            <v>Rigid Panel Air Filter</v>
          </cell>
        </row>
        <row r="644">
          <cell r="G644" t="str">
            <v>LAF959</v>
          </cell>
          <cell r="H644" t="str">
            <v>Cone Shaped Conical Air Filter</v>
          </cell>
        </row>
        <row r="645">
          <cell r="G645" t="str">
            <v>LAF1849MXM</v>
          </cell>
          <cell r="H645" t="str">
            <v>Nano Tech HD Metal-End Air Filter Outer</v>
          </cell>
        </row>
        <row r="646">
          <cell r="G646" t="str">
            <v>L8682F</v>
          </cell>
          <cell r="H646" t="str">
            <v>Snap-Lock Fuel Filter</v>
          </cell>
        </row>
        <row r="647">
          <cell r="G647" t="str">
            <v>LAF1848</v>
          </cell>
          <cell r="H647" t="str">
            <v>Disposible Housing Air Filter</v>
          </cell>
        </row>
        <row r="648">
          <cell r="G648" t="str">
            <v>LAF6113</v>
          </cell>
          <cell r="H648" t="str">
            <v>Spin-on Coalescer Air Filter</v>
          </cell>
        </row>
        <row r="649">
          <cell r="G649" t="str">
            <v>AF217</v>
          </cell>
          <cell r="H649" t="str">
            <v>Round Air Filter</v>
          </cell>
        </row>
        <row r="650">
          <cell r="G650" t="str">
            <v>LFH5011-25</v>
          </cell>
          <cell r="H650" t="str">
            <v>Spin-on Hydraulic Filter</v>
          </cell>
        </row>
        <row r="651">
          <cell r="G651" t="str">
            <v>LAF8789</v>
          </cell>
          <cell r="H651" t="str">
            <v>Radial Seal Outer Air Filter</v>
          </cell>
        </row>
        <row r="652">
          <cell r="G652" t="str">
            <v>LFP54</v>
          </cell>
          <cell r="H652" t="str">
            <v>Spin-on Oil Filter</v>
          </cell>
        </row>
        <row r="653">
          <cell r="G653" t="str">
            <v>LFP2698</v>
          </cell>
          <cell r="H653" t="str">
            <v>Spin-on Oil Filter</v>
          </cell>
        </row>
        <row r="654">
          <cell r="G654" t="str">
            <v>LFH4926</v>
          </cell>
          <cell r="H654" t="str">
            <v>Spin-on Hydraulic Filter</v>
          </cell>
        </row>
        <row r="655">
          <cell r="G655" t="str">
            <v>AF104</v>
          </cell>
          <cell r="H655" t="str">
            <v>Round Air Filter</v>
          </cell>
        </row>
        <row r="656">
          <cell r="G656" t="str">
            <v>LAF1465</v>
          </cell>
          <cell r="H656" t="str">
            <v>HD Metal-End Air Filter</v>
          </cell>
        </row>
        <row r="657">
          <cell r="G657" t="str">
            <v>LFF7415</v>
          </cell>
          <cell r="H657" t="str">
            <v>Spin-on Fuel Water Separator Filter</v>
          </cell>
        </row>
        <row r="658">
          <cell r="G658" t="str">
            <v>AF3174</v>
          </cell>
          <cell r="H658" t="str">
            <v>Flexible Panel Air Filter</v>
          </cell>
        </row>
        <row r="659">
          <cell r="G659" t="str">
            <v>CAF1817P</v>
          </cell>
          <cell r="H659" t="str">
            <v>Cabin Air Filter</v>
          </cell>
        </row>
        <row r="660">
          <cell r="G660" t="str">
            <v>LFF9594</v>
          </cell>
          <cell r="H660" t="str">
            <v>Spin-on Fuel Filter</v>
          </cell>
        </row>
        <row r="661">
          <cell r="G661" t="str">
            <v>LFF5406</v>
          </cell>
          <cell r="H661" t="str">
            <v>Spin-on Fuel Filter</v>
          </cell>
        </row>
        <row r="662">
          <cell r="G662" t="str">
            <v>G6367</v>
          </cell>
          <cell r="H662" t="str">
            <v>In-Line Fuel Filter</v>
          </cell>
        </row>
        <row r="663">
          <cell r="G663" t="str">
            <v>LFP2200C</v>
          </cell>
          <cell r="H663" t="str">
            <v>Spin-on Fuel Water Separator Coalescer Filter</v>
          </cell>
        </row>
        <row r="664">
          <cell r="G664" t="str">
            <v>LFP923</v>
          </cell>
          <cell r="H664" t="str">
            <v>Spin-on Oil Filter</v>
          </cell>
        </row>
        <row r="665">
          <cell r="G665" t="str">
            <v>AF70</v>
          </cell>
          <cell r="H665" t="str">
            <v>Round Air Filter</v>
          </cell>
        </row>
        <row r="666">
          <cell r="G666" t="str">
            <v>G1</v>
          </cell>
          <cell r="H666" t="str">
            <v>In-Line Fuel Filter</v>
          </cell>
        </row>
        <row r="667">
          <cell r="G667" t="str">
            <v>L5098F</v>
          </cell>
          <cell r="H667" t="str">
            <v>Cartridge Fuel Filter</v>
          </cell>
        </row>
        <row r="668">
          <cell r="G668" t="str">
            <v>AF6908</v>
          </cell>
          <cell r="H668" t="str">
            <v>Radial Seal Air Filter</v>
          </cell>
        </row>
        <row r="669">
          <cell r="G669" t="str">
            <v>LP164</v>
          </cell>
          <cell r="H669" t="str">
            <v>Cartridge Oil Filter</v>
          </cell>
        </row>
        <row r="670">
          <cell r="G670" t="str">
            <v>CAF1816C</v>
          </cell>
          <cell r="H670" t="str">
            <v>Cabin Air Filter (Carbon)</v>
          </cell>
        </row>
        <row r="671">
          <cell r="G671" t="str">
            <v>P346</v>
          </cell>
          <cell r="H671" t="str">
            <v>Cartridge Hydraulic Filter</v>
          </cell>
        </row>
        <row r="672">
          <cell r="G672" t="str">
            <v>LFF3293</v>
          </cell>
          <cell r="H672" t="str">
            <v>Bowl Style Fuel Water Separator Filter</v>
          </cell>
        </row>
        <row r="673">
          <cell r="G673" t="str">
            <v>LFP5084</v>
          </cell>
          <cell r="H673" t="str">
            <v>Spin-on Oil Filter</v>
          </cell>
        </row>
        <row r="674">
          <cell r="G674" t="str">
            <v>AF3171</v>
          </cell>
          <cell r="H674" t="str">
            <v>Flexible Panel Air Filter</v>
          </cell>
        </row>
        <row r="675">
          <cell r="G675" t="str">
            <v>L3580F</v>
          </cell>
          <cell r="H675" t="str">
            <v>Cartridge Fuel Water Separator Filter</v>
          </cell>
        </row>
        <row r="676">
          <cell r="G676" t="str">
            <v>PH7028</v>
          </cell>
          <cell r="H676" t="str">
            <v>Spin-on Oil Filter</v>
          </cell>
        </row>
        <row r="677">
          <cell r="G677" t="str">
            <v>AF208</v>
          </cell>
          <cell r="H677" t="str">
            <v>Round Air Filter</v>
          </cell>
        </row>
        <row r="678">
          <cell r="G678" t="str">
            <v>P1027</v>
          </cell>
          <cell r="H678" t="str">
            <v>Cartridge Oil Filter</v>
          </cell>
        </row>
        <row r="679">
          <cell r="G679">
            <v>272</v>
          </cell>
          <cell r="H679" t="str">
            <v>Detergent Type Oil Filter, Luber-finer 272-C, Diesel Pak</v>
          </cell>
        </row>
        <row r="680">
          <cell r="G680" t="str">
            <v>LAF2521</v>
          </cell>
          <cell r="H680" t="str">
            <v>Disposible Housing Air Filter</v>
          </cell>
        </row>
        <row r="681">
          <cell r="G681" t="str">
            <v>AF3612</v>
          </cell>
          <cell r="H681" t="str">
            <v>Rigid Panel Air Filter</v>
          </cell>
        </row>
        <row r="682">
          <cell r="G682" t="str">
            <v>LFP936F</v>
          </cell>
          <cell r="H682" t="str">
            <v>Spin-on Fuel Filter</v>
          </cell>
        </row>
        <row r="683">
          <cell r="G683" t="str">
            <v>LFF6929</v>
          </cell>
          <cell r="H683" t="str">
            <v>Spin-on Fuel Filter</v>
          </cell>
        </row>
        <row r="684">
          <cell r="G684" t="str">
            <v>LFF3886</v>
          </cell>
          <cell r="H684" t="str">
            <v>Spin-on Fuel Filter</v>
          </cell>
        </row>
        <row r="685">
          <cell r="G685" t="str">
            <v>LAF2745A</v>
          </cell>
          <cell r="H685" t="str">
            <v>Finned Vane Air Filter</v>
          </cell>
        </row>
        <row r="686">
          <cell r="G686" t="str">
            <v>LFH8399</v>
          </cell>
          <cell r="H686" t="str">
            <v>Spin-on Hydraulic Filter</v>
          </cell>
        </row>
        <row r="687">
          <cell r="G687" t="str">
            <v>LP163</v>
          </cell>
          <cell r="H687" t="str">
            <v>Cartridge Oil Filter</v>
          </cell>
        </row>
        <row r="688">
          <cell r="G688" t="str">
            <v>P1069</v>
          </cell>
          <cell r="H688" t="str">
            <v>Cartridge Oil Filter</v>
          </cell>
        </row>
        <row r="689">
          <cell r="G689" t="str">
            <v>P980</v>
          </cell>
          <cell r="H689" t="str">
            <v>Cartridge Oil Filter</v>
          </cell>
        </row>
        <row r="690">
          <cell r="G690" t="str">
            <v>LFH8490</v>
          </cell>
          <cell r="H690" t="str">
            <v>Spin-on Hydraulic Filter</v>
          </cell>
        </row>
        <row r="691">
          <cell r="G691" t="str">
            <v>LAF4273</v>
          </cell>
          <cell r="H691" t="str">
            <v>Radial Seal Outer Air Filter</v>
          </cell>
        </row>
        <row r="692">
          <cell r="G692" t="str">
            <v>LFH4972</v>
          </cell>
          <cell r="H692" t="str">
            <v>Spin-on Hydraulic Filter</v>
          </cell>
        </row>
        <row r="693">
          <cell r="G693" t="str">
            <v>LFP944F</v>
          </cell>
          <cell r="H693" t="str">
            <v>Spin-on Fuel Filter</v>
          </cell>
        </row>
        <row r="694">
          <cell r="G694" t="str">
            <v>LFP958F</v>
          </cell>
          <cell r="H694" t="str">
            <v>Spin-on Fuel Filter</v>
          </cell>
        </row>
        <row r="695">
          <cell r="G695" t="str">
            <v>LFH22003</v>
          </cell>
          <cell r="H695" t="str">
            <v>Spin-on Hydraulic Filter</v>
          </cell>
        </row>
        <row r="696">
          <cell r="G696" t="str">
            <v>LAF1819</v>
          </cell>
          <cell r="H696" t="str">
            <v>HD Metal-End Air Filter</v>
          </cell>
        </row>
        <row r="697">
          <cell r="G697" t="str">
            <v>LFF3800</v>
          </cell>
          <cell r="H697" t="str">
            <v>Spin-on Fuel Filter</v>
          </cell>
        </row>
        <row r="698">
          <cell r="G698" t="str">
            <v>L5021F</v>
          </cell>
          <cell r="H698" t="str">
            <v>Cartridge Fuel Water Separator Coalescer filter</v>
          </cell>
        </row>
        <row r="699">
          <cell r="G699" t="str">
            <v>LFF870</v>
          </cell>
          <cell r="H699" t="str">
            <v>Cartridge Fuel Filter</v>
          </cell>
        </row>
        <row r="700">
          <cell r="G700" t="str">
            <v>LAF8486</v>
          </cell>
          <cell r="H700" t="str">
            <v>Disposible Housing Air Filter</v>
          </cell>
        </row>
        <row r="701">
          <cell r="G701" t="str">
            <v>P3969</v>
          </cell>
          <cell r="H701" t="str">
            <v>Cartridge Oil Filter</v>
          </cell>
        </row>
        <row r="702">
          <cell r="G702" t="str">
            <v>LAF5023</v>
          </cell>
          <cell r="H702" t="str">
            <v>Oval Air Filter</v>
          </cell>
        </row>
        <row r="703">
          <cell r="G703" t="str">
            <v>LFP925F</v>
          </cell>
          <cell r="H703" t="str">
            <v>Spin-on Fuel Filter</v>
          </cell>
        </row>
        <row r="704">
          <cell r="G704" t="str">
            <v>LFF3518</v>
          </cell>
          <cell r="H704" t="str">
            <v>Spin-on Fuel Filter</v>
          </cell>
        </row>
        <row r="705">
          <cell r="G705" t="str">
            <v>AF1754</v>
          </cell>
          <cell r="H705" t="str">
            <v>Flexible Panel Air Filter</v>
          </cell>
        </row>
        <row r="706">
          <cell r="G706" t="str">
            <v>LAF1869</v>
          </cell>
          <cell r="H706" t="str">
            <v>Panel Air Filter Irregular Shaped</v>
          </cell>
        </row>
        <row r="707">
          <cell r="G707" t="str">
            <v>LFF5322</v>
          </cell>
          <cell r="H707" t="str">
            <v>Spin-on Fuel Filter</v>
          </cell>
        </row>
        <row r="708">
          <cell r="G708" t="str">
            <v>LFF3504</v>
          </cell>
          <cell r="H708" t="str">
            <v>Spin-on Fuel Filter</v>
          </cell>
        </row>
        <row r="709">
          <cell r="G709" t="str">
            <v>LFH8417</v>
          </cell>
          <cell r="H709" t="str">
            <v>Spin-on Hydraulic Filter</v>
          </cell>
        </row>
        <row r="710">
          <cell r="G710" t="str">
            <v>LAF1095</v>
          </cell>
          <cell r="H710" t="str">
            <v>HD Metal-End Air Filter</v>
          </cell>
        </row>
        <row r="711">
          <cell r="G711" t="str">
            <v>LP7329XL</v>
          </cell>
          <cell r="H711" t="str">
            <v>Extended Life Cartridge Oil Filter</v>
          </cell>
        </row>
        <row r="712">
          <cell r="G712" t="str">
            <v>LAF1918</v>
          </cell>
          <cell r="H712" t="str">
            <v>Round Air Filter</v>
          </cell>
        </row>
        <row r="713">
          <cell r="G713" t="str">
            <v>PH2863B</v>
          </cell>
          <cell r="H713" t="str">
            <v>Spin-on Oil Filter</v>
          </cell>
        </row>
        <row r="714">
          <cell r="G714" t="str">
            <v>FP585F</v>
          </cell>
          <cell r="H714" t="str">
            <v>Spin-on Fuel Filter</v>
          </cell>
        </row>
        <row r="715">
          <cell r="G715" t="str">
            <v>LFF5089</v>
          </cell>
          <cell r="H715" t="str">
            <v>Spin-on Fuel Water Separator Filter</v>
          </cell>
        </row>
        <row r="716">
          <cell r="G716" t="str">
            <v>LFF2040</v>
          </cell>
          <cell r="H716" t="str">
            <v>Cartridge Fuel Water Separator Filter</v>
          </cell>
        </row>
        <row r="717">
          <cell r="G717" t="str">
            <v>LFP7181</v>
          </cell>
          <cell r="H717" t="str">
            <v>Spin-on Oil Filter</v>
          </cell>
        </row>
        <row r="718">
          <cell r="G718" t="str">
            <v>CAF1767</v>
          </cell>
          <cell r="H718" t="str">
            <v>Cabin Air Filter</v>
          </cell>
        </row>
        <row r="719">
          <cell r="G719" t="str">
            <v>LAF1854</v>
          </cell>
          <cell r="H719" t="str">
            <v>HD Metal-End Inner Air Filter</v>
          </cell>
        </row>
        <row r="720">
          <cell r="G720" t="str">
            <v>LAF8145</v>
          </cell>
          <cell r="H720" t="str">
            <v>Radial Seal Outer Air Filter</v>
          </cell>
        </row>
        <row r="721">
          <cell r="G721" t="str">
            <v>LFF1131</v>
          </cell>
          <cell r="H721" t="str">
            <v>Box-type Fuel Filter</v>
          </cell>
        </row>
        <row r="722">
          <cell r="G722" t="str">
            <v>LAF6102</v>
          </cell>
          <cell r="H722" t="str">
            <v>Flexible Panel Air Filter</v>
          </cell>
        </row>
        <row r="723">
          <cell r="G723" t="str">
            <v>FP625</v>
          </cell>
          <cell r="H723" t="str">
            <v>Spin-on Fuel Filter</v>
          </cell>
        </row>
        <row r="724">
          <cell r="G724" t="str">
            <v>LAF1858</v>
          </cell>
          <cell r="H724" t="str">
            <v>Finned Vane Air Filter</v>
          </cell>
        </row>
        <row r="725">
          <cell r="G725" t="str">
            <v>AF644</v>
          </cell>
          <cell r="H725" t="str">
            <v>Round Air Filter</v>
          </cell>
        </row>
        <row r="726">
          <cell r="G726" t="str">
            <v>PH2873</v>
          </cell>
          <cell r="H726" t="str">
            <v>Spin-on OIl Filter</v>
          </cell>
        </row>
        <row r="727">
          <cell r="G727" t="str">
            <v>RG4082</v>
          </cell>
          <cell r="H727" t="str">
            <v>Air Restriction Guage</v>
          </cell>
        </row>
        <row r="728">
          <cell r="G728" t="str">
            <v>LFF5510-30</v>
          </cell>
          <cell r="H728" t="str">
            <v>Fuel Dispensing Filter</v>
          </cell>
        </row>
        <row r="729">
          <cell r="G729" t="str">
            <v>LFH4902</v>
          </cell>
          <cell r="H729" t="str">
            <v>Spin-on Hydraulic Filter</v>
          </cell>
        </row>
        <row r="730">
          <cell r="G730" t="str">
            <v>G3/8CP</v>
          </cell>
          <cell r="H730" t="str">
            <v>Clear Plastic In-Line Fuel</v>
          </cell>
        </row>
        <row r="731">
          <cell r="G731" t="str">
            <v>LFF5106</v>
          </cell>
          <cell r="H731" t="str">
            <v>Spin-on Fuel Water Separator Filter</v>
          </cell>
        </row>
        <row r="732">
          <cell r="G732" t="str">
            <v>LAF6681</v>
          </cell>
          <cell r="H732" t="str">
            <v>Radial Seal Air Filter (Primary)</v>
          </cell>
        </row>
        <row r="733">
          <cell r="G733" t="str">
            <v>LAF588</v>
          </cell>
          <cell r="H733" t="str">
            <v>Round Air Filter</v>
          </cell>
        </row>
        <row r="734">
          <cell r="G734" t="str">
            <v>LAF9096</v>
          </cell>
          <cell r="H734" t="str">
            <v>Flexible Panel Air Filter</v>
          </cell>
        </row>
        <row r="735">
          <cell r="G735" t="str">
            <v>LFP811F</v>
          </cell>
          <cell r="H735" t="str">
            <v>Spin-on Fuel Filter</v>
          </cell>
        </row>
        <row r="736">
          <cell r="G736" t="str">
            <v>LAF8427</v>
          </cell>
          <cell r="H736" t="str">
            <v>Disposible Housing Air Filter</v>
          </cell>
        </row>
        <row r="737">
          <cell r="G737" t="str">
            <v>PB50</v>
          </cell>
          <cell r="H737" t="str">
            <v>Spin-on By-Pass Oil FIlter</v>
          </cell>
        </row>
        <row r="738">
          <cell r="G738" t="str">
            <v>LFF4293</v>
          </cell>
          <cell r="H738" t="str">
            <v>Spin-on Fuel Filter</v>
          </cell>
        </row>
        <row r="739">
          <cell r="G739" t="str">
            <v>LAF1828</v>
          </cell>
          <cell r="H739" t="str">
            <v>Disposible Housing Air Filter</v>
          </cell>
        </row>
        <row r="740">
          <cell r="G740" t="str">
            <v>T194</v>
          </cell>
          <cell r="H740" t="str">
            <v>Transmission Filter Kit</v>
          </cell>
        </row>
        <row r="741">
          <cell r="G741" t="str">
            <v>LFH5809</v>
          </cell>
          <cell r="H741" t="str">
            <v>Spin-on Hydraulic Filter</v>
          </cell>
        </row>
        <row r="742">
          <cell r="G742" t="str">
            <v>LAF694</v>
          </cell>
          <cell r="H742" t="str">
            <v>Cone Shaped Conical Air Filter</v>
          </cell>
        </row>
        <row r="743">
          <cell r="G743" t="str">
            <v>LP151</v>
          </cell>
          <cell r="H743" t="str">
            <v>Cartridge Oil Filter</v>
          </cell>
        </row>
        <row r="744">
          <cell r="G744" t="str">
            <v>LP970-5</v>
          </cell>
          <cell r="H744" t="str">
            <v>Cartridge Oil Filter</v>
          </cell>
        </row>
        <row r="745">
          <cell r="G745" t="str">
            <v>LAF3948</v>
          </cell>
          <cell r="H745" t="str">
            <v>Radial Seal Inner Air Filter</v>
          </cell>
        </row>
        <row r="746">
          <cell r="G746" t="str">
            <v>L8242F</v>
          </cell>
          <cell r="H746" t="str">
            <v>Cartridge Fuel Filter</v>
          </cell>
        </row>
        <row r="747">
          <cell r="G747" t="str">
            <v>AF7856</v>
          </cell>
          <cell r="H747" t="str">
            <v>Round Air Filter</v>
          </cell>
        </row>
        <row r="748">
          <cell r="G748" t="str">
            <v>LAF5255</v>
          </cell>
          <cell r="H748" t="str">
            <v>Finned Vane Air Filter</v>
          </cell>
        </row>
        <row r="749">
          <cell r="G749" t="str">
            <v>PH2817</v>
          </cell>
          <cell r="H749" t="str">
            <v>Spin-on Oil Filter</v>
          </cell>
        </row>
        <row r="750">
          <cell r="G750" t="str">
            <v>LFF3526</v>
          </cell>
          <cell r="H750" t="str">
            <v>Spin-on Fuel Filter</v>
          </cell>
        </row>
        <row r="751">
          <cell r="G751" t="str">
            <v>LP7329</v>
          </cell>
          <cell r="H751" t="str">
            <v>Cartridge Oil Filter</v>
          </cell>
        </row>
        <row r="752">
          <cell r="G752" t="str">
            <v>LFF6925</v>
          </cell>
          <cell r="H752" t="str">
            <v>Spin-on Fuel Filter</v>
          </cell>
        </row>
        <row r="753">
          <cell r="G753" t="str">
            <v>AF5216</v>
          </cell>
          <cell r="H753" t="str">
            <v>Flexible Panel Air Filter</v>
          </cell>
        </row>
        <row r="754">
          <cell r="G754" t="str">
            <v>AF3139</v>
          </cell>
          <cell r="H754" t="str">
            <v>Flexible Panel Air Filter</v>
          </cell>
        </row>
        <row r="755">
          <cell r="G755" t="str">
            <v>LFF90013</v>
          </cell>
          <cell r="H755" t="str">
            <v>Bowl Style Fuel Water Separator Filter</v>
          </cell>
        </row>
        <row r="756">
          <cell r="G756" t="str">
            <v>LFF8061</v>
          </cell>
          <cell r="H756" t="str">
            <v>Spin-on Fuel Filter</v>
          </cell>
        </row>
        <row r="757">
          <cell r="G757" t="str">
            <v>L22023F</v>
          </cell>
          <cell r="H757" t="str">
            <v>Snap-lock Fuel/Water Separator Filter</v>
          </cell>
        </row>
        <row r="758">
          <cell r="G758" t="str">
            <v>LAF5934</v>
          </cell>
          <cell r="H758" t="str">
            <v>Corrugated Media Air Filter</v>
          </cell>
        </row>
        <row r="759">
          <cell r="G759" t="str">
            <v>T619</v>
          </cell>
          <cell r="H759" t="str">
            <v>Transmission Filter Kit</v>
          </cell>
        </row>
        <row r="760">
          <cell r="G760" t="str">
            <v>LFH22027</v>
          </cell>
          <cell r="H760" t="str">
            <v>Spin-on Hydraulic Filter</v>
          </cell>
        </row>
        <row r="761">
          <cell r="G761" t="str">
            <v>AF5210</v>
          </cell>
          <cell r="H761" t="str">
            <v>Rigid Panel Air Filter</v>
          </cell>
        </row>
        <row r="762">
          <cell r="G762" t="str">
            <v>CAF1869P</v>
          </cell>
          <cell r="H762" t="str">
            <v>Cabin Air Filter</v>
          </cell>
        </row>
        <row r="763">
          <cell r="G763" t="str">
            <v>LAF5938</v>
          </cell>
          <cell r="H763" t="str">
            <v>Corrugated Media Air Filter</v>
          </cell>
        </row>
        <row r="764">
          <cell r="G764" t="str">
            <v>750</v>
          </cell>
          <cell r="H764" t="str">
            <v>Refining Oil Filter lement with Alumina used with Luberfiner 750 Units</v>
          </cell>
        </row>
        <row r="765">
          <cell r="G765" t="str">
            <v>261F</v>
          </cell>
          <cell r="H765" t="str">
            <v>Cartridge Fuel Filter</v>
          </cell>
        </row>
        <row r="766">
          <cell r="G766" t="str">
            <v>LFH22052</v>
          </cell>
          <cell r="H766" t="str">
            <v>Spin-on Hydraulic Filter</v>
          </cell>
        </row>
        <row r="767">
          <cell r="G767" t="str">
            <v>LAF22056</v>
          </cell>
          <cell r="H767" t="str">
            <v>Radial Seal Inner Air Filter Inner</v>
          </cell>
        </row>
        <row r="768">
          <cell r="G768" t="str">
            <v>AF1300</v>
          </cell>
          <cell r="H768" t="str">
            <v>Radial Seal Air Filter</v>
          </cell>
        </row>
        <row r="769">
          <cell r="G769" t="str">
            <v>LAF9373</v>
          </cell>
          <cell r="H769" t="str">
            <v>Round Inner Air Filter</v>
          </cell>
        </row>
        <row r="770">
          <cell r="G770" t="str">
            <v>LFH8217</v>
          </cell>
          <cell r="H770" t="str">
            <v>Spin-on Hydraulic Filter</v>
          </cell>
        </row>
        <row r="771">
          <cell r="G771" t="str">
            <v>LAF1826</v>
          </cell>
          <cell r="H771" t="str">
            <v>HD Metal-End Air Filter</v>
          </cell>
        </row>
        <row r="772">
          <cell r="G772" t="str">
            <v>AF7877</v>
          </cell>
          <cell r="H772" t="str">
            <v>Flexible Panel Air Filter</v>
          </cell>
        </row>
        <row r="773">
          <cell r="G773" t="str">
            <v>LFP3712</v>
          </cell>
          <cell r="H773" t="str">
            <v>Spin-on Oil Filter</v>
          </cell>
        </row>
        <row r="774">
          <cell r="G774" t="str">
            <v>L8893F</v>
          </cell>
          <cell r="H774" t="str">
            <v>Cartridge Fuel Filter</v>
          </cell>
        </row>
        <row r="775">
          <cell r="G775" t="str">
            <v>LFP2546</v>
          </cell>
          <cell r="H775" t="str">
            <v>Spin-on Oil Filter</v>
          </cell>
        </row>
        <row r="776">
          <cell r="G776" t="str">
            <v>LAF3916</v>
          </cell>
          <cell r="H776" t="str">
            <v>HD Metal-End Air Filter</v>
          </cell>
        </row>
        <row r="777">
          <cell r="G777" t="str">
            <v>LAF1845</v>
          </cell>
          <cell r="H777" t="str">
            <v>HD Round Air Filter with Attached Boot</v>
          </cell>
        </row>
        <row r="778">
          <cell r="G778" t="str">
            <v>LAF265HD</v>
          </cell>
          <cell r="H778" t="str">
            <v>HD Metal-End Air Filter</v>
          </cell>
        </row>
        <row r="779">
          <cell r="G779" t="str">
            <v>PH6715</v>
          </cell>
          <cell r="H779" t="str">
            <v>Spin-on Oil Filter</v>
          </cell>
        </row>
        <row r="780">
          <cell r="G780" t="str">
            <v>L1645C</v>
          </cell>
          <cell r="H780" t="str">
            <v>Sock Type Oil Filter</v>
          </cell>
        </row>
        <row r="781">
          <cell r="G781" t="str">
            <v>L3541F</v>
          </cell>
          <cell r="H781" t="str">
            <v>Cartridge Fuel Filter</v>
          </cell>
        </row>
        <row r="782">
          <cell r="G782" t="str">
            <v>LH4591G</v>
          </cell>
          <cell r="H782" t="str">
            <v>Cartridge Power Steering (Hydraulic) Filter</v>
          </cell>
        </row>
        <row r="783">
          <cell r="G783" t="str">
            <v>LFF4511</v>
          </cell>
          <cell r="H783" t="str">
            <v>Fuel Dispensing Filter</v>
          </cell>
        </row>
        <row r="784">
          <cell r="G784" t="str">
            <v>PH2904</v>
          </cell>
          <cell r="H784" t="str">
            <v>Spin-on Oil Filter</v>
          </cell>
        </row>
        <row r="785">
          <cell r="G785" t="str">
            <v>LAF1784</v>
          </cell>
          <cell r="H785" t="str">
            <v>HD Metal-End Air Filter-Inner</v>
          </cell>
        </row>
        <row r="786">
          <cell r="G786" t="str">
            <v>LAF241HD</v>
          </cell>
          <cell r="H786" t="str">
            <v>Finned Vane Air Filter</v>
          </cell>
        </row>
        <row r="787">
          <cell r="G787" t="str">
            <v>LFH1702</v>
          </cell>
          <cell r="H787" t="str">
            <v>Spin-on Hydraulic Filter</v>
          </cell>
        </row>
        <row r="788">
          <cell r="G788" t="str">
            <v>LAF5868</v>
          </cell>
          <cell r="H788" t="str">
            <v>Radial Seal Inner Air Filter</v>
          </cell>
        </row>
        <row r="789">
          <cell r="G789" t="str">
            <v>LAF1747</v>
          </cell>
          <cell r="H789" t="str">
            <v>HD Metal-End Air Filter</v>
          </cell>
        </row>
        <row r="790">
          <cell r="G790" t="str">
            <v>LAF22026</v>
          </cell>
          <cell r="H790" t="str">
            <v>Disposible Housing Air Filter</v>
          </cell>
        </row>
        <row r="791">
          <cell r="G791" t="str">
            <v>LFF4102</v>
          </cell>
          <cell r="H791" t="str">
            <v>Spin-on Fuel Filter</v>
          </cell>
        </row>
        <row r="792">
          <cell r="G792" t="str">
            <v>LFH8728</v>
          </cell>
          <cell r="H792" t="str">
            <v>Spin-on Hydraulic Filter</v>
          </cell>
        </row>
        <row r="793">
          <cell r="G793" t="str">
            <v>LFH8534</v>
          </cell>
          <cell r="H793" t="str">
            <v>Spin-on Hydraulic Filter</v>
          </cell>
        </row>
        <row r="794">
          <cell r="G794" t="str">
            <v>LAF234HD</v>
          </cell>
          <cell r="H794" t="str">
            <v>Finned Vane Air Filter</v>
          </cell>
        </row>
        <row r="795">
          <cell r="G795" t="str">
            <v>LFH4268</v>
          </cell>
          <cell r="H795" t="str">
            <v>Spin-on Hydraulic Filter</v>
          </cell>
        </row>
        <row r="796">
          <cell r="G796" t="str">
            <v>L3556F</v>
          </cell>
          <cell r="H796" t="str">
            <v>Cartridge Fuel Filter</v>
          </cell>
        </row>
        <row r="797">
          <cell r="G797" t="str">
            <v>ZKIT9750</v>
          </cell>
          <cell r="H797" t="str">
            <v>Oil Filter &amp; Mtg Base Kit</v>
          </cell>
        </row>
        <row r="798">
          <cell r="G798" t="str">
            <v>LAF15</v>
          </cell>
          <cell r="H798" t="str">
            <v>Rigid Panel Air Filter</v>
          </cell>
        </row>
        <row r="799">
          <cell r="G799" t="str">
            <v>LAF1834</v>
          </cell>
          <cell r="H799" t="str">
            <v>HD Metal-End Air Filter</v>
          </cell>
        </row>
        <row r="800">
          <cell r="G800" t="str">
            <v>LFP9024</v>
          </cell>
          <cell r="H800" t="str">
            <v>Spin-on Oil Filter</v>
          </cell>
        </row>
        <row r="801">
          <cell r="G801" t="str">
            <v>LAF5314</v>
          </cell>
          <cell r="H801" t="str">
            <v>Flexible Panel Air Filter</v>
          </cell>
        </row>
        <row r="802">
          <cell r="G802" t="str">
            <v>LP566</v>
          </cell>
          <cell r="H802" t="str">
            <v>Cartridge Oil Filter</v>
          </cell>
        </row>
        <row r="803">
          <cell r="G803" t="str">
            <v>CAF24006</v>
          </cell>
          <cell r="H803" t="str">
            <v>Cabin Air Filter</v>
          </cell>
        </row>
        <row r="804">
          <cell r="G804" t="str">
            <v>750CT</v>
          </cell>
          <cell r="H804" t="str">
            <v>Diesel Unit Universal Mount Filter 750-CT</v>
          </cell>
        </row>
        <row r="805">
          <cell r="G805" t="str">
            <v>LH4589G</v>
          </cell>
          <cell r="H805" t="str">
            <v>Cartridge Power Steering (Hydraulic) Filter</v>
          </cell>
        </row>
        <row r="806">
          <cell r="G806" t="str">
            <v>LH5001</v>
          </cell>
          <cell r="H806" t="str">
            <v>Cartridge Hydraulic Filter</v>
          </cell>
        </row>
        <row r="807">
          <cell r="G807" t="str">
            <v>LP6005</v>
          </cell>
          <cell r="H807" t="str">
            <v>Spin-on Hydraulic Filter</v>
          </cell>
        </row>
        <row r="808">
          <cell r="G808" t="str">
            <v>AF1618</v>
          </cell>
          <cell r="H808" t="str">
            <v>Flexible Panel Air Filter</v>
          </cell>
        </row>
        <row r="809">
          <cell r="G809" t="str">
            <v>LFH5011W-30</v>
          </cell>
          <cell r="H809" t="str">
            <v>Spin-on Hydraulic Filter</v>
          </cell>
        </row>
        <row r="810">
          <cell r="G810" t="str">
            <v>LAF71</v>
          </cell>
          <cell r="H810" t="str">
            <v>HD Metal-End Air Filter</v>
          </cell>
        </row>
        <row r="811">
          <cell r="G811" t="str">
            <v>L8867F</v>
          </cell>
          <cell r="H811" t="str">
            <v>Snap-Lock Fuel Filter</v>
          </cell>
        </row>
        <row r="812">
          <cell r="G812" t="str">
            <v>LFP5723</v>
          </cell>
          <cell r="H812" t="str">
            <v>Spin-on Oil Filter</v>
          </cell>
        </row>
        <row r="813">
          <cell r="G813" t="str">
            <v>LAF1680</v>
          </cell>
          <cell r="H813" t="str">
            <v>Flexible Panel Air Filter</v>
          </cell>
        </row>
        <row r="814">
          <cell r="G814" t="str">
            <v>LAF6587</v>
          </cell>
          <cell r="H814" t="str">
            <v>HD Metal-End Air Filter</v>
          </cell>
        </row>
        <row r="815">
          <cell r="G815" t="str">
            <v>PH2892</v>
          </cell>
          <cell r="H815" t="str">
            <v>Spin-on Oil Filter</v>
          </cell>
        </row>
        <row r="816">
          <cell r="G816" t="str">
            <v>LFP8752</v>
          </cell>
          <cell r="H816" t="str">
            <v>Spin-on Oil Filter</v>
          </cell>
        </row>
        <row r="817">
          <cell r="G817" t="str">
            <v>LFF9897</v>
          </cell>
          <cell r="H817" t="str">
            <v>HD Fuel Spin-on Filter</v>
          </cell>
        </row>
        <row r="818">
          <cell r="G818" t="str">
            <v>LH1145</v>
          </cell>
          <cell r="H818" t="str">
            <v>Cartridge Power Steering (Hydraulic) Filter</v>
          </cell>
        </row>
        <row r="819">
          <cell r="G819" t="str">
            <v>LAF4502</v>
          </cell>
          <cell r="H819" t="str">
            <v>Radial Seal Inner Air Filter</v>
          </cell>
        </row>
        <row r="820">
          <cell r="G820" t="str">
            <v>LAF1732</v>
          </cell>
          <cell r="H820" t="str">
            <v>HD Metal-End Air Filter</v>
          </cell>
        </row>
        <row r="821">
          <cell r="G821" t="str">
            <v>L552F</v>
          </cell>
          <cell r="H821" t="str">
            <v>Cartridge Fuel Filter</v>
          </cell>
        </row>
        <row r="822">
          <cell r="G822" t="str">
            <v>LMB900</v>
          </cell>
          <cell r="H822" t="str">
            <v>Mounting Base for LFF5, LFF5D, LFF1000, LFF1001, LFF1003, LFF2749, LFF5823B, LFF8000, LFF8707, and LFP440F. 1x14 mounting threads and 7/8 x 14 inlet and outlet.</v>
          </cell>
        </row>
        <row r="823">
          <cell r="G823" t="str">
            <v>LAF9101</v>
          </cell>
          <cell r="H823" t="str">
            <v>Radial Seal Outer Air Filter</v>
          </cell>
        </row>
        <row r="824">
          <cell r="G824" t="str">
            <v>LAF4274</v>
          </cell>
          <cell r="H824" t="str">
            <v>Radial Seal Inner Air Filter</v>
          </cell>
        </row>
        <row r="825">
          <cell r="G825" t="str">
            <v>PH2855</v>
          </cell>
          <cell r="H825" t="str">
            <v>Spin-on Oil Filter</v>
          </cell>
        </row>
        <row r="826">
          <cell r="G826" t="str">
            <v>LK109M</v>
          </cell>
          <cell r="H826" t="str">
            <v>Mack Engine Maintenance Kit</v>
          </cell>
        </row>
        <row r="827">
          <cell r="G827" t="str">
            <v>LAF926</v>
          </cell>
          <cell r="H827" t="str">
            <v>HD Metal-End Air Filter</v>
          </cell>
        </row>
        <row r="828">
          <cell r="G828" t="str">
            <v>L274F</v>
          </cell>
          <cell r="H828" t="str">
            <v>Cartridge Fuel Filter</v>
          </cell>
        </row>
        <row r="829">
          <cell r="G829" t="str">
            <v>LFF3581</v>
          </cell>
          <cell r="H829" t="str">
            <v>Spin-on Fuel Water Separator Filter</v>
          </cell>
        </row>
        <row r="830">
          <cell r="G830" t="str">
            <v>L8141F</v>
          </cell>
          <cell r="H830" t="str">
            <v>Cartridge Fuel Filter</v>
          </cell>
        </row>
        <row r="831">
          <cell r="G831" t="str">
            <v>L8680F</v>
          </cell>
          <cell r="H831" t="str">
            <v>Snap-Lock Fuel Filter</v>
          </cell>
        </row>
        <row r="832">
          <cell r="G832" t="str">
            <v>LFH5074G</v>
          </cell>
          <cell r="H832" t="str">
            <v>Spin-on Hydraulic Filter</v>
          </cell>
        </row>
        <row r="833">
          <cell r="G833" t="str">
            <v>LP2854</v>
          </cell>
          <cell r="H833" t="str">
            <v>Cartridge Hydraulic Filter</v>
          </cell>
        </row>
        <row r="834">
          <cell r="G834" t="str">
            <v>CAF1910P</v>
          </cell>
          <cell r="H834" t="str">
            <v>Cabin Air Filter</v>
          </cell>
        </row>
        <row r="835">
          <cell r="G835" t="str">
            <v>CAF1816P</v>
          </cell>
          <cell r="H835" t="str">
            <v>Cabin Air Filter</v>
          </cell>
        </row>
        <row r="836">
          <cell r="G836" t="str">
            <v>P2129</v>
          </cell>
          <cell r="H836" t="str">
            <v>Cartridge Oil Filter</v>
          </cell>
        </row>
        <row r="837">
          <cell r="G837" t="str">
            <v>L6265F</v>
          </cell>
          <cell r="H837" t="str">
            <v>Snap-Lock Fuel Filter</v>
          </cell>
        </row>
        <row r="838">
          <cell r="G838" t="str">
            <v>PH2865</v>
          </cell>
          <cell r="H838" t="str">
            <v>Spin-on Oil Filter</v>
          </cell>
        </row>
        <row r="839">
          <cell r="G839" t="str">
            <v>AF213</v>
          </cell>
          <cell r="H839" t="str">
            <v>Round Air Filter</v>
          </cell>
        </row>
        <row r="840">
          <cell r="G840" t="str">
            <v>T711</v>
          </cell>
          <cell r="H840" t="str">
            <v>Transmission Filter Kit</v>
          </cell>
        </row>
        <row r="841">
          <cell r="G841" t="str">
            <v>LAF1833</v>
          </cell>
          <cell r="H841" t="str">
            <v>Disposible Housing Air Filter</v>
          </cell>
        </row>
        <row r="842">
          <cell r="G842" t="str">
            <v>LFH5011-W</v>
          </cell>
          <cell r="H842" t="str">
            <v>Dispensing Pump Fuel Filter</v>
          </cell>
        </row>
        <row r="843">
          <cell r="G843" t="str">
            <v>L4606F</v>
          </cell>
          <cell r="H843" t="str">
            <v>Fuel Filter Kit Primary/Secondary</v>
          </cell>
        </row>
        <row r="844">
          <cell r="G844" t="str">
            <v>LAF2959</v>
          </cell>
          <cell r="H844" t="str">
            <v>Corrugated Media Air Filter</v>
          </cell>
        </row>
        <row r="845">
          <cell r="G845" t="str">
            <v>LFF5127</v>
          </cell>
          <cell r="H845" t="str">
            <v>Spin-on Fuel Filter</v>
          </cell>
        </row>
        <row r="846">
          <cell r="G846" t="str">
            <v>LAF2532</v>
          </cell>
          <cell r="H846" t="str">
            <v>Disposible Housing Air Filter</v>
          </cell>
        </row>
        <row r="847">
          <cell r="G847" t="str">
            <v>LFF7689</v>
          </cell>
          <cell r="H847" t="str">
            <v>Spin-on Fuel Water Separator Filter</v>
          </cell>
        </row>
        <row r="848">
          <cell r="G848" t="str">
            <v>G124</v>
          </cell>
          <cell r="H848" t="str">
            <v>In-Line Fuel Filter</v>
          </cell>
        </row>
        <row r="849">
          <cell r="G849" t="str">
            <v>LAF9000</v>
          </cell>
          <cell r="H849" t="str">
            <v>HD Metal-End Air Filter</v>
          </cell>
        </row>
        <row r="850">
          <cell r="G850" t="str">
            <v>LFH4473</v>
          </cell>
          <cell r="H850" t="str">
            <v>Spin-on Hydraulic Filter</v>
          </cell>
        </row>
        <row r="851">
          <cell r="G851" t="str">
            <v>LFF5824B</v>
          </cell>
          <cell r="H851" t="str">
            <v>Bowl Style Fuel Water Separator Filter</v>
          </cell>
        </row>
        <row r="852">
          <cell r="G852" t="str">
            <v>LAF263HD</v>
          </cell>
          <cell r="H852" t="str">
            <v>HD Metal-End Air Filter</v>
          </cell>
        </row>
        <row r="853">
          <cell r="G853" t="str">
            <v>L4109F</v>
          </cell>
          <cell r="H853" t="str">
            <v>Snap-lock Fuel/Water Separator Filter</v>
          </cell>
        </row>
        <row r="854">
          <cell r="G854" t="str">
            <v>LFH8759G</v>
          </cell>
          <cell r="H854" t="str">
            <v>Spin-on Hydraulic Filter</v>
          </cell>
        </row>
        <row r="855">
          <cell r="G855" t="str">
            <v>AF1696</v>
          </cell>
          <cell r="H855" t="str">
            <v>Flexible Panel Air Filter</v>
          </cell>
        </row>
        <row r="856">
          <cell r="G856" t="str">
            <v>LH5461</v>
          </cell>
          <cell r="H856" t="str">
            <v>Cartridge Hydraulic Filter</v>
          </cell>
        </row>
        <row r="857">
          <cell r="G857" t="str">
            <v>P995</v>
          </cell>
          <cell r="H857" t="str">
            <v>Cartridge Oil Filter</v>
          </cell>
        </row>
        <row r="858">
          <cell r="G858" t="str">
            <v>LAF2032</v>
          </cell>
          <cell r="H858" t="str">
            <v>Radial Seal Outer Air Filter</v>
          </cell>
        </row>
        <row r="859">
          <cell r="G859" t="str">
            <v>LFF9737</v>
          </cell>
          <cell r="H859" t="str">
            <v>Bowl Style Fuel Water Separator Filter</v>
          </cell>
        </row>
        <row r="860">
          <cell r="G860" t="str">
            <v>G6</v>
          </cell>
          <cell r="H860" t="str">
            <v>Cartridge Fuel Metal Canister Filter</v>
          </cell>
        </row>
        <row r="861">
          <cell r="G861" t="str">
            <v>CAF1893P</v>
          </cell>
          <cell r="H861" t="str">
            <v>Cabin Air Filter</v>
          </cell>
        </row>
        <row r="862">
          <cell r="G862" t="str">
            <v>P960</v>
          </cell>
          <cell r="H862" t="str">
            <v>Cartridge Oil Filter</v>
          </cell>
        </row>
        <row r="863">
          <cell r="G863" t="str">
            <v>LAF5872</v>
          </cell>
          <cell r="H863" t="str">
            <v>Radial Seal Inner Air Filter</v>
          </cell>
        </row>
        <row r="864">
          <cell r="G864" t="str">
            <v>LAF8686</v>
          </cell>
          <cell r="H864" t="str">
            <v>HD Metal-End Air Filter-Inner</v>
          </cell>
        </row>
        <row r="865">
          <cell r="G865" t="str">
            <v>L8891F</v>
          </cell>
          <cell r="H865" t="str">
            <v>Snap-Lock Fuel Filter</v>
          </cell>
        </row>
        <row r="866">
          <cell r="G866" t="str">
            <v>PH2815</v>
          </cell>
          <cell r="H866" t="str">
            <v>Spin-on Oil Filter</v>
          </cell>
        </row>
        <row r="867">
          <cell r="G867" t="str">
            <v>AF3933</v>
          </cell>
          <cell r="H867" t="str">
            <v>Flexible Panel Air Filter</v>
          </cell>
        </row>
        <row r="868">
          <cell r="G868" t="str">
            <v>LAF8772</v>
          </cell>
          <cell r="H868" t="str">
            <v>HD Metal-End Air Filter</v>
          </cell>
        </row>
        <row r="869">
          <cell r="G869" t="str">
            <v>LFH4428</v>
          </cell>
          <cell r="H869" t="str">
            <v>Spin-on Hydraulic Filter</v>
          </cell>
        </row>
        <row r="870">
          <cell r="G870" t="str">
            <v>LFH8726</v>
          </cell>
          <cell r="H870" t="str">
            <v>Spin-on Hydraulic Filter</v>
          </cell>
        </row>
        <row r="871">
          <cell r="G871" t="str">
            <v>LFF3501</v>
          </cell>
          <cell r="H871" t="str">
            <v>Spin-on Fuel Filter</v>
          </cell>
        </row>
        <row r="872">
          <cell r="G872" t="str">
            <v>LP2307</v>
          </cell>
          <cell r="H872" t="str">
            <v>Cartridge Hydraulic Filter</v>
          </cell>
        </row>
        <row r="873">
          <cell r="G873" t="str">
            <v>LFH4471</v>
          </cell>
          <cell r="H873" t="str">
            <v>Spin-on Hydraulic Filter</v>
          </cell>
        </row>
        <row r="874">
          <cell r="G874" t="str">
            <v>P127</v>
          </cell>
          <cell r="H874" t="str">
            <v>Cartridge Oil Filter</v>
          </cell>
        </row>
        <row r="875">
          <cell r="G875" t="str">
            <v>LFF6963</v>
          </cell>
          <cell r="H875" t="str">
            <v>Spin-on Fuel Filter</v>
          </cell>
        </row>
        <row r="876">
          <cell r="G876" t="str">
            <v>L4103F</v>
          </cell>
          <cell r="H876" t="str">
            <v>Cartridge Fuel Filter</v>
          </cell>
        </row>
        <row r="877">
          <cell r="G877" t="str">
            <v>LAF9155</v>
          </cell>
          <cell r="H877" t="str">
            <v>HD Metal-End Air Filter</v>
          </cell>
        </row>
        <row r="878">
          <cell r="G878" t="str">
            <v>LAF8097</v>
          </cell>
          <cell r="H878" t="str">
            <v>Round Air Filter</v>
          </cell>
        </row>
        <row r="879">
          <cell r="G879" t="str">
            <v>LP50910</v>
          </cell>
          <cell r="H879" t="str">
            <v>Cartridge Hydraulic Filter</v>
          </cell>
        </row>
        <row r="880">
          <cell r="G880" t="str">
            <v>LAF8668</v>
          </cell>
          <cell r="H880" t="str">
            <v>Finned Vane Air Filter</v>
          </cell>
        </row>
        <row r="881">
          <cell r="G881" t="str">
            <v>LFF5226</v>
          </cell>
          <cell r="H881" t="str">
            <v>Cartridge Fuel Filter</v>
          </cell>
        </row>
        <row r="882">
          <cell r="G882" t="str">
            <v>LAF1458</v>
          </cell>
          <cell r="H882" t="str">
            <v>Finned Vane Air Filter</v>
          </cell>
        </row>
        <row r="883">
          <cell r="G883" t="str">
            <v>LAF1394</v>
          </cell>
          <cell r="H883" t="str">
            <v>HD Metal-End Air Filter-Inner</v>
          </cell>
        </row>
        <row r="884">
          <cell r="G884" t="str">
            <v>LFF937</v>
          </cell>
          <cell r="H884" t="str">
            <v>Spin-on Fuel Filter</v>
          </cell>
        </row>
        <row r="885">
          <cell r="G885" t="str">
            <v>LAF120A</v>
          </cell>
          <cell r="H885" t="str">
            <v>HD Metal-End Air Filter</v>
          </cell>
        </row>
        <row r="886">
          <cell r="G886" t="str">
            <v>L3103F</v>
          </cell>
          <cell r="H886" t="str">
            <v>Snap-lock Fuel/Water Separator Filter</v>
          </cell>
        </row>
        <row r="887">
          <cell r="G887" t="str">
            <v>L8968F</v>
          </cell>
          <cell r="H887" t="str">
            <v>Cartridge Fuel Filter</v>
          </cell>
        </row>
        <row r="888">
          <cell r="G888" t="str">
            <v>LAF4499</v>
          </cell>
          <cell r="H888" t="str">
            <v>Radial Seal Outer Air Filter</v>
          </cell>
        </row>
        <row r="889">
          <cell r="G889" t="str">
            <v>PH7022</v>
          </cell>
          <cell r="H889" t="str">
            <v>Spin-on Oil Filter</v>
          </cell>
        </row>
        <row r="890">
          <cell r="G890" t="str">
            <v>LAF3535A</v>
          </cell>
          <cell r="H890" t="str">
            <v>HD Metal-End Air Filter</v>
          </cell>
        </row>
        <row r="891">
          <cell r="G891" t="str">
            <v>LH5049</v>
          </cell>
          <cell r="H891" t="str">
            <v>Cartridge Hydraulic Filter</v>
          </cell>
        </row>
        <row r="892">
          <cell r="G892" t="str">
            <v>LFF8255</v>
          </cell>
          <cell r="H892" t="str">
            <v>Spin-on Fuel Water Separator Filter</v>
          </cell>
        </row>
        <row r="893">
          <cell r="G893">
            <v>2361</v>
          </cell>
          <cell r="H893" t="str">
            <v>Vent Plug Washer/272-C, 363-C, 500-C, 750-C, CT, 2C, 3C</v>
          </cell>
        </row>
        <row r="894">
          <cell r="G894" t="str">
            <v>AF146</v>
          </cell>
          <cell r="H894" t="str">
            <v>Round Air Filter</v>
          </cell>
        </row>
        <row r="895">
          <cell r="G895" t="str">
            <v>LAF2342</v>
          </cell>
          <cell r="H895" t="str">
            <v>Radial Seal Outer Air Filter</v>
          </cell>
        </row>
        <row r="896">
          <cell r="G896" t="str">
            <v>L2020FN-30</v>
          </cell>
          <cell r="H896" t="str">
            <v>Cartridge Fuel Water Separator Filter</v>
          </cell>
        </row>
        <row r="897">
          <cell r="G897" t="str">
            <v>LAF8147</v>
          </cell>
          <cell r="H897" t="str">
            <v>Radial Seal Outer Air Filter</v>
          </cell>
        </row>
        <row r="898">
          <cell r="G898" t="str">
            <v>LAF8002</v>
          </cell>
          <cell r="H898" t="str">
            <v>Disposible Housing Air Filter</v>
          </cell>
        </row>
        <row r="899">
          <cell r="G899" t="str">
            <v>LFP3411</v>
          </cell>
          <cell r="H899" t="str">
            <v>Spin-on Oil Filter</v>
          </cell>
        </row>
        <row r="900">
          <cell r="G900" t="str">
            <v>LAF5028</v>
          </cell>
          <cell r="H900" t="str">
            <v>Flexible Panel Air Filter</v>
          </cell>
        </row>
        <row r="901">
          <cell r="G901" t="str">
            <v>LFH22007</v>
          </cell>
          <cell r="H901" t="str">
            <v>Spin-on Hydraulic Filter</v>
          </cell>
        </row>
        <row r="902">
          <cell r="G902" t="str">
            <v>T153</v>
          </cell>
          <cell r="H902" t="str">
            <v>Transmission Filter Kit</v>
          </cell>
        </row>
        <row r="903">
          <cell r="G903" t="str">
            <v>P997</v>
          </cell>
          <cell r="H903" t="str">
            <v>Cartridge Oil Filter</v>
          </cell>
        </row>
        <row r="904">
          <cell r="G904" t="str">
            <v>L3524F</v>
          </cell>
          <cell r="H904" t="str">
            <v>Cartridge Fuel Filter</v>
          </cell>
        </row>
        <row r="905">
          <cell r="G905" t="str">
            <v>L2020F-30</v>
          </cell>
          <cell r="H905" t="str">
            <v>Cartridge Fuel Water Separator Filter</v>
          </cell>
        </row>
        <row r="906">
          <cell r="G906" t="str">
            <v>LFH8294</v>
          </cell>
          <cell r="H906" t="str">
            <v>Spin-on Hydraulic Filter</v>
          </cell>
        </row>
        <row r="907">
          <cell r="G907" t="str">
            <v>LFH8324</v>
          </cell>
          <cell r="H907" t="str">
            <v>Spin-on Hydraulic Filter</v>
          </cell>
        </row>
        <row r="908">
          <cell r="G908" t="str">
            <v>LAF4601</v>
          </cell>
          <cell r="H908" t="str">
            <v>Radial Seal Outer Air Filter</v>
          </cell>
        </row>
        <row r="909">
          <cell r="G909" t="str">
            <v>LFF1537</v>
          </cell>
          <cell r="H909" t="str">
            <v>Spin-on Fuel Filter</v>
          </cell>
        </row>
        <row r="910">
          <cell r="G910" t="str">
            <v>P1013</v>
          </cell>
          <cell r="H910" t="str">
            <v>Cartridge Oil Filter</v>
          </cell>
        </row>
        <row r="911">
          <cell r="G911" t="str">
            <v>LAF6125</v>
          </cell>
          <cell r="H911" t="str">
            <v>Radial Seal Inner Air Filter</v>
          </cell>
        </row>
        <row r="912">
          <cell r="G912" t="str">
            <v>AF5200</v>
          </cell>
          <cell r="H912" t="str">
            <v>Flexible Panel Air Filter</v>
          </cell>
        </row>
        <row r="913">
          <cell r="G913" t="str">
            <v>CAF1845P</v>
          </cell>
          <cell r="H913" t="str">
            <v>Cabin Air Filter</v>
          </cell>
        </row>
        <row r="914">
          <cell r="G914" t="str">
            <v>CAF1766</v>
          </cell>
          <cell r="H914" t="str">
            <v>Cabin Air Filter</v>
          </cell>
        </row>
        <row r="915">
          <cell r="G915" t="str">
            <v>LFH8876</v>
          </cell>
          <cell r="H915" t="str">
            <v>Spin-on Hydraulic Filter</v>
          </cell>
        </row>
        <row r="916">
          <cell r="G916" t="str">
            <v>PH710</v>
          </cell>
          <cell r="H916" t="str">
            <v>Spin-on Oil Filter</v>
          </cell>
        </row>
        <row r="917">
          <cell r="G917" t="str">
            <v>AF308</v>
          </cell>
          <cell r="H917" t="str">
            <v>Oval Air Filter</v>
          </cell>
        </row>
        <row r="918">
          <cell r="G918" t="str">
            <v>LP6061</v>
          </cell>
          <cell r="H918" t="str">
            <v>Cartridge Oil Filter</v>
          </cell>
        </row>
        <row r="919">
          <cell r="G919" t="str">
            <v>LFP255F</v>
          </cell>
          <cell r="H919" t="str">
            <v>Spin-on Fuel Filter</v>
          </cell>
        </row>
        <row r="920">
          <cell r="G920" t="str">
            <v>LAF5568</v>
          </cell>
          <cell r="H920" t="str">
            <v>Radial Seal Outer Air Filter</v>
          </cell>
        </row>
        <row r="921">
          <cell r="G921" t="str">
            <v>LFP2248</v>
          </cell>
          <cell r="H921" t="str">
            <v>Spin-on Oil Filter</v>
          </cell>
        </row>
        <row r="922">
          <cell r="G922" t="str">
            <v>LAF6834</v>
          </cell>
          <cell r="H922" t="str">
            <v>Round Air Filter</v>
          </cell>
        </row>
        <row r="923">
          <cell r="G923" t="str">
            <v>PH2801</v>
          </cell>
          <cell r="H923" t="str">
            <v>Spin-on Oil Filter</v>
          </cell>
        </row>
        <row r="924">
          <cell r="G924" t="str">
            <v>LAF1733</v>
          </cell>
          <cell r="H924" t="str">
            <v>HD Metal-End Air Filter</v>
          </cell>
        </row>
        <row r="925">
          <cell r="G925" t="str">
            <v>P335</v>
          </cell>
          <cell r="H925" t="str">
            <v>Cartridge Oil Filter</v>
          </cell>
        </row>
        <row r="926">
          <cell r="G926" t="str">
            <v>LFP9750</v>
          </cell>
          <cell r="H926" t="str">
            <v>Spin-on Oil Filter</v>
          </cell>
        </row>
        <row r="927">
          <cell r="G927" t="str">
            <v>PH2869</v>
          </cell>
          <cell r="H927" t="str">
            <v>Spin-on Oil Filter</v>
          </cell>
        </row>
        <row r="928">
          <cell r="G928" t="str">
            <v>LFP880</v>
          </cell>
          <cell r="H928" t="str">
            <v>Spin-on Oil Filter</v>
          </cell>
        </row>
        <row r="929">
          <cell r="G929" t="str">
            <v>P71</v>
          </cell>
          <cell r="H929" t="str">
            <v>Cartridge Oil Filter</v>
          </cell>
        </row>
        <row r="930">
          <cell r="G930" t="str">
            <v>LP509</v>
          </cell>
          <cell r="H930" t="str">
            <v>Cartridge Hydraulic Filter</v>
          </cell>
        </row>
        <row r="931">
          <cell r="G931" t="str">
            <v>LFH4636</v>
          </cell>
          <cell r="H931" t="str">
            <v>Cartridge hydraulic filter</v>
          </cell>
        </row>
        <row r="932">
          <cell r="G932" t="str">
            <v>LFP5969</v>
          </cell>
          <cell r="H932" t="str">
            <v>Spin-on Oil Filter</v>
          </cell>
        </row>
        <row r="933">
          <cell r="G933" t="str">
            <v>AF4004</v>
          </cell>
          <cell r="H933" t="str">
            <v>Rigid Panel Air Filter</v>
          </cell>
        </row>
        <row r="934">
          <cell r="G934" t="str">
            <v>LFH8705</v>
          </cell>
          <cell r="H934" t="str">
            <v>Spin-on Hydraulic Filter</v>
          </cell>
        </row>
        <row r="935">
          <cell r="G935" t="str">
            <v>L2021F-30</v>
          </cell>
          <cell r="H935" t="str">
            <v>Cartridge Fuel Filter</v>
          </cell>
        </row>
        <row r="936">
          <cell r="G936" t="str">
            <v>LAF73</v>
          </cell>
          <cell r="H936" t="str">
            <v>Round Air Filter</v>
          </cell>
        </row>
        <row r="937">
          <cell r="G937" t="str">
            <v>P986</v>
          </cell>
          <cell r="H937" t="str">
            <v>Cartridge Oil Filter</v>
          </cell>
        </row>
        <row r="938">
          <cell r="G938" t="str">
            <v>LAF8003</v>
          </cell>
          <cell r="H938" t="str">
            <v>Disposible Housing Air Filter</v>
          </cell>
        </row>
        <row r="939">
          <cell r="G939" t="str">
            <v>LFF3540</v>
          </cell>
          <cell r="H939" t="str">
            <v>Spin-on Fuel Water Separator Filter</v>
          </cell>
        </row>
        <row r="940">
          <cell r="G940" t="str">
            <v>LAF1840</v>
          </cell>
          <cell r="H940" t="str">
            <v>HD Metal-End Inner Air Filter</v>
          </cell>
        </row>
        <row r="941">
          <cell r="G941" t="str">
            <v>LH8755</v>
          </cell>
          <cell r="H941" t="str">
            <v>Spin-on Hydraulic Filter</v>
          </cell>
        </row>
        <row r="942">
          <cell r="G942" t="str">
            <v>LFF5423</v>
          </cell>
          <cell r="H942" t="str">
            <v>Spin-on Fuel Filter</v>
          </cell>
        </row>
        <row r="943">
          <cell r="G943" t="str">
            <v>LH4248</v>
          </cell>
          <cell r="H943" t="str">
            <v>Cartridge Hydraulic Filter</v>
          </cell>
        </row>
        <row r="944">
          <cell r="G944" t="str">
            <v>LAF1826F</v>
          </cell>
          <cell r="H944" t="str">
            <v>Foam Wrap Air Filter</v>
          </cell>
        </row>
        <row r="945">
          <cell r="G945" t="str">
            <v>LK254M</v>
          </cell>
          <cell r="H945" t="str">
            <v>Mack Engine Maintenance Kit</v>
          </cell>
        </row>
        <row r="946">
          <cell r="G946" t="str">
            <v>LFH9347</v>
          </cell>
          <cell r="H946" t="str">
            <v>Spin-on Hydraulic Filter</v>
          </cell>
        </row>
        <row r="947">
          <cell r="G947">
            <v>920005</v>
          </cell>
          <cell r="H947" t="str">
            <v>Lubercool II 5 Gallon Container</v>
          </cell>
        </row>
        <row r="948">
          <cell r="G948" t="str">
            <v>AF3594</v>
          </cell>
          <cell r="H948" t="str">
            <v>Rigid Panel Air Filter</v>
          </cell>
        </row>
        <row r="949">
          <cell r="G949" t="str">
            <v>LAF4602</v>
          </cell>
          <cell r="H949" t="str">
            <v>Radial Seal Inner Air Filter</v>
          </cell>
        </row>
        <row r="950">
          <cell r="G950" t="str">
            <v>T721</v>
          </cell>
          <cell r="H950" t="str">
            <v>Transmission Filter Kit</v>
          </cell>
        </row>
        <row r="951">
          <cell r="G951" t="str">
            <v>LFF6964</v>
          </cell>
          <cell r="H951" t="str">
            <v>Spin-on Fuel Filter</v>
          </cell>
        </row>
        <row r="952">
          <cell r="G952" t="str">
            <v>LFH4933</v>
          </cell>
          <cell r="H952" t="str">
            <v>Spin-on Hydraulic Filter</v>
          </cell>
        </row>
        <row r="953">
          <cell r="G953" t="str">
            <v>LFP5214</v>
          </cell>
          <cell r="H953" t="str">
            <v>Spin-on Oil Filter</v>
          </cell>
        </row>
        <row r="954">
          <cell r="G954" t="str">
            <v>LAF6128</v>
          </cell>
          <cell r="H954" t="str">
            <v>HD Round Air Filter with Attached Lid</v>
          </cell>
        </row>
        <row r="955">
          <cell r="G955" t="str">
            <v>LFP3301F</v>
          </cell>
          <cell r="H955" t="str">
            <v>Spin-on Fuel Filter</v>
          </cell>
        </row>
        <row r="956">
          <cell r="G956" t="str">
            <v>LAF5761</v>
          </cell>
          <cell r="H956" t="str">
            <v>Radial Seal Outer Air Filter</v>
          </cell>
        </row>
        <row r="957">
          <cell r="G957" t="str">
            <v>LFP2234</v>
          </cell>
          <cell r="H957" t="str">
            <v>Spin-on Oil Filter</v>
          </cell>
        </row>
        <row r="958">
          <cell r="G958" t="str">
            <v>LAF4618</v>
          </cell>
          <cell r="H958" t="str">
            <v>Radial Seal Outer Air Filter</v>
          </cell>
        </row>
        <row r="959">
          <cell r="G959" t="str">
            <v>T873</v>
          </cell>
          <cell r="H959" t="str">
            <v>Transmission Filter Kit</v>
          </cell>
        </row>
        <row r="960">
          <cell r="G960" t="str">
            <v>LAF8776</v>
          </cell>
          <cell r="H960" t="str">
            <v>HD Metal-End Air Filter with Attached Lid</v>
          </cell>
        </row>
        <row r="961">
          <cell r="G961" t="str">
            <v>FP889F</v>
          </cell>
          <cell r="H961" t="str">
            <v>Spin-on Fuel Water Separator Filter</v>
          </cell>
        </row>
        <row r="962">
          <cell r="G962" t="str">
            <v>LFH4207</v>
          </cell>
          <cell r="H962" t="str">
            <v>Spin-on Hydraulic Filter</v>
          </cell>
        </row>
        <row r="963">
          <cell r="G963" t="str">
            <v>AF3904</v>
          </cell>
          <cell r="H963" t="str">
            <v>Flexible Panel Air Filter</v>
          </cell>
        </row>
        <row r="964">
          <cell r="G964" t="str">
            <v>LAF4512</v>
          </cell>
          <cell r="H964" t="str">
            <v>Flexible Panel Air Filter</v>
          </cell>
        </row>
        <row r="965">
          <cell r="G965" t="str">
            <v>LFH22005</v>
          </cell>
          <cell r="H965" t="str">
            <v>Spin-on Hydraulic Filter</v>
          </cell>
        </row>
        <row r="966">
          <cell r="G966" t="str">
            <v>LH4741</v>
          </cell>
          <cell r="H966" t="str">
            <v>Cartridge Power Steering (Hydraulic) Filter</v>
          </cell>
        </row>
        <row r="967">
          <cell r="G967" t="str">
            <v>AF3227</v>
          </cell>
          <cell r="H967" t="str">
            <v>Air Filter</v>
          </cell>
        </row>
        <row r="968">
          <cell r="G968" t="str">
            <v>AF5261</v>
          </cell>
          <cell r="H968" t="str">
            <v>Air Filter</v>
          </cell>
        </row>
        <row r="969">
          <cell r="G969" t="str">
            <v>LFW6502</v>
          </cell>
          <cell r="H969" t="str">
            <v>Controll Release Spin-on Coolant Filter</v>
          </cell>
        </row>
        <row r="970">
          <cell r="G970" t="str">
            <v>AF5211</v>
          </cell>
          <cell r="H970" t="str">
            <v>Panel Air Filter</v>
          </cell>
        </row>
        <row r="971">
          <cell r="G971" t="str">
            <v>LAF6998</v>
          </cell>
          <cell r="H971" t="str">
            <v>Radial Seal Air Filter (Primary)</v>
          </cell>
        </row>
        <row r="972">
          <cell r="G972" t="str">
            <v>LAF3884</v>
          </cell>
          <cell r="H972" t="str">
            <v>Radial Seal Inner Air Filter</v>
          </cell>
        </row>
        <row r="973">
          <cell r="G973" t="str">
            <v>LWHB4861</v>
          </cell>
          <cell r="H973" t="str">
            <v>Coolant Filter Mounting Base with bracket for coolant filters with 11/16" threads.</v>
          </cell>
        </row>
        <row r="974">
          <cell r="G974" t="str">
            <v>LFF3550</v>
          </cell>
          <cell r="H974" t="str">
            <v>Spin-on Fuel Filter</v>
          </cell>
        </row>
        <row r="975">
          <cell r="G975" t="str">
            <v>CAF1873P</v>
          </cell>
          <cell r="H975" t="str">
            <v>Cabin Air Filter</v>
          </cell>
        </row>
        <row r="976">
          <cell r="G976" t="str">
            <v>LFP3050</v>
          </cell>
          <cell r="H976" t="str">
            <v>Spin-on Oil Filter</v>
          </cell>
        </row>
        <row r="977">
          <cell r="G977" t="str">
            <v>LAF414</v>
          </cell>
          <cell r="H977" t="str">
            <v>HD Metal-End Air Filter-Inner</v>
          </cell>
        </row>
        <row r="978">
          <cell r="G978" t="str">
            <v>LAF8780</v>
          </cell>
          <cell r="H978" t="str">
            <v>Disposible Housing Air Filter</v>
          </cell>
        </row>
        <row r="979">
          <cell r="G979" t="str">
            <v>LAF689</v>
          </cell>
          <cell r="H979" t="str">
            <v>HD Metal-End Air Filter</v>
          </cell>
        </row>
        <row r="980">
          <cell r="G980" t="str">
            <v>LAF388</v>
          </cell>
          <cell r="H980" t="str">
            <v>Round Air Filter</v>
          </cell>
        </row>
        <row r="981">
          <cell r="G981" t="str">
            <v>LAF1038</v>
          </cell>
          <cell r="H981" t="str">
            <v>Finned Vane Air Filter</v>
          </cell>
        </row>
        <row r="982">
          <cell r="G982" t="str">
            <v>LFF6753</v>
          </cell>
          <cell r="H982" t="str">
            <v>Spin-on Fuel Water Separator Filter</v>
          </cell>
        </row>
        <row r="983">
          <cell r="G983" t="str">
            <v>LK329M</v>
          </cell>
          <cell r="H983" t="str">
            <v>Mack Engine Maintenance Kit</v>
          </cell>
        </row>
        <row r="984">
          <cell r="G984" t="str">
            <v>AF3138</v>
          </cell>
          <cell r="H984" t="str">
            <v>Panel Air Irregular Shaped Filter</v>
          </cell>
        </row>
        <row r="985">
          <cell r="G985" t="str">
            <v>LAF4620</v>
          </cell>
          <cell r="H985" t="str">
            <v>Radial Seal Outer Air Filter</v>
          </cell>
        </row>
        <row r="986">
          <cell r="G986" t="str">
            <v>LAF9159</v>
          </cell>
          <cell r="H986" t="str">
            <v>HD Metal-End Inner Air Filter</v>
          </cell>
        </row>
        <row r="987">
          <cell r="G987" t="str">
            <v>LAF3699</v>
          </cell>
          <cell r="H987" t="str">
            <v>Cabin Air Filter</v>
          </cell>
        </row>
        <row r="988">
          <cell r="G988" t="str">
            <v>LFH8595</v>
          </cell>
          <cell r="H988" t="str">
            <v>Spin-on Hydraulic Filter</v>
          </cell>
        </row>
        <row r="989">
          <cell r="G989" t="str">
            <v>AF5244</v>
          </cell>
          <cell r="H989" t="str">
            <v>Panel Air Filter</v>
          </cell>
        </row>
        <row r="990">
          <cell r="G990" t="str">
            <v>LAF8766</v>
          </cell>
          <cell r="H990" t="str">
            <v>Radial Seal Inner Air Filter</v>
          </cell>
        </row>
        <row r="991">
          <cell r="G991" t="str">
            <v>LAF1725</v>
          </cell>
          <cell r="H991" t="str">
            <v>Round Inner Air Filter</v>
          </cell>
        </row>
        <row r="992">
          <cell r="G992" t="str">
            <v>G22</v>
          </cell>
          <cell r="H992" t="str">
            <v>In-Line Fuel Filter</v>
          </cell>
        </row>
        <row r="993">
          <cell r="G993" t="str">
            <v>T865</v>
          </cell>
          <cell r="H993" t="str">
            <v>Transmission Filter</v>
          </cell>
        </row>
        <row r="994">
          <cell r="G994" t="str">
            <v>LAF66</v>
          </cell>
          <cell r="H994" t="str">
            <v>HD Metal-End Air Filter</v>
          </cell>
        </row>
        <row r="995">
          <cell r="G995" t="str">
            <v>LAF5802</v>
          </cell>
          <cell r="H995" t="str">
            <v>Round Air Filter</v>
          </cell>
        </row>
        <row r="996">
          <cell r="G996" t="str">
            <v>LAF1948</v>
          </cell>
          <cell r="H996" t="str">
            <v>HD Metal-End Air Filter-Inner</v>
          </cell>
        </row>
        <row r="997">
          <cell r="G997" t="str">
            <v>LFP8703</v>
          </cell>
          <cell r="H997" t="str">
            <v>Spin-on Oil Filter</v>
          </cell>
        </row>
        <row r="998">
          <cell r="G998" t="str">
            <v>PH52</v>
          </cell>
          <cell r="H998" t="str">
            <v>Spin-on Oil Filter</v>
          </cell>
        </row>
        <row r="999">
          <cell r="G999" t="str">
            <v>LAF6098</v>
          </cell>
          <cell r="H999" t="str">
            <v>Radial Seal Outer Air Filter</v>
          </cell>
        </row>
        <row r="1000">
          <cell r="G1000" t="str">
            <v>LP8995</v>
          </cell>
          <cell r="H1000" t="str">
            <v>Cartridge Oil Filter</v>
          </cell>
        </row>
        <row r="1001">
          <cell r="G1001" t="str">
            <v>T638</v>
          </cell>
          <cell r="H1001" t="str">
            <v>Transmission Filter Kit</v>
          </cell>
        </row>
        <row r="1002">
          <cell r="G1002" t="str">
            <v>LAF3814</v>
          </cell>
          <cell r="H1002" t="str">
            <v>Radial Seal Outer Air Filter</v>
          </cell>
        </row>
        <row r="1003">
          <cell r="G1003" t="str">
            <v>LAF8823</v>
          </cell>
          <cell r="H1003" t="str">
            <v>HD Metal-End Air Filter with Attached Lid</v>
          </cell>
        </row>
        <row r="1004">
          <cell r="G1004" t="str">
            <v>LAF2343</v>
          </cell>
          <cell r="H1004" t="str">
            <v>Radial Seal Inner Air Filter</v>
          </cell>
        </row>
        <row r="1005">
          <cell r="G1005" t="str">
            <v>LAF3700</v>
          </cell>
          <cell r="H1005" t="str">
            <v>Cabin Air Filter</v>
          </cell>
        </row>
        <row r="1006">
          <cell r="G1006" t="str">
            <v>LAF4505MXM</v>
          </cell>
          <cell r="H1006" t="str">
            <v>Nano Tech Radial Seal Air Filter</v>
          </cell>
        </row>
        <row r="1007">
          <cell r="G1007" t="str">
            <v>P981</v>
          </cell>
          <cell r="H1007" t="str">
            <v>Cartridge Oil Filter</v>
          </cell>
        </row>
        <row r="1008">
          <cell r="G1008" t="str">
            <v>AF3938</v>
          </cell>
          <cell r="H1008" t="str">
            <v>Flexible Panel Air Filter</v>
          </cell>
        </row>
        <row r="1009">
          <cell r="G1009" t="str">
            <v>P992</v>
          </cell>
          <cell r="H1009" t="str">
            <v>Cartridge Oil Filter</v>
          </cell>
        </row>
        <row r="1010">
          <cell r="G1010" t="str">
            <v>L8706F</v>
          </cell>
          <cell r="H1010" t="str">
            <v>Snap-Lock Fuel Filter</v>
          </cell>
        </row>
        <row r="1011">
          <cell r="G1011" t="str">
            <v>LAF1835</v>
          </cell>
          <cell r="H1011" t="str">
            <v>HD Metal-End Inner Air Filter</v>
          </cell>
        </row>
        <row r="1012">
          <cell r="G1012" t="str">
            <v>262F</v>
          </cell>
          <cell r="H1012" t="str">
            <v>Cartridge Fuel Filter</v>
          </cell>
        </row>
        <row r="1013">
          <cell r="G1013" t="str">
            <v>LAF8749</v>
          </cell>
          <cell r="H1013" t="str">
            <v>Radial Seal Outer Air Filter</v>
          </cell>
        </row>
        <row r="1014">
          <cell r="G1014" t="str">
            <v>LFH8329</v>
          </cell>
          <cell r="H1014" t="str">
            <v>Spin-on Hydraulic Filter</v>
          </cell>
        </row>
        <row r="1015">
          <cell r="G1015" t="str">
            <v>LAF5842</v>
          </cell>
          <cell r="H1015" t="str">
            <v>HD Round Air Filter with Attached Lid</v>
          </cell>
        </row>
        <row r="1016">
          <cell r="G1016" t="str">
            <v>LK236M</v>
          </cell>
          <cell r="H1016" t="str">
            <v>Mack Engine Maintenance Kit</v>
          </cell>
        </row>
        <row r="1017">
          <cell r="G1017" t="str">
            <v>AF5271</v>
          </cell>
          <cell r="H1017" t="str">
            <v>Air Filter</v>
          </cell>
        </row>
        <row r="1018">
          <cell r="G1018" t="str">
            <v>LAF8124</v>
          </cell>
          <cell r="H1018" t="str">
            <v>Radial Seal Outer Air Filter</v>
          </cell>
        </row>
        <row r="1019">
          <cell r="G1019" t="str">
            <v>LAF8634</v>
          </cell>
          <cell r="H1019" t="str">
            <v>HD Metal-End Air Filter</v>
          </cell>
        </row>
        <row r="1020">
          <cell r="G1020" t="str">
            <v>LAF8792</v>
          </cell>
          <cell r="H1020" t="str">
            <v>Flexible Panel Air Filter</v>
          </cell>
        </row>
        <row r="1021">
          <cell r="G1021" t="str">
            <v>T615</v>
          </cell>
          <cell r="H1021" t="str">
            <v>Spin-on Transmission Filter</v>
          </cell>
        </row>
        <row r="1022">
          <cell r="G1022" t="str">
            <v>AF1096</v>
          </cell>
          <cell r="H1022" t="str">
            <v>Flexible Panel Air Filter</v>
          </cell>
        </row>
        <row r="1023">
          <cell r="G1023" t="str">
            <v>AF109</v>
          </cell>
          <cell r="H1023" t="str">
            <v>Round Air Filter</v>
          </cell>
        </row>
        <row r="1024">
          <cell r="G1024" t="str">
            <v>CAF7781</v>
          </cell>
          <cell r="H1024" t="str">
            <v>Cabin Air Filter (Carbon)</v>
          </cell>
        </row>
        <row r="1025">
          <cell r="G1025" t="str">
            <v>AF5190</v>
          </cell>
          <cell r="H1025" t="str">
            <v>Flexible Panel Air Filter</v>
          </cell>
        </row>
        <row r="1026">
          <cell r="G1026" t="str">
            <v>CAF1887P</v>
          </cell>
          <cell r="H1026" t="str">
            <v>Cabin Air Filter</v>
          </cell>
        </row>
        <row r="1027">
          <cell r="G1027" t="str">
            <v>P987</v>
          </cell>
          <cell r="H1027" t="str">
            <v>Cartridge Oil Filter</v>
          </cell>
        </row>
        <row r="1028">
          <cell r="G1028" t="str">
            <v>LAF1718</v>
          </cell>
          <cell r="H1028" t="str">
            <v>HD Metal-End Air Filter</v>
          </cell>
        </row>
        <row r="1029">
          <cell r="G1029" t="str">
            <v>LH4932</v>
          </cell>
          <cell r="H1029" t="str">
            <v>Cartridge Hydraulic Filter</v>
          </cell>
        </row>
        <row r="1030">
          <cell r="G1030" t="str">
            <v>LFH5015</v>
          </cell>
          <cell r="H1030" t="str">
            <v>Spin-on Hydraulic Filter</v>
          </cell>
        </row>
        <row r="1031">
          <cell r="G1031" t="str">
            <v>T614</v>
          </cell>
          <cell r="H1031" t="str">
            <v>Transmission Filter Kit</v>
          </cell>
        </row>
        <row r="1032">
          <cell r="G1032" t="str">
            <v>LAF1844</v>
          </cell>
          <cell r="H1032" t="str">
            <v>Disposible Housing Air Filter</v>
          </cell>
        </row>
        <row r="1033">
          <cell r="G1033" t="str">
            <v>CAF1875P</v>
          </cell>
          <cell r="H1033" t="str">
            <v>Cabin Air Filter</v>
          </cell>
        </row>
        <row r="1034">
          <cell r="G1034" t="str">
            <v>P189</v>
          </cell>
          <cell r="H1034" t="str">
            <v>Cartridge Oil Filter</v>
          </cell>
        </row>
        <row r="1035">
          <cell r="G1035" t="str">
            <v>LFF4812D</v>
          </cell>
          <cell r="H1035" t="str">
            <v>Spin-on Fuel Filter</v>
          </cell>
        </row>
        <row r="1036">
          <cell r="G1036" t="str">
            <v>LK300V</v>
          </cell>
          <cell r="H1036" t="str">
            <v>Volvo Engine Maintenance Kit</v>
          </cell>
        </row>
        <row r="1037">
          <cell r="G1037" t="str">
            <v>LFF3257</v>
          </cell>
          <cell r="H1037" t="str">
            <v>Spin-on Fuel Filter</v>
          </cell>
        </row>
        <row r="1038">
          <cell r="G1038" t="str">
            <v>LAF5069</v>
          </cell>
          <cell r="H1038" t="str">
            <v>HD Round Air Filter with Attached Boot</v>
          </cell>
        </row>
        <row r="1039">
          <cell r="G1039" t="str">
            <v>AF3609</v>
          </cell>
          <cell r="H1039" t="str">
            <v>Flexible Panel Air Filter</v>
          </cell>
        </row>
        <row r="1040">
          <cell r="G1040" t="str">
            <v>LAF8734</v>
          </cell>
          <cell r="H1040" t="str">
            <v>HD Metal-End Inner Air Filter</v>
          </cell>
        </row>
        <row r="1041">
          <cell r="G1041" t="str">
            <v>LAF1483</v>
          </cell>
          <cell r="H1041" t="str">
            <v>Panel Air Filter Irregular Shaped</v>
          </cell>
        </row>
        <row r="1042">
          <cell r="G1042" t="str">
            <v>G796</v>
          </cell>
          <cell r="H1042" t="str">
            <v>In-Line Fuel Filter</v>
          </cell>
        </row>
        <row r="1043">
          <cell r="G1043" t="str">
            <v>CAF24016XL</v>
          </cell>
          <cell r="H1043" t="str">
            <v>Cabin Air Filter (Carbon) Extreme Clean</v>
          </cell>
        </row>
        <row r="1044">
          <cell r="G1044" t="str">
            <v>LAF8733</v>
          </cell>
          <cell r="H1044" t="str">
            <v>HD Round Air Filter with Attached Boot</v>
          </cell>
        </row>
        <row r="1045">
          <cell r="G1045" t="str">
            <v>CAF7706</v>
          </cell>
          <cell r="H1045" t="str">
            <v>Cabin Air Filter (Carbon)</v>
          </cell>
        </row>
        <row r="1046">
          <cell r="G1046" t="str">
            <v>P141</v>
          </cell>
          <cell r="H1046" t="str">
            <v>Cartridge Oil Filter</v>
          </cell>
        </row>
        <row r="1047">
          <cell r="G1047" t="str">
            <v>G1/4P</v>
          </cell>
          <cell r="H1047" t="str">
            <v>In-Line Fuel Filter</v>
          </cell>
        </row>
        <row r="1048">
          <cell r="G1048" t="str">
            <v>T651</v>
          </cell>
          <cell r="H1048" t="str">
            <v>Transmission Filter Kit</v>
          </cell>
        </row>
        <row r="1049">
          <cell r="G1049" t="str">
            <v>AF1135</v>
          </cell>
          <cell r="H1049" t="str">
            <v>Flexible Panel Air Filter</v>
          </cell>
        </row>
        <row r="1050">
          <cell r="G1050" t="str">
            <v>LFF6771SC</v>
          </cell>
          <cell r="H1050" t="str">
            <v>Spin-on Fuel Filter</v>
          </cell>
        </row>
        <row r="1051">
          <cell r="G1051" t="str">
            <v>LFH22009</v>
          </cell>
          <cell r="H1051" t="str">
            <v>Spin-on Hydraulic Filter</v>
          </cell>
        </row>
        <row r="1052">
          <cell r="G1052" t="str">
            <v>AF360</v>
          </cell>
          <cell r="H1052" t="str">
            <v>Panel Air Filter</v>
          </cell>
        </row>
        <row r="1053">
          <cell r="G1053" t="str">
            <v>P1037</v>
          </cell>
          <cell r="H1053" t="str">
            <v>Cartridge Oil Filter</v>
          </cell>
        </row>
        <row r="1054">
          <cell r="G1054" t="str">
            <v>T951</v>
          </cell>
          <cell r="H1054" t="str">
            <v>Transmission Filter Kit</v>
          </cell>
        </row>
        <row r="1055">
          <cell r="G1055" t="str">
            <v>AF5224</v>
          </cell>
          <cell r="H1055" t="str">
            <v>Rigid Panel Air Filter</v>
          </cell>
        </row>
        <row r="1056">
          <cell r="G1056" t="str">
            <v>PH444</v>
          </cell>
          <cell r="H1056" t="str">
            <v>Spin-on Oil Filter</v>
          </cell>
        </row>
        <row r="1057">
          <cell r="G1057" t="str">
            <v>LFH8197</v>
          </cell>
          <cell r="H1057" t="str">
            <v>Spin-on Hydraulic Filter</v>
          </cell>
        </row>
        <row r="1058">
          <cell r="G1058" t="str">
            <v>LH95277V</v>
          </cell>
          <cell r="H1058" t="str">
            <v>Cartridge Hydraulic Filter</v>
          </cell>
        </row>
        <row r="1059">
          <cell r="G1059" t="str">
            <v>LK90CA</v>
          </cell>
          <cell r="H1059" t="str">
            <v>Caterpillar Engine Maintenance Kit</v>
          </cell>
        </row>
        <row r="1060">
          <cell r="G1060" t="str">
            <v>FP1127F</v>
          </cell>
          <cell r="H1060" t="str">
            <v>Spin-on Fuel Filter</v>
          </cell>
        </row>
        <row r="1061">
          <cell r="G1061" t="str">
            <v>LAF6099</v>
          </cell>
          <cell r="H1061" t="str">
            <v>Radial Seal Inner Air Filter</v>
          </cell>
        </row>
        <row r="1062">
          <cell r="G1062" t="str">
            <v>L8138F</v>
          </cell>
          <cell r="H1062" t="str">
            <v>Cartridge Fuel Filter</v>
          </cell>
        </row>
        <row r="1063">
          <cell r="G1063" t="str">
            <v>LFF4136</v>
          </cell>
          <cell r="H1063" t="str">
            <v>Spin-on Fuel Filter</v>
          </cell>
        </row>
        <row r="1064">
          <cell r="G1064" t="str">
            <v>LFP2271</v>
          </cell>
          <cell r="H1064" t="str">
            <v>Spin-on Oil Filter</v>
          </cell>
        </row>
        <row r="1065">
          <cell r="G1065" t="str">
            <v>LAF8405</v>
          </cell>
          <cell r="H1065" t="str">
            <v>Radial Seal Inner Air Filter</v>
          </cell>
        </row>
        <row r="1066">
          <cell r="G1066" t="str">
            <v>LAF1856</v>
          </cell>
          <cell r="H1066" t="str">
            <v>Foam Wrap Air Filter</v>
          </cell>
        </row>
        <row r="1067">
          <cell r="G1067" t="str">
            <v>LAF928</v>
          </cell>
          <cell r="H1067" t="str">
            <v>HD Metal-End Air Filter</v>
          </cell>
        </row>
        <row r="1068">
          <cell r="G1068" t="str">
            <v>AF5223</v>
          </cell>
          <cell r="H1068" t="str">
            <v>Rigid Panel Air Filter</v>
          </cell>
        </row>
        <row r="1069">
          <cell r="G1069" t="str">
            <v>LAF2831</v>
          </cell>
          <cell r="H1069" t="str">
            <v>Cone Shaped Conical Air Filter</v>
          </cell>
        </row>
        <row r="1070">
          <cell r="G1070" t="str">
            <v>LH4166</v>
          </cell>
          <cell r="H1070" t="str">
            <v>Cartridge Hydraulic Filter</v>
          </cell>
        </row>
        <row r="1071">
          <cell r="G1071" t="str">
            <v>LH22044</v>
          </cell>
          <cell r="H1071" t="str">
            <v>Cartridge Hydraulic Filter</v>
          </cell>
        </row>
        <row r="1072">
          <cell r="G1072" t="str">
            <v>AF5235</v>
          </cell>
          <cell r="H1072" t="str">
            <v>Rigid Panel Air Filter</v>
          </cell>
        </row>
        <row r="1073">
          <cell r="G1073" t="str">
            <v>AF4063</v>
          </cell>
          <cell r="H1073" t="str">
            <v>Rigid Panel Air Filter</v>
          </cell>
        </row>
        <row r="1074">
          <cell r="G1074" t="str">
            <v>LFF5644</v>
          </cell>
          <cell r="H1074" t="str">
            <v>Spin-on Fuel Filter</v>
          </cell>
        </row>
        <row r="1075">
          <cell r="G1075" t="str">
            <v>LFH22028</v>
          </cell>
          <cell r="H1075" t="str">
            <v>Spin-on Hydraulic Filter</v>
          </cell>
        </row>
        <row r="1076">
          <cell r="G1076" t="str">
            <v>L8269F</v>
          </cell>
          <cell r="H1076" t="str">
            <v>Cartridge Fuel Filter</v>
          </cell>
        </row>
        <row r="1077">
          <cell r="G1077" t="str">
            <v>CAF24004XL</v>
          </cell>
          <cell r="H1077" t="str">
            <v>Cabin Air Filter (Carbon) Extreme Clean</v>
          </cell>
        </row>
        <row r="1078">
          <cell r="G1078" t="str">
            <v>LAF5022</v>
          </cell>
          <cell r="H1078" t="str">
            <v>Radial Seal Air Filter (Primary)</v>
          </cell>
        </row>
        <row r="1079">
          <cell r="G1079" t="str">
            <v>LFF8063U</v>
          </cell>
          <cell r="H1079" t="str">
            <v>Bowless Fuel Water Separator Filter</v>
          </cell>
        </row>
        <row r="1080">
          <cell r="G1080" t="str">
            <v>LAF9202</v>
          </cell>
          <cell r="H1080" t="str">
            <v>Radial Seal Inner Air Filter Inner</v>
          </cell>
        </row>
        <row r="1081">
          <cell r="G1081" t="str">
            <v>CAF1848C</v>
          </cell>
          <cell r="H1081" t="str">
            <v>Cabin Air Filter (Carbon)</v>
          </cell>
        </row>
        <row r="1082">
          <cell r="G1082" t="str">
            <v>LAF8089</v>
          </cell>
          <cell r="H1082" t="str">
            <v>Oval Air Filter</v>
          </cell>
        </row>
        <row r="1083">
          <cell r="G1083" t="str">
            <v>L8684F</v>
          </cell>
          <cell r="H1083" t="str">
            <v>Snap-Lock Fuel Filter</v>
          </cell>
        </row>
        <row r="1084">
          <cell r="G1084" t="str">
            <v>P989</v>
          </cell>
          <cell r="H1084" t="str">
            <v>Cartridge Oil Filter</v>
          </cell>
        </row>
        <row r="1085">
          <cell r="G1085" t="str">
            <v>PH2005</v>
          </cell>
          <cell r="H1085" t="str">
            <v>Spin-on Oil Filter</v>
          </cell>
        </row>
        <row r="1086">
          <cell r="G1086" t="str">
            <v>LAF4500</v>
          </cell>
          <cell r="H1086" t="str">
            <v>Radial Seal Inner Air Filter</v>
          </cell>
        </row>
        <row r="1087">
          <cell r="G1087" t="str">
            <v>LAF6999</v>
          </cell>
          <cell r="H1087" t="str">
            <v>Radial Seal Inner Air Filter</v>
          </cell>
        </row>
        <row r="1088">
          <cell r="G1088" t="str">
            <v>AF7862</v>
          </cell>
          <cell r="H1088" t="str">
            <v>Flexible Panel Air Filter</v>
          </cell>
        </row>
        <row r="1089">
          <cell r="G1089" t="str">
            <v>LFH6135</v>
          </cell>
          <cell r="H1089" t="str">
            <v>Spin-on Hydraulic Filter</v>
          </cell>
        </row>
        <row r="1090">
          <cell r="G1090" t="str">
            <v>LAF9657</v>
          </cell>
          <cell r="H1090" t="str">
            <v>Panel Air Filter Metal Framed</v>
          </cell>
        </row>
        <row r="1091">
          <cell r="G1091" t="str">
            <v>AF7863</v>
          </cell>
          <cell r="H1091" t="str">
            <v>Flexible Panel Air Filter</v>
          </cell>
        </row>
        <row r="1092">
          <cell r="G1092" t="str">
            <v>LAF1813</v>
          </cell>
          <cell r="H1092" t="str">
            <v>HD Metal-End Air Filter</v>
          </cell>
        </row>
        <row r="1093">
          <cell r="G1093" t="str">
            <v>AF5225</v>
          </cell>
          <cell r="H1093" t="str">
            <v>Flexible Panel Air Filter</v>
          </cell>
        </row>
        <row r="1094">
          <cell r="G1094" t="str">
            <v>AF348</v>
          </cell>
          <cell r="H1094" t="str">
            <v>Round Air Filter</v>
          </cell>
        </row>
        <row r="1095">
          <cell r="G1095" t="str">
            <v>LAF4629</v>
          </cell>
          <cell r="H1095" t="str">
            <v>Radial Seal Outer Air Filter</v>
          </cell>
        </row>
        <row r="1096">
          <cell r="G1096" t="str">
            <v>L3880F</v>
          </cell>
          <cell r="H1096" t="str">
            <v>Snap-Lock Fuel Filter</v>
          </cell>
        </row>
        <row r="1097">
          <cell r="G1097" t="str">
            <v>LAF2526</v>
          </cell>
          <cell r="H1097" t="str">
            <v>HD Metal-End Inner Air Filter</v>
          </cell>
        </row>
        <row r="1098">
          <cell r="G1098" t="str">
            <v>LFH22041</v>
          </cell>
          <cell r="H1098" t="str">
            <v>Spin-on Hydraulic Filter</v>
          </cell>
        </row>
        <row r="1099">
          <cell r="G1099" t="str">
            <v>LFH4213</v>
          </cell>
          <cell r="H1099" t="str">
            <v>Cartridge Hydraulic Filter</v>
          </cell>
        </row>
        <row r="1100">
          <cell r="G1100" t="str">
            <v>LAF8824</v>
          </cell>
          <cell r="H1100" t="str">
            <v>HD Metal-End Air Filter</v>
          </cell>
        </row>
        <row r="1101">
          <cell r="G1101" t="str">
            <v>AF7845</v>
          </cell>
          <cell r="H1101" t="str">
            <v>Flexible Panel Air Filter</v>
          </cell>
        </row>
        <row r="1102">
          <cell r="G1102" t="str">
            <v>LFP2229</v>
          </cell>
          <cell r="H1102" t="str">
            <v>Spin-on Oil Filter</v>
          </cell>
        </row>
        <row r="1103">
          <cell r="G1103" t="str">
            <v>LAF9086</v>
          </cell>
          <cell r="H1103" t="str">
            <v>HD Metal-End Air Filter</v>
          </cell>
        </row>
        <row r="1104">
          <cell r="G1104" t="str">
            <v>AF9911</v>
          </cell>
          <cell r="H1104" t="str">
            <v>Air Filter</v>
          </cell>
        </row>
        <row r="1105">
          <cell r="G1105" t="str">
            <v>AF5264</v>
          </cell>
          <cell r="H1105" t="str">
            <v>Air Filter</v>
          </cell>
        </row>
        <row r="1106">
          <cell r="G1106" t="str">
            <v>LP1653</v>
          </cell>
          <cell r="H1106" t="str">
            <v>Cartridge Oil Filter</v>
          </cell>
        </row>
        <row r="1107">
          <cell r="G1107" t="str">
            <v>LH6418</v>
          </cell>
          <cell r="H1107" t="str">
            <v>Cartridge Hydraulic Filter</v>
          </cell>
        </row>
        <row r="1108">
          <cell r="G1108" t="str">
            <v>LK370C</v>
          </cell>
          <cell r="H1108" t="str">
            <v>Cummins Diesel Maintenance Kit</v>
          </cell>
        </row>
        <row r="1109">
          <cell r="G1109" t="str">
            <v>LAF1617</v>
          </cell>
          <cell r="H1109" t="str">
            <v>Oval Air Filter</v>
          </cell>
        </row>
        <row r="1110">
          <cell r="G1110" t="str">
            <v>LH4260</v>
          </cell>
          <cell r="H1110" t="str">
            <v>Cartridge Power Steering (Hydraulic) Filter</v>
          </cell>
        </row>
        <row r="1111">
          <cell r="G1111" t="str">
            <v>LAF5762</v>
          </cell>
          <cell r="H1111" t="str">
            <v>Radial Seal Inner Air Filter</v>
          </cell>
        </row>
        <row r="1112">
          <cell r="G1112" t="str">
            <v>LFH7355</v>
          </cell>
          <cell r="H1112" t="str">
            <v>Spin-on Hydraulic Filter</v>
          </cell>
        </row>
        <row r="1113">
          <cell r="G1113" t="str">
            <v>FP230F</v>
          </cell>
          <cell r="H1113" t="str">
            <v>Spin-on Fuel Filter</v>
          </cell>
        </row>
        <row r="1114">
          <cell r="G1114" t="str">
            <v>AF5197</v>
          </cell>
          <cell r="H1114" t="str">
            <v>Panel Air Irregular Shaped Filter</v>
          </cell>
        </row>
        <row r="1115">
          <cell r="G1115" t="str">
            <v>G1063</v>
          </cell>
          <cell r="H1115" t="str">
            <v>In-Line Fuel Filter</v>
          </cell>
        </row>
        <row r="1116">
          <cell r="G1116" t="str">
            <v>LFW4860XL</v>
          </cell>
          <cell r="H1116" t="str">
            <v>Extended Life Spin-on Coolant Filter</v>
          </cell>
        </row>
        <row r="1117">
          <cell r="G1117" t="str">
            <v>LFP3692F</v>
          </cell>
          <cell r="H1117" t="str">
            <v>Spin-on Fuel Filter</v>
          </cell>
        </row>
        <row r="1118">
          <cell r="G1118" t="str">
            <v>LAF8110</v>
          </cell>
          <cell r="H1118" t="str">
            <v>Radial Seal Outer Air Filter</v>
          </cell>
        </row>
        <row r="1119">
          <cell r="G1119" t="str">
            <v>G580</v>
          </cell>
          <cell r="H1119" t="str">
            <v>In-Line Fuel Filter</v>
          </cell>
        </row>
        <row r="1120">
          <cell r="G1120" t="str">
            <v>CAF1921P</v>
          </cell>
          <cell r="H1120" t="str">
            <v>Cabin Air Filter</v>
          </cell>
        </row>
        <row r="1121">
          <cell r="G1121" t="str">
            <v>LFH4909WA</v>
          </cell>
          <cell r="H1121" t="str">
            <v>Breather Filter</v>
          </cell>
        </row>
        <row r="1122">
          <cell r="G1122" t="str">
            <v>CAF1781</v>
          </cell>
          <cell r="H1122" t="str">
            <v>Cabin Air Filter</v>
          </cell>
        </row>
        <row r="1123">
          <cell r="G1123" t="str">
            <v>LFP805</v>
          </cell>
          <cell r="H1123" t="str">
            <v>Spin-on Oil Filter</v>
          </cell>
        </row>
        <row r="1124">
          <cell r="G1124" t="str">
            <v>AF5251</v>
          </cell>
          <cell r="H1124" t="str">
            <v>Air Filter</v>
          </cell>
        </row>
        <row r="1125">
          <cell r="G1125" t="str">
            <v>LAF8688</v>
          </cell>
          <cell r="H1125" t="str">
            <v>Radial Seal Inner Air Filter</v>
          </cell>
        </row>
        <row r="1126">
          <cell r="G1126" t="str">
            <v>CAF1898P</v>
          </cell>
          <cell r="H1126" t="str">
            <v>Cabin Air Filter</v>
          </cell>
        </row>
        <row r="1127">
          <cell r="G1127" t="str">
            <v>LAF4638</v>
          </cell>
          <cell r="H1127" t="str">
            <v>Radial Seal Air Filter (Primary)</v>
          </cell>
        </row>
        <row r="1128">
          <cell r="G1128" t="str">
            <v>T647</v>
          </cell>
          <cell r="H1128" t="str">
            <v>Transmission Filter Kit</v>
          </cell>
        </row>
        <row r="1129">
          <cell r="G1129" t="str">
            <v>LFF4511W</v>
          </cell>
          <cell r="H1129" t="str">
            <v>Fuel Dispensing Filter</v>
          </cell>
        </row>
        <row r="1130">
          <cell r="G1130" t="str">
            <v>L8563F</v>
          </cell>
          <cell r="H1130" t="str">
            <v>Snap-Lock Fuel Filter</v>
          </cell>
        </row>
        <row r="1131">
          <cell r="G1131" t="str">
            <v>LAF9200</v>
          </cell>
          <cell r="H1131" t="str">
            <v>HD Metal-End Air Filter</v>
          </cell>
        </row>
        <row r="1132">
          <cell r="G1132" t="str">
            <v>LH8640</v>
          </cell>
          <cell r="H1132" t="str">
            <v>Cartridge Hydraulic Filter</v>
          </cell>
        </row>
        <row r="1133">
          <cell r="G1133" t="str">
            <v>LAF8514</v>
          </cell>
          <cell r="H1133" t="str">
            <v>HD Metal-End Air Filter</v>
          </cell>
        </row>
        <row r="1134">
          <cell r="G1134" t="str">
            <v>CAF1706</v>
          </cell>
          <cell r="H1134" t="str">
            <v>Cabin Air Filter</v>
          </cell>
        </row>
        <row r="1135">
          <cell r="G1135" t="str">
            <v>AF5205</v>
          </cell>
          <cell r="H1135" t="str">
            <v>Flexible Panel Air Filter</v>
          </cell>
        </row>
        <row r="1136">
          <cell r="G1136" t="str">
            <v>LAF9100</v>
          </cell>
          <cell r="H1136" t="str">
            <v>Radial Seal Inner Air Filter</v>
          </cell>
        </row>
        <row r="1137">
          <cell r="G1137" t="str">
            <v>LAF1719</v>
          </cell>
          <cell r="H1137" t="str">
            <v>Round Air Filter</v>
          </cell>
        </row>
        <row r="1138">
          <cell r="G1138" t="str">
            <v>LAF1814</v>
          </cell>
          <cell r="H1138" t="str">
            <v>HD Metal-End Air Filter</v>
          </cell>
        </row>
        <row r="1139">
          <cell r="G1139" t="str">
            <v>LAF4179</v>
          </cell>
          <cell r="H1139" t="str">
            <v>Radial Seal Air Filter (Primary)</v>
          </cell>
        </row>
        <row r="1140">
          <cell r="G1140" t="str">
            <v>L3893F</v>
          </cell>
          <cell r="H1140" t="str">
            <v>Snap-lock Fuel/Water Separator Filter</v>
          </cell>
        </row>
        <row r="1141">
          <cell r="G1141" t="str">
            <v>P3986</v>
          </cell>
          <cell r="H1141" t="str">
            <v>Cartridge Oil Filter</v>
          </cell>
        </row>
        <row r="1142">
          <cell r="G1142" t="str">
            <v>LFP950</v>
          </cell>
          <cell r="H1142" t="str">
            <v>Spin-on Oil Filter</v>
          </cell>
        </row>
        <row r="1143">
          <cell r="G1143" t="str">
            <v>PH24</v>
          </cell>
          <cell r="H1143" t="str">
            <v>Spin-on Oil Filter</v>
          </cell>
        </row>
        <row r="1144">
          <cell r="G1144" t="str">
            <v>LAF8407</v>
          </cell>
          <cell r="H1144" t="str">
            <v>HD Metal-End Air Filter</v>
          </cell>
        </row>
        <row r="1145">
          <cell r="G1145" t="str">
            <v>LFF3802</v>
          </cell>
          <cell r="H1145" t="str">
            <v>Spin-on Fuel Filter</v>
          </cell>
        </row>
        <row r="1146">
          <cell r="G1146" t="str">
            <v>AF3178</v>
          </cell>
          <cell r="H1146" t="str">
            <v>Primary Air Irregular shaped Filter</v>
          </cell>
        </row>
        <row r="1147">
          <cell r="G1147" t="str">
            <v>LAF281</v>
          </cell>
          <cell r="H1147" t="str">
            <v>Finned Vane Air Filter</v>
          </cell>
        </row>
        <row r="1148">
          <cell r="G1148" t="str">
            <v>LFH4635</v>
          </cell>
          <cell r="H1148" t="str">
            <v>Cartridge Hydraulic Filter</v>
          </cell>
        </row>
        <row r="1149">
          <cell r="G1149" t="str">
            <v>LFH7221</v>
          </cell>
          <cell r="H1149" t="str">
            <v>Spin-on Hydraulic Filter</v>
          </cell>
        </row>
        <row r="1150">
          <cell r="G1150" t="str">
            <v>AF1042</v>
          </cell>
          <cell r="H1150" t="str">
            <v>Flexible Panel Air Filter</v>
          </cell>
        </row>
        <row r="1151">
          <cell r="G1151" t="str">
            <v>AF3173</v>
          </cell>
          <cell r="H1151" t="str">
            <v>Panel Air Irregular Shaped Filter</v>
          </cell>
        </row>
        <row r="1152">
          <cell r="G1152" t="str">
            <v>AF3621</v>
          </cell>
          <cell r="H1152" t="str">
            <v>Air Filter</v>
          </cell>
        </row>
        <row r="1153">
          <cell r="G1153" t="str">
            <v>P8153</v>
          </cell>
          <cell r="H1153" t="str">
            <v>Cartridge Oil Filter</v>
          </cell>
        </row>
        <row r="1154">
          <cell r="G1154" t="str">
            <v>AF216</v>
          </cell>
          <cell r="H1154" t="str">
            <v>Round Air Filter</v>
          </cell>
        </row>
        <row r="1155">
          <cell r="G1155" t="str">
            <v>LFP2253</v>
          </cell>
          <cell r="H1155" t="str">
            <v>Spin-on Oil Filter</v>
          </cell>
        </row>
        <row r="1156">
          <cell r="G1156" t="str">
            <v>LFF9753</v>
          </cell>
          <cell r="H1156" t="str">
            <v>Spin-on Fuel Filter</v>
          </cell>
        </row>
        <row r="1157">
          <cell r="G1157" t="str">
            <v>LFP3746</v>
          </cell>
          <cell r="H1157" t="str">
            <v>Spin-on Oil Filter</v>
          </cell>
        </row>
        <row r="1158">
          <cell r="G1158" t="str">
            <v>L3444F</v>
          </cell>
          <cell r="H1158" t="str">
            <v>Snap-lock Fuel/Water Separator Filter</v>
          </cell>
        </row>
        <row r="1159">
          <cell r="G1159" t="str">
            <v>CAF24011XL</v>
          </cell>
          <cell r="H1159" t="str">
            <v>Cabin Air Filter (Carbon) Extreme Clean</v>
          </cell>
        </row>
        <row r="1160">
          <cell r="G1160" t="str">
            <v>LFF3513</v>
          </cell>
          <cell r="H1160" t="str">
            <v>Spin-on Fuel Filter</v>
          </cell>
        </row>
        <row r="1161">
          <cell r="G1161" t="str">
            <v>LAF5864</v>
          </cell>
          <cell r="H1161" t="str">
            <v>Disposible Housing Air Filter</v>
          </cell>
        </row>
        <row r="1162">
          <cell r="G1162" t="str">
            <v>AF4904</v>
          </cell>
          <cell r="H1162" t="str">
            <v>Flexible Panel Air Filter</v>
          </cell>
        </row>
        <row r="1163">
          <cell r="G1163" t="str">
            <v>LH8544</v>
          </cell>
          <cell r="H1163" t="str">
            <v>Cartridge Hydraulic Filter</v>
          </cell>
        </row>
        <row r="1164">
          <cell r="G1164" t="str">
            <v>L10F</v>
          </cell>
          <cell r="H1164" t="str">
            <v>Cartridge Fuel Filter</v>
          </cell>
        </row>
        <row r="1165">
          <cell r="G1165" t="str">
            <v>LFH9353</v>
          </cell>
          <cell r="H1165" t="str">
            <v>Spin-on Hydraulic Filter</v>
          </cell>
        </row>
        <row r="1166">
          <cell r="G1166" t="str">
            <v>LFH4081</v>
          </cell>
          <cell r="H1166" t="str">
            <v>Spin-on Hydraulic Filter</v>
          </cell>
        </row>
        <row r="1167">
          <cell r="G1167" t="str">
            <v>LAF5453</v>
          </cell>
          <cell r="H1167" t="str">
            <v>Corrugated Media Air Filter</v>
          </cell>
        </row>
        <row r="1168">
          <cell r="G1168" t="str">
            <v>AF3615</v>
          </cell>
          <cell r="H1168" t="str">
            <v>Flexible Panel Air Filter</v>
          </cell>
        </row>
        <row r="1169">
          <cell r="G1169" t="str">
            <v>G1036</v>
          </cell>
          <cell r="H1169" t="str">
            <v>In-Line Fuel Filter</v>
          </cell>
        </row>
        <row r="1170">
          <cell r="G1170" t="str">
            <v>LH4916-10</v>
          </cell>
          <cell r="H1170" t="str">
            <v>Cartridge Hydraulic Filter</v>
          </cell>
        </row>
        <row r="1171">
          <cell r="G1171" t="str">
            <v>LAF1782</v>
          </cell>
          <cell r="H1171" t="str">
            <v>Round Air Filter</v>
          </cell>
        </row>
        <row r="1172">
          <cell r="G1172" t="str">
            <v>LFF3527</v>
          </cell>
          <cell r="H1172" t="str">
            <v>Spin-on Fuel Filter</v>
          </cell>
        </row>
        <row r="1173">
          <cell r="G1173" t="str">
            <v>T766</v>
          </cell>
          <cell r="H1173" t="str">
            <v>Transmission Kit sump and spin-on return filter</v>
          </cell>
        </row>
        <row r="1174">
          <cell r="G1174" t="str">
            <v>LAF5789</v>
          </cell>
          <cell r="H1174" t="str">
            <v>Oval Air Filter</v>
          </cell>
        </row>
        <row r="1175">
          <cell r="G1175" t="str">
            <v>LAF8481</v>
          </cell>
          <cell r="H1175" t="str">
            <v>Radial Seal Inner Air Filter</v>
          </cell>
        </row>
        <row r="1176">
          <cell r="G1176" t="str">
            <v>AF4030</v>
          </cell>
          <cell r="H1176" t="str">
            <v>Flexible Panel Air Filter</v>
          </cell>
        </row>
        <row r="1177">
          <cell r="G1177" t="str">
            <v>LAF7315</v>
          </cell>
          <cell r="H1177" t="str">
            <v>HD Metal-End Inner Air Filter</v>
          </cell>
        </row>
        <row r="1178">
          <cell r="G1178" t="str">
            <v>LAF6205</v>
          </cell>
          <cell r="H1178" t="str">
            <v>Radial Seal Air Filter, Primary</v>
          </cell>
        </row>
        <row r="1179">
          <cell r="G1179" t="str">
            <v>LFF7688</v>
          </cell>
          <cell r="H1179" t="str">
            <v>Spin-on Fuel Water Separator Filter</v>
          </cell>
        </row>
        <row r="1180">
          <cell r="G1180" t="str">
            <v>LAF6114</v>
          </cell>
          <cell r="H1180" t="str">
            <v>Radial Seal Outer Air Filter</v>
          </cell>
        </row>
        <row r="1181">
          <cell r="G1181" t="str">
            <v>LFH22034</v>
          </cell>
          <cell r="H1181" t="str">
            <v>Spin-on Hydraulic Filter</v>
          </cell>
        </row>
        <row r="1182">
          <cell r="G1182" t="str">
            <v>CAF24009</v>
          </cell>
          <cell r="H1182" t="str">
            <v>Cabin Air Filter</v>
          </cell>
        </row>
        <row r="1183">
          <cell r="G1183" t="str">
            <v>LAF3236</v>
          </cell>
          <cell r="H1183" t="str">
            <v>Corrugated Media Air Filter</v>
          </cell>
        </row>
        <row r="1184">
          <cell r="G1184" t="str">
            <v>AF5186</v>
          </cell>
          <cell r="H1184" t="str">
            <v>Rigid Panel Air Filter</v>
          </cell>
        </row>
        <row r="1185">
          <cell r="G1185" t="str">
            <v>CAF1726</v>
          </cell>
          <cell r="H1185" t="str">
            <v>Cabin Air Filter</v>
          </cell>
        </row>
        <row r="1186">
          <cell r="G1186" t="str">
            <v>LAF1846</v>
          </cell>
          <cell r="H1186" t="str">
            <v>HD Metal-End Air Filter</v>
          </cell>
        </row>
        <row r="1187">
          <cell r="G1187" t="str">
            <v>LAF1533</v>
          </cell>
          <cell r="H1187" t="str">
            <v>HD Metal-End Air Filter</v>
          </cell>
        </row>
        <row r="1188">
          <cell r="G1188" t="str">
            <v>AF178</v>
          </cell>
          <cell r="H1188" t="str">
            <v>Round Air Filter</v>
          </cell>
        </row>
        <row r="1189">
          <cell r="G1189" t="str">
            <v>AF1301</v>
          </cell>
          <cell r="H1189" t="str">
            <v>Radial Seal Air Filter</v>
          </cell>
        </row>
        <row r="1190">
          <cell r="G1190" t="str">
            <v>LP5730</v>
          </cell>
          <cell r="H1190" t="str">
            <v>Cartridge Oil Filter</v>
          </cell>
        </row>
        <row r="1191">
          <cell r="G1191" t="str">
            <v>CAF1897C</v>
          </cell>
          <cell r="H1191" t="str">
            <v>Cabin Air Filter (Carbon)</v>
          </cell>
        </row>
        <row r="1192">
          <cell r="G1192" t="str">
            <v>LAF1768</v>
          </cell>
          <cell r="H1192" t="str">
            <v>HD Metal-End Air Filter with Attached Lid</v>
          </cell>
        </row>
        <row r="1193">
          <cell r="G1193" t="str">
            <v>LAF5454</v>
          </cell>
          <cell r="H1193" t="str">
            <v>Panel Air Filter Irregular Shaped</v>
          </cell>
        </row>
        <row r="1194">
          <cell r="G1194" t="str">
            <v>LFH8263</v>
          </cell>
          <cell r="H1194" t="str">
            <v>Spin-on Hydraulic Filter</v>
          </cell>
        </row>
        <row r="1195">
          <cell r="G1195" t="str">
            <v>LAF210</v>
          </cell>
          <cell r="H1195" t="str">
            <v>HD Metal-End Air Filter</v>
          </cell>
        </row>
        <row r="1196">
          <cell r="G1196" t="str">
            <v>LH9351</v>
          </cell>
          <cell r="H1196" t="str">
            <v>Cartridge Hydraulic Filter</v>
          </cell>
        </row>
        <row r="1197">
          <cell r="G1197" t="str">
            <v>LFH8207</v>
          </cell>
          <cell r="H1197" t="str">
            <v>Spin-on Hydraulic Filter</v>
          </cell>
        </row>
        <row r="1198">
          <cell r="G1198" t="str">
            <v>LAF562</v>
          </cell>
          <cell r="H1198" t="str">
            <v>HD Metal-End Air Filter</v>
          </cell>
        </row>
        <row r="1199">
          <cell r="G1199" t="str">
            <v>CAF1907P</v>
          </cell>
          <cell r="H1199" t="str">
            <v>Cabin Air Filter</v>
          </cell>
        </row>
        <row r="1200">
          <cell r="G1200" t="str">
            <v>CAF1866C</v>
          </cell>
          <cell r="H1200" t="str">
            <v>Cabin Air Filter (Carbon)</v>
          </cell>
        </row>
        <row r="1201">
          <cell r="G1201" t="str">
            <v>P984</v>
          </cell>
          <cell r="H1201" t="str">
            <v>Cartridge Oil Filter</v>
          </cell>
        </row>
        <row r="1202">
          <cell r="G1202" t="str">
            <v>LAF8531</v>
          </cell>
          <cell r="H1202" t="str">
            <v>Cone Shaped Conical Air Filter</v>
          </cell>
        </row>
        <row r="1203">
          <cell r="G1203" t="str">
            <v>L6268F</v>
          </cell>
          <cell r="H1203" t="str">
            <v>Snap-lock Fuel/Water Separator Filter</v>
          </cell>
        </row>
        <row r="1204">
          <cell r="G1204" t="str">
            <v>LH8506</v>
          </cell>
          <cell r="H1204" t="str">
            <v>Cartridge Hydraulic Filter</v>
          </cell>
        </row>
        <row r="1205">
          <cell r="G1205" t="str">
            <v>AF3619</v>
          </cell>
          <cell r="H1205" t="str">
            <v>Air Filter</v>
          </cell>
        </row>
        <row r="1206">
          <cell r="G1206" t="str">
            <v>LAF4511</v>
          </cell>
          <cell r="H1206" t="str">
            <v>Disposible Housing Air Filter</v>
          </cell>
        </row>
        <row r="1207">
          <cell r="G1207" t="str">
            <v>CAF1900P</v>
          </cell>
          <cell r="H1207" t="str">
            <v>Cabin Air Filter</v>
          </cell>
        </row>
        <row r="1208">
          <cell r="G1208" t="str">
            <v>LFW4422</v>
          </cell>
          <cell r="H1208" t="str">
            <v>Spin-on Coolant Filter</v>
          </cell>
        </row>
        <row r="1209">
          <cell r="G1209" t="str">
            <v>LAF1881</v>
          </cell>
          <cell r="H1209" t="str">
            <v>HD Metal-End Air Filter</v>
          </cell>
        </row>
        <row r="1210">
          <cell r="G1210" t="str">
            <v>LAF3663</v>
          </cell>
          <cell r="H1210" t="str">
            <v>Radial Seal Outer Air Filter</v>
          </cell>
        </row>
        <row r="1211">
          <cell r="G1211" t="str">
            <v>LAF22029</v>
          </cell>
          <cell r="H1211" t="str">
            <v>Radial Seal Outer Air Filter</v>
          </cell>
        </row>
        <row r="1212">
          <cell r="G1212" t="str">
            <v>LAF1879</v>
          </cell>
          <cell r="H1212" t="str">
            <v>Panel Air Filter Metal Framed</v>
          </cell>
        </row>
        <row r="1213">
          <cell r="G1213" t="str">
            <v>LAF2536MXM</v>
          </cell>
          <cell r="H1213" t="str">
            <v>Nano Tech HD Metal-End Air Filter Outer</v>
          </cell>
        </row>
        <row r="1214">
          <cell r="G1214" t="str">
            <v>LP3660</v>
          </cell>
          <cell r="H1214" t="str">
            <v>Cartridge Oil Filter</v>
          </cell>
        </row>
        <row r="1215">
          <cell r="G1215" t="str">
            <v>AF3095</v>
          </cell>
          <cell r="H1215" t="str">
            <v>Rigid Panel Air Filter</v>
          </cell>
        </row>
        <row r="1216">
          <cell r="G1216" t="str">
            <v>LFH6812</v>
          </cell>
          <cell r="H1216" t="str">
            <v>Spin-on Hydraulic Filter</v>
          </cell>
        </row>
        <row r="1217">
          <cell r="G1217" t="str">
            <v>FT100</v>
          </cell>
          <cell r="H1217" t="str">
            <v>FFD2 Filter and Mounting Base Assembly</v>
          </cell>
        </row>
        <row r="1218">
          <cell r="G1218" t="str">
            <v>LFF7284</v>
          </cell>
          <cell r="H1218" t="str">
            <v>Cartridge Fuel/Water Separator Filter</v>
          </cell>
        </row>
        <row r="1219">
          <cell r="G1219" t="str">
            <v>LFF8727</v>
          </cell>
          <cell r="H1219" t="str">
            <v>Spin-on Fuel Filter</v>
          </cell>
        </row>
        <row r="1220">
          <cell r="G1220" t="str">
            <v>CAF1850P</v>
          </cell>
          <cell r="H1220" t="str">
            <v>Cabin Air Filter</v>
          </cell>
        </row>
        <row r="1221">
          <cell r="G1221" t="str">
            <v>LAF3890</v>
          </cell>
          <cell r="H1221" t="str">
            <v>Radial Seal Inner Air Filter</v>
          </cell>
        </row>
        <row r="1222">
          <cell r="G1222" t="str">
            <v>LAF942</v>
          </cell>
          <cell r="H1222" t="str">
            <v>HD Metal-End Air Filter</v>
          </cell>
        </row>
        <row r="1223">
          <cell r="G1223" t="str">
            <v>LFP2538</v>
          </cell>
          <cell r="H1223" t="str">
            <v>Spin-on Oil Filter</v>
          </cell>
        </row>
        <row r="1224">
          <cell r="G1224" t="str">
            <v>LFF8061U</v>
          </cell>
          <cell r="H1224" t="str">
            <v>Spin-on Fuel Filter</v>
          </cell>
        </row>
        <row r="1225">
          <cell r="G1225" t="str">
            <v>PH26</v>
          </cell>
          <cell r="H1225" t="str">
            <v>Spin-on Oil Filter</v>
          </cell>
        </row>
        <row r="1226">
          <cell r="G1226" t="str">
            <v>LAF8146</v>
          </cell>
          <cell r="H1226" t="str">
            <v>Radial Seal Outer Air Filter</v>
          </cell>
        </row>
        <row r="1227">
          <cell r="G1227" t="str">
            <v>LAF6151</v>
          </cell>
          <cell r="H1227" t="str">
            <v>Radial Seal Outer Air Filter</v>
          </cell>
        </row>
        <row r="1228">
          <cell r="G1228" t="str">
            <v>AF3202</v>
          </cell>
          <cell r="H1228" t="str">
            <v>Air Filter</v>
          </cell>
        </row>
        <row r="1229">
          <cell r="G1229" t="str">
            <v>LFP2215</v>
          </cell>
          <cell r="H1229" t="str">
            <v>Spin-on Oil Filter</v>
          </cell>
        </row>
        <row r="1230">
          <cell r="G1230" t="str">
            <v>CAF24020</v>
          </cell>
          <cell r="H1230" t="str">
            <v>Cabin Air Filter</v>
          </cell>
        </row>
        <row r="1231">
          <cell r="G1231" t="str">
            <v>CAF1820P</v>
          </cell>
          <cell r="H1231" t="str">
            <v>Cabin Air Filter</v>
          </cell>
        </row>
        <row r="1232">
          <cell r="G1232" t="str">
            <v>CAF1846P</v>
          </cell>
          <cell r="H1232" t="str">
            <v>Cabin Air Filter</v>
          </cell>
        </row>
        <row r="1233">
          <cell r="G1233" t="str">
            <v>LFP2100C</v>
          </cell>
          <cell r="H1233" t="str">
            <v>Spin-on Fuel Water Separator Coalescer Filter</v>
          </cell>
        </row>
        <row r="1234">
          <cell r="G1234" t="str">
            <v>LAF5429</v>
          </cell>
          <cell r="H1234" t="str">
            <v>Conical Radial Seal Air filter Outer</v>
          </cell>
        </row>
        <row r="1235">
          <cell r="G1235" t="str">
            <v>LAF1820</v>
          </cell>
          <cell r="H1235" t="str">
            <v>HD Metal-End Air Filter</v>
          </cell>
        </row>
        <row r="1236">
          <cell r="G1236" t="str">
            <v>LOSK-3</v>
          </cell>
          <cell r="H1236" t="str">
            <v>Oil Analysis Test Kit</v>
          </cell>
        </row>
        <row r="1237">
          <cell r="G1237" t="str">
            <v>LAF2821</v>
          </cell>
          <cell r="H1237" t="str">
            <v>HD Metal-End Air Filter with Attached Lid</v>
          </cell>
        </row>
        <row r="1238">
          <cell r="G1238" t="str">
            <v>LAF1799</v>
          </cell>
          <cell r="H1238" t="str">
            <v>Disposible Housing Air Filter</v>
          </cell>
        </row>
        <row r="1239">
          <cell r="G1239" t="str">
            <v>LAF8791</v>
          </cell>
          <cell r="H1239" t="str">
            <v>Cabin Air Filter Panel</v>
          </cell>
        </row>
        <row r="1240">
          <cell r="G1240" t="str">
            <v>AF3996</v>
          </cell>
          <cell r="H1240" t="str">
            <v>Rigid Panel Air Filter</v>
          </cell>
        </row>
        <row r="1241">
          <cell r="G1241" t="str">
            <v>CAF1908P</v>
          </cell>
          <cell r="H1241" t="str">
            <v>Cabin Air Filter</v>
          </cell>
        </row>
        <row r="1242">
          <cell r="G1242" t="str">
            <v>AF92</v>
          </cell>
          <cell r="H1242" t="str">
            <v>Round Air Filter</v>
          </cell>
        </row>
        <row r="1243">
          <cell r="G1243" t="str">
            <v>LFP2230</v>
          </cell>
          <cell r="H1243" t="str">
            <v>Spin-on Oil Filter</v>
          </cell>
        </row>
        <row r="1244">
          <cell r="G1244" t="str">
            <v>CAF24017</v>
          </cell>
          <cell r="H1244" t="str">
            <v>Cabin Air Filter</v>
          </cell>
        </row>
        <row r="1245">
          <cell r="G1245" t="str">
            <v>AF101</v>
          </cell>
          <cell r="H1245" t="str">
            <v>Round Air Filter</v>
          </cell>
        </row>
        <row r="1246">
          <cell r="G1246" t="str">
            <v>CAF1852P</v>
          </cell>
          <cell r="H1246" t="str">
            <v>Cabin Air Filter</v>
          </cell>
        </row>
        <row r="1247">
          <cell r="G1247" t="str">
            <v>AF4062</v>
          </cell>
          <cell r="H1247" t="str">
            <v>Rigid Panel Air Filter</v>
          </cell>
        </row>
        <row r="1248">
          <cell r="G1248" t="str">
            <v>LAF6003</v>
          </cell>
          <cell r="H1248" t="str">
            <v>Disposible Housing Air Filter</v>
          </cell>
        </row>
        <row r="1249">
          <cell r="G1249" t="str">
            <v>LAF3951</v>
          </cell>
          <cell r="H1249" t="str">
            <v>Radial Seal Outer Air Filter</v>
          </cell>
        </row>
        <row r="1250">
          <cell r="G1250" t="str">
            <v>LAF22025</v>
          </cell>
          <cell r="H1250" t="str">
            <v>Oval Air Filter</v>
          </cell>
        </row>
        <row r="1251">
          <cell r="G1251" t="str">
            <v>T867</v>
          </cell>
          <cell r="H1251" t="str">
            <v>Transmission Filter</v>
          </cell>
        </row>
        <row r="1252">
          <cell r="G1252" t="str">
            <v>L8679F</v>
          </cell>
          <cell r="H1252" t="str">
            <v>Snap-Lock Fuel Filter</v>
          </cell>
        </row>
        <row r="1253">
          <cell r="G1253" t="str">
            <v>LAF8383</v>
          </cell>
          <cell r="H1253" t="str">
            <v>Round Air Filter</v>
          </cell>
        </row>
        <row r="1254">
          <cell r="G1254" t="str">
            <v>LFH1832</v>
          </cell>
          <cell r="H1254" t="str">
            <v>Spin-on Hydraulic Filter</v>
          </cell>
        </row>
        <row r="1255">
          <cell r="G1255" t="str">
            <v>LFF5645</v>
          </cell>
          <cell r="H1255" t="str">
            <v>Spin-on Fuel Filter</v>
          </cell>
        </row>
        <row r="1256">
          <cell r="G1256" t="str">
            <v>LAF1675</v>
          </cell>
          <cell r="H1256" t="str">
            <v>Flexible Panel Air Filter</v>
          </cell>
        </row>
        <row r="1257">
          <cell r="G1257" t="str">
            <v>LAF290A</v>
          </cell>
          <cell r="H1257" t="str">
            <v>HD Metal-End Air Filter</v>
          </cell>
        </row>
        <row r="1258">
          <cell r="G1258" t="str">
            <v>AF315</v>
          </cell>
          <cell r="H1258" t="str">
            <v>Round Air Filter</v>
          </cell>
        </row>
        <row r="1259">
          <cell r="G1259" t="str">
            <v>CAF24008</v>
          </cell>
          <cell r="H1259" t="str">
            <v>Cabin Air Filter</v>
          </cell>
        </row>
        <row r="1260">
          <cell r="G1260" t="str">
            <v>LFF5850U</v>
          </cell>
          <cell r="H1260" t="str">
            <v>Bowless Fuel Water Separator Filter</v>
          </cell>
        </row>
        <row r="1261">
          <cell r="G1261" t="str">
            <v>LK162D</v>
          </cell>
          <cell r="H1261" t="str">
            <v>Detroit Diesel Engine Maintenance Kit</v>
          </cell>
        </row>
        <row r="1262">
          <cell r="G1262" t="str">
            <v>AF1043</v>
          </cell>
          <cell r="H1262" t="str">
            <v>Flexible Panel Air Filter</v>
          </cell>
        </row>
        <row r="1263">
          <cell r="G1263" t="str">
            <v>T667</v>
          </cell>
          <cell r="H1263" t="str">
            <v>Transmission Filter Kit</v>
          </cell>
        </row>
        <row r="1264">
          <cell r="G1264" t="str">
            <v>LFP8964</v>
          </cell>
          <cell r="H1264" t="str">
            <v>Spin-on Oil Filter</v>
          </cell>
        </row>
        <row r="1265">
          <cell r="G1265" t="str">
            <v>LFP7174</v>
          </cell>
          <cell r="H1265" t="str">
            <v>Spin-on Oil Filter</v>
          </cell>
        </row>
        <row r="1266">
          <cell r="G1266" t="str">
            <v>LFF4511W-30</v>
          </cell>
          <cell r="H1266" t="str">
            <v>Fuel Dispensing Filter</v>
          </cell>
        </row>
        <row r="1267">
          <cell r="G1267" t="str">
            <v>LFF3343</v>
          </cell>
          <cell r="H1267" t="str">
            <v>Spin-on Fuel Filter</v>
          </cell>
        </row>
        <row r="1268">
          <cell r="G1268" t="str">
            <v>T643</v>
          </cell>
          <cell r="H1268" t="str">
            <v>Transmission Filter Kit</v>
          </cell>
        </row>
        <row r="1269">
          <cell r="G1269" t="str">
            <v>AF5193</v>
          </cell>
          <cell r="H1269" t="str">
            <v>Rigid Panel Air Filter</v>
          </cell>
        </row>
        <row r="1270">
          <cell r="G1270" t="str">
            <v>AF210</v>
          </cell>
          <cell r="H1270" t="str">
            <v>Round Air Filter</v>
          </cell>
        </row>
        <row r="1271">
          <cell r="G1271" t="str">
            <v>L5109F</v>
          </cell>
          <cell r="H1271" t="str">
            <v>Cartridge Fuel Water Separator Filter</v>
          </cell>
        </row>
        <row r="1272">
          <cell r="G1272" t="str">
            <v>T656</v>
          </cell>
          <cell r="H1272" t="str">
            <v>Transmission Filter Kit</v>
          </cell>
        </row>
        <row r="1273">
          <cell r="G1273" t="str">
            <v>LFH4960</v>
          </cell>
          <cell r="H1273" t="str">
            <v>Spin-on Hydraulic Filter</v>
          </cell>
        </row>
        <row r="1274">
          <cell r="G1274" t="str">
            <v>LFF6924</v>
          </cell>
          <cell r="H1274" t="str">
            <v>Spin-on Fuel Filter</v>
          </cell>
        </row>
        <row r="1275">
          <cell r="G1275" t="str">
            <v>LAF1163</v>
          </cell>
          <cell r="H1275" t="str">
            <v>HD Metal-End Air Filter</v>
          </cell>
        </row>
        <row r="1276">
          <cell r="G1276" t="str">
            <v>LAF4482</v>
          </cell>
          <cell r="H1276" t="str">
            <v>Disposible Housing Air Filter</v>
          </cell>
        </row>
        <row r="1277">
          <cell r="G1277" t="str">
            <v>L3881F</v>
          </cell>
          <cell r="H1277" t="str">
            <v>Snap-Lock Fuel Filter</v>
          </cell>
        </row>
        <row r="1278">
          <cell r="G1278" t="str">
            <v>LFH8412</v>
          </cell>
          <cell r="H1278" t="str">
            <v>Spin-on Hydraulic Filter</v>
          </cell>
        </row>
        <row r="1279">
          <cell r="G1279" t="str">
            <v>LH8543</v>
          </cell>
          <cell r="H1279" t="str">
            <v>Cartridge Hydraulic Filter</v>
          </cell>
        </row>
        <row r="1280">
          <cell r="G1280" t="str">
            <v>LH8414G</v>
          </cell>
          <cell r="H1280" t="str">
            <v>Cartridge Hydraulic Filter</v>
          </cell>
        </row>
        <row r="1281">
          <cell r="G1281" t="str">
            <v>LAF160</v>
          </cell>
          <cell r="H1281" t="str">
            <v>HD Metal-End Air Filter</v>
          </cell>
        </row>
        <row r="1282">
          <cell r="G1282" t="str">
            <v>AF3148</v>
          </cell>
          <cell r="H1282" t="str">
            <v>Flexible Panel Air Filter</v>
          </cell>
        </row>
        <row r="1283">
          <cell r="G1283" t="str">
            <v>LAF4340</v>
          </cell>
          <cell r="H1283" t="str">
            <v>Cabin Air Filter</v>
          </cell>
        </row>
        <row r="1284">
          <cell r="G1284" t="str">
            <v>LAF388B</v>
          </cell>
          <cell r="H1284" t="str">
            <v>Round Air Filter with Foam Wrap</v>
          </cell>
        </row>
        <row r="1285">
          <cell r="G1285">
            <v>3566</v>
          </cell>
          <cell r="H1285" t="str">
            <v>Clamping Ring Assembly/500-C, 750-C, CT, 2C, 3C</v>
          </cell>
        </row>
        <row r="1286">
          <cell r="G1286" t="str">
            <v>P908</v>
          </cell>
          <cell r="H1286" t="str">
            <v>Cartridge Oil Filter</v>
          </cell>
        </row>
        <row r="1287">
          <cell r="G1287" t="str">
            <v>LAF4526</v>
          </cell>
          <cell r="H1287" t="str">
            <v>Radial Seal Outer Air Filter</v>
          </cell>
        </row>
        <row r="1288">
          <cell r="G1288" t="str">
            <v>LAF3780</v>
          </cell>
          <cell r="H1288" t="str">
            <v>Panel Air Filter Irregular Shaped</v>
          </cell>
        </row>
        <row r="1289">
          <cell r="G1289" t="str">
            <v>CAF1810C</v>
          </cell>
          <cell r="H1289" t="str">
            <v>Cabin Air Filter (Carbon)</v>
          </cell>
        </row>
        <row r="1290">
          <cell r="G1290" t="str">
            <v>LAF47</v>
          </cell>
          <cell r="H1290" t="str">
            <v>HD Metal-End Air Filter</v>
          </cell>
        </row>
        <row r="1291">
          <cell r="G1291" t="str">
            <v>LAF5482</v>
          </cell>
          <cell r="H1291" t="str">
            <v>Cabin Air Filter</v>
          </cell>
        </row>
        <row r="1292">
          <cell r="G1292" t="str">
            <v>LH22064</v>
          </cell>
          <cell r="H1292" t="str">
            <v>Cartridge Hydraulic Filter</v>
          </cell>
        </row>
        <row r="1293">
          <cell r="G1293" t="str">
            <v>LFP2267</v>
          </cell>
          <cell r="H1293" t="str">
            <v>Spin-on Oil Filter</v>
          </cell>
        </row>
        <row r="1294">
          <cell r="G1294" t="str">
            <v>LFP2287</v>
          </cell>
          <cell r="H1294" t="str">
            <v>Spin-on Hydraulic Filter</v>
          </cell>
        </row>
        <row r="1295">
          <cell r="G1295" t="str">
            <v>LAF8552</v>
          </cell>
          <cell r="H1295" t="str">
            <v>HD Round Air Filter with Attached Boot</v>
          </cell>
        </row>
        <row r="1296">
          <cell r="G1296" t="str">
            <v>LFH9367</v>
          </cell>
          <cell r="H1296" t="str">
            <v>Spin-on Hydraulic Filter</v>
          </cell>
        </row>
        <row r="1297">
          <cell r="G1297" t="str">
            <v>CAF1751</v>
          </cell>
          <cell r="H1297" t="str">
            <v>Cabin Air Filter</v>
          </cell>
        </row>
        <row r="1298">
          <cell r="G1298" t="str">
            <v>AF4066</v>
          </cell>
          <cell r="H1298" t="str">
            <v>Flexible Panel Air Filter</v>
          </cell>
        </row>
        <row r="1299">
          <cell r="G1299" t="str">
            <v>LAF3237</v>
          </cell>
          <cell r="H1299" t="str">
            <v>Special Configuration Air Filter</v>
          </cell>
        </row>
        <row r="1300">
          <cell r="G1300" t="str">
            <v>CAF1864P</v>
          </cell>
          <cell r="H1300" t="str">
            <v>Cabin Air Filter</v>
          </cell>
        </row>
        <row r="1301">
          <cell r="G1301" t="str">
            <v>G645</v>
          </cell>
          <cell r="H1301" t="str">
            <v>In-Line Fuel Filter</v>
          </cell>
        </row>
        <row r="1302">
          <cell r="G1302" t="str">
            <v>LAF8487</v>
          </cell>
          <cell r="H1302" t="str">
            <v>Disposible Housing Air Filter</v>
          </cell>
        </row>
        <row r="1303">
          <cell r="G1303" t="str">
            <v>CAF1848P</v>
          </cell>
          <cell r="H1303" t="str">
            <v>Cabin Air Filter</v>
          </cell>
        </row>
        <row r="1304">
          <cell r="G1304" t="str">
            <v>LAF4621</v>
          </cell>
          <cell r="H1304" t="str">
            <v>Radial Seal Inner Air Filter</v>
          </cell>
        </row>
        <row r="1305">
          <cell r="G1305" t="str">
            <v>LAF9097MXM</v>
          </cell>
          <cell r="H1305" t="str">
            <v>Nano Tech Air Filter Finned Vane</v>
          </cell>
        </row>
        <row r="1306">
          <cell r="G1306" t="str">
            <v>LAF8111</v>
          </cell>
          <cell r="H1306" t="str">
            <v>Radial Seal Inner Air Filter</v>
          </cell>
        </row>
        <row r="1307">
          <cell r="G1307" t="str">
            <v>LFH8335</v>
          </cell>
          <cell r="H1307" t="str">
            <v>Spin-on Hydraulic Filter</v>
          </cell>
        </row>
        <row r="1308">
          <cell r="G1308" t="str">
            <v>L901B</v>
          </cell>
          <cell r="H1308" t="str">
            <v>Glass Bowl</v>
          </cell>
        </row>
        <row r="1309">
          <cell r="G1309" t="str">
            <v>LFP9001XL</v>
          </cell>
          <cell r="H1309" t="str">
            <v>Spin-on Oil Filter</v>
          </cell>
        </row>
        <row r="1310">
          <cell r="G1310" t="str">
            <v>LAF121</v>
          </cell>
          <cell r="H1310" t="str">
            <v>Round Air Filter</v>
          </cell>
        </row>
        <row r="1311">
          <cell r="G1311" t="str">
            <v>LAF5818</v>
          </cell>
          <cell r="H1311" t="str">
            <v>Rigid Panel Air Filter</v>
          </cell>
        </row>
        <row r="1312">
          <cell r="G1312" t="str">
            <v>LH2512</v>
          </cell>
          <cell r="H1312" t="str">
            <v>Cartridge Power Steering (Hydraulic) Filter</v>
          </cell>
        </row>
        <row r="1313">
          <cell r="G1313" t="str">
            <v>LAF6641</v>
          </cell>
          <cell r="H1313" t="str">
            <v>Round Inner Air Filter</v>
          </cell>
        </row>
        <row r="1314">
          <cell r="G1314" t="str">
            <v>LAF3717</v>
          </cell>
          <cell r="H1314" t="str">
            <v>HD Round Air Filter with Attached Boot</v>
          </cell>
        </row>
        <row r="1315">
          <cell r="G1315" t="str">
            <v>L8892F</v>
          </cell>
          <cell r="H1315" t="str">
            <v>Snap-Lock Fuel Filter</v>
          </cell>
        </row>
        <row r="1316">
          <cell r="G1316" t="str">
            <v>LFF5357</v>
          </cell>
          <cell r="H1316" t="str">
            <v>Fuel/Water Separator Spin-on Filter</v>
          </cell>
        </row>
        <row r="1317">
          <cell r="G1317" t="str">
            <v>L8721F</v>
          </cell>
          <cell r="H1317" t="str">
            <v>Snap-Lock Fuel Filter</v>
          </cell>
        </row>
        <row r="1318">
          <cell r="G1318" t="str">
            <v>LAF503</v>
          </cell>
          <cell r="H1318" t="str">
            <v>HD Metal-End Air Filter</v>
          </cell>
        </row>
        <row r="1319">
          <cell r="G1319" t="str">
            <v>LAF8641</v>
          </cell>
          <cell r="H1319" t="str">
            <v>HD Metal-End Air Filter</v>
          </cell>
        </row>
        <row r="1320">
          <cell r="G1320" t="str">
            <v>LFF3396</v>
          </cell>
          <cell r="H1320" t="str">
            <v>Spin-on Fuel Filter</v>
          </cell>
        </row>
        <row r="1321">
          <cell r="G1321" t="str">
            <v>T866</v>
          </cell>
          <cell r="H1321" t="str">
            <v>Transmission Filter</v>
          </cell>
        </row>
        <row r="1322">
          <cell r="G1322" t="str">
            <v>T196</v>
          </cell>
          <cell r="H1322" t="str">
            <v>Transmission Filter Kit</v>
          </cell>
        </row>
        <row r="1323">
          <cell r="G1323" t="str">
            <v>LAF7234</v>
          </cell>
          <cell r="H1323" t="str">
            <v>Flexible Panel Air Filter</v>
          </cell>
        </row>
        <row r="1324">
          <cell r="G1324" t="str">
            <v>LFW4018</v>
          </cell>
          <cell r="H1324" t="str">
            <v>Spin-on Coolant Filter</v>
          </cell>
        </row>
        <row r="1325">
          <cell r="G1325" t="str">
            <v>LAF558</v>
          </cell>
          <cell r="H1325" t="str">
            <v>HD Metal-End Air Filter</v>
          </cell>
        </row>
        <row r="1326">
          <cell r="G1326" t="str">
            <v>AF215</v>
          </cell>
          <cell r="H1326" t="str">
            <v>Round Air Filter</v>
          </cell>
        </row>
        <row r="1327">
          <cell r="G1327" t="str">
            <v>LFH8799</v>
          </cell>
          <cell r="H1327" t="str">
            <v>Spin-on Hydraulic Filter</v>
          </cell>
        </row>
        <row r="1328">
          <cell r="G1328" t="str">
            <v>LAF6907</v>
          </cell>
          <cell r="H1328" t="str">
            <v>Air Filter (Precleaner)</v>
          </cell>
        </row>
        <row r="1329">
          <cell r="G1329" t="str">
            <v>LFH8500</v>
          </cell>
          <cell r="H1329" t="str">
            <v>Spin-on Hydraulic Filter</v>
          </cell>
        </row>
        <row r="1330">
          <cell r="G1330" t="str">
            <v>LAF7757</v>
          </cell>
          <cell r="H1330" t="str">
            <v>Metal-End Air Filter with Closed Top End Cap</v>
          </cell>
        </row>
        <row r="1331">
          <cell r="G1331" t="str">
            <v>PC356</v>
          </cell>
          <cell r="H1331" t="str">
            <v>PCV Valve</v>
          </cell>
        </row>
        <row r="1332">
          <cell r="G1332" t="str">
            <v>LAF8647</v>
          </cell>
          <cell r="H1332" t="str">
            <v>HD Metal-End Air Filter with Attached Lid</v>
          </cell>
        </row>
        <row r="1333">
          <cell r="G1333" t="str">
            <v>CAF24007XL</v>
          </cell>
          <cell r="H1333" t="str">
            <v>Cabin Air Filter (Carbon) Extreme Clean</v>
          </cell>
        </row>
        <row r="1334">
          <cell r="G1334" t="str">
            <v>LFP2221</v>
          </cell>
          <cell r="H1334" t="str">
            <v>Spin-on Oil Filter</v>
          </cell>
        </row>
        <row r="1335">
          <cell r="G1335" t="str">
            <v>AF5220</v>
          </cell>
          <cell r="H1335" t="str">
            <v>Rigid Panel Air Filter</v>
          </cell>
        </row>
        <row r="1336">
          <cell r="G1336" t="str">
            <v>LP2235</v>
          </cell>
          <cell r="H1336" t="str">
            <v>Cartridge Oil Filter</v>
          </cell>
        </row>
        <row r="1337">
          <cell r="G1337" t="str">
            <v>G6628</v>
          </cell>
          <cell r="H1337" t="str">
            <v>In-Line Fuel Filter</v>
          </cell>
        </row>
        <row r="1338">
          <cell r="G1338" t="str">
            <v>AF329</v>
          </cell>
          <cell r="H1338" t="str">
            <v>Round Air Filter</v>
          </cell>
        </row>
        <row r="1339">
          <cell r="G1339" t="str">
            <v>LFP2303</v>
          </cell>
          <cell r="H1339" t="str">
            <v>Spin-on Oil Filter</v>
          </cell>
        </row>
        <row r="1340">
          <cell r="G1340" t="str">
            <v>LH4263</v>
          </cell>
          <cell r="H1340" t="str">
            <v>Cartridge Transmission (Hydraulic) Filter</v>
          </cell>
        </row>
        <row r="1341">
          <cell r="G1341" t="str">
            <v>LK368CA</v>
          </cell>
          <cell r="H1341" t="str">
            <v>Caterpillar Maintenance Kit</v>
          </cell>
        </row>
        <row r="1342">
          <cell r="G1342" t="str">
            <v>LAF1716</v>
          </cell>
          <cell r="H1342" t="str">
            <v>HD Metal-End Air Filter</v>
          </cell>
        </row>
        <row r="1343">
          <cell r="G1343" t="str">
            <v>CAF1847C</v>
          </cell>
          <cell r="H1343" t="str">
            <v>Cabin Air Filter (Carbon)</v>
          </cell>
        </row>
        <row r="1344">
          <cell r="G1344" t="str">
            <v>LAF5430</v>
          </cell>
          <cell r="H1344" t="str">
            <v>Conical Radial Seal Air filter Inner</v>
          </cell>
        </row>
        <row r="1345">
          <cell r="G1345" t="str">
            <v>LAF760A</v>
          </cell>
          <cell r="H1345" t="str">
            <v>HD Metal-End Air Filter</v>
          </cell>
        </row>
        <row r="1346">
          <cell r="G1346" t="str">
            <v>L3561F</v>
          </cell>
          <cell r="H1346" t="str">
            <v>Cartridge Fuel Filter</v>
          </cell>
        </row>
        <row r="1347">
          <cell r="G1347" t="str">
            <v>PH2856A</v>
          </cell>
          <cell r="H1347" t="str">
            <v>Spin-on Oil Filter</v>
          </cell>
        </row>
        <row r="1348">
          <cell r="G1348" t="str">
            <v>CAF1849P</v>
          </cell>
          <cell r="H1348" t="str">
            <v>Cabin Air Filter</v>
          </cell>
        </row>
        <row r="1349">
          <cell r="G1349" t="str">
            <v>LFP8501</v>
          </cell>
          <cell r="H1349" t="str">
            <v>Spin-on Oil Filter</v>
          </cell>
        </row>
        <row r="1350">
          <cell r="G1350" t="str">
            <v>LFP2473</v>
          </cell>
          <cell r="H1350" t="str">
            <v>Spin-on Oil Filter</v>
          </cell>
        </row>
        <row r="1351">
          <cell r="G1351" t="str">
            <v>FP863F</v>
          </cell>
          <cell r="H1351" t="str">
            <v>Spin-on Fuel Water Separator Filter</v>
          </cell>
        </row>
        <row r="1352">
          <cell r="G1352" t="str">
            <v>LAF8777</v>
          </cell>
          <cell r="H1352" t="str">
            <v>Flexible Panel Air Filter</v>
          </cell>
        </row>
        <row r="1353">
          <cell r="G1353" t="str">
            <v>LAF8115</v>
          </cell>
          <cell r="H1353" t="str">
            <v>Radial Seal Inner Air Filter</v>
          </cell>
        </row>
        <row r="1354">
          <cell r="G1354" t="str">
            <v>LFF8041</v>
          </cell>
          <cell r="H1354" t="str">
            <v>Spin-on Fuel Water Separator Filter</v>
          </cell>
        </row>
        <row r="1355">
          <cell r="G1355" t="str">
            <v>LAF965</v>
          </cell>
          <cell r="H1355" t="str">
            <v>Round Air Filter</v>
          </cell>
        </row>
        <row r="1356">
          <cell r="G1356" t="str">
            <v>LH4237</v>
          </cell>
          <cell r="H1356" t="str">
            <v>Cartridge Hydraulic Filter</v>
          </cell>
        </row>
        <row r="1357">
          <cell r="G1357" t="str">
            <v>AF3083</v>
          </cell>
          <cell r="H1357" t="str">
            <v>Rigid Panel Air Filter</v>
          </cell>
        </row>
        <row r="1358">
          <cell r="G1358" t="str">
            <v>G800</v>
          </cell>
          <cell r="H1358" t="str">
            <v>In-Line Fuel Filter</v>
          </cell>
        </row>
        <row r="1359">
          <cell r="G1359" t="str">
            <v>LFP5010</v>
          </cell>
          <cell r="H1359" t="str">
            <v>Spin-on Oil Filter</v>
          </cell>
        </row>
        <row r="1360">
          <cell r="G1360" t="str">
            <v>LAF7716</v>
          </cell>
          <cell r="H1360" t="str">
            <v>HD Metal-End Air Filter</v>
          </cell>
        </row>
        <row r="1361">
          <cell r="G1361" t="str">
            <v>LFF8676</v>
          </cell>
          <cell r="H1361" t="str">
            <v>Spin-on Fuel Filter</v>
          </cell>
        </row>
        <row r="1362">
          <cell r="G1362" t="str">
            <v>AF5189</v>
          </cell>
          <cell r="H1362" t="str">
            <v>Rigid Panel Air Filter</v>
          </cell>
        </row>
        <row r="1363">
          <cell r="G1363" t="str">
            <v>LFF8021</v>
          </cell>
          <cell r="H1363" t="str">
            <v>Spin-on Fuel Water Separator Filter</v>
          </cell>
        </row>
        <row r="1364">
          <cell r="G1364" t="str">
            <v>LAF3713</v>
          </cell>
          <cell r="H1364" t="str">
            <v>Cone Shaped Conical Air Filter</v>
          </cell>
        </row>
        <row r="1365">
          <cell r="G1365" t="str">
            <v>AF5698</v>
          </cell>
          <cell r="H1365" t="str">
            <v>Flexible Panel Air Filter</v>
          </cell>
        </row>
        <row r="1366">
          <cell r="G1366" t="str">
            <v>LAF8769</v>
          </cell>
          <cell r="H1366" t="str">
            <v>Radial Seal Outer Air Filter</v>
          </cell>
        </row>
        <row r="1367">
          <cell r="G1367" t="str">
            <v>LFF4812D-30</v>
          </cell>
          <cell r="H1367" t="str">
            <v>Spin-on Fuel Water Separator Filter</v>
          </cell>
        </row>
        <row r="1368">
          <cell r="G1368" t="str">
            <v>PH1218R</v>
          </cell>
          <cell r="H1368" t="str">
            <v>High Performance Spin-on Oil Filter</v>
          </cell>
        </row>
        <row r="1369">
          <cell r="G1369" t="str">
            <v>CAF1872C</v>
          </cell>
          <cell r="H1369" t="str">
            <v>Cabin Air Filter (Carbon)</v>
          </cell>
        </row>
        <row r="1370">
          <cell r="G1370" t="str">
            <v>LFF8092</v>
          </cell>
          <cell r="H1370" t="str">
            <v>Spin-on Fuel Filter</v>
          </cell>
        </row>
        <row r="1371">
          <cell r="G1371" t="str">
            <v>LFP2261</v>
          </cell>
          <cell r="H1371" t="str">
            <v>Spin-on Oil Filter</v>
          </cell>
        </row>
        <row r="1372">
          <cell r="G1372" t="str">
            <v>CAF1847P</v>
          </cell>
          <cell r="H1372" t="str">
            <v>Cabin Air Filter</v>
          </cell>
        </row>
        <row r="1373">
          <cell r="G1373" t="str">
            <v>PH2905</v>
          </cell>
          <cell r="H1373" t="str">
            <v>Spin-on Oil Filter</v>
          </cell>
        </row>
        <row r="1374">
          <cell r="G1374" t="str">
            <v>LAF8044</v>
          </cell>
          <cell r="H1374" t="str">
            <v>Cone Shaped Conical Air Filter</v>
          </cell>
        </row>
        <row r="1375">
          <cell r="G1375" t="str">
            <v>AF3617</v>
          </cell>
          <cell r="H1375" t="str">
            <v>Flexible Panel Air Filter</v>
          </cell>
        </row>
        <row r="1376">
          <cell r="G1376" t="str">
            <v>LFF15DPS</v>
          </cell>
          <cell r="H1376" t="str">
            <v>Fuel Dispensing Filter</v>
          </cell>
        </row>
        <row r="1377">
          <cell r="G1377" t="str">
            <v>FW5HD</v>
          </cell>
          <cell r="H1377" t="str">
            <v>Heavy Duty Band Wrench requires 1/2" drive tool. Used on 4 21/32 to 5 5/32" diamter filters.</v>
          </cell>
        </row>
        <row r="1378">
          <cell r="G1378" t="str">
            <v>AF4029</v>
          </cell>
          <cell r="H1378" t="str">
            <v>Panel Air Irregular Shaped Filter</v>
          </cell>
        </row>
        <row r="1379">
          <cell r="G1379" t="str">
            <v>CAF1890P</v>
          </cell>
          <cell r="H1379" t="str">
            <v>Cabin Air Filter</v>
          </cell>
        </row>
        <row r="1380">
          <cell r="G1380" t="str">
            <v>AF6910</v>
          </cell>
          <cell r="H1380" t="str">
            <v>Flexible Panel Air Filter</v>
          </cell>
        </row>
        <row r="1381">
          <cell r="G1381" t="str">
            <v>AF328</v>
          </cell>
          <cell r="H1381" t="str">
            <v>HD Metal-End Air Filter</v>
          </cell>
        </row>
        <row r="1382">
          <cell r="G1382" t="str">
            <v>AF7819</v>
          </cell>
          <cell r="H1382" t="str">
            <v>Rigid Panel Air Filter</v>
          </cell>
        </row>
        <row r="1383">
          <cell r="G1383" t="str">
            <v>LAF5024</v>
          </cell>
          <cell r="H1383" t="str">
            <v>Oval Air Filter</v>
          </cell>
        </row>
        <row r="1384">
          <cell r="G1384" t="str">
            <v>LAF853</v>
          </cell>
          <cell r="H1384" t="str">
            <v>HD Metal-End Air Filter</v>
          </cell>
        </row>
        <row r="1385">
          <cell r="G1385" t="str">
            <v>LFH4943</v>
          </cell>
          <cell r="H1385" t="str">
            <v>Spin-on Hydraulic Filter</v>
          </cell>
        </row>
        <row r="1386">
          <cell r="G1386" t="str">
            <v>LAF2531</v>
          </cell>
          <cell r="H1386" t="str">
            <v>Disposible Housing Air Filter</v>
          </cell>
        </row>
        <row r="1387">
          <cell r="G1387" t="str">
            <v>LAF6030</v>
          </cell>
          <cell r="H1387" t="str">
            <v>Rigid Panel Air Filter</v>
          </cell>
        </row>
        <row r="1388">
          <cell r="G1388" t="str">
            <v>LFF5780</v>
          </cell>
          <cell r="H1388" t="str">
            <v>Spin-on Fuel Filter</v>
          </cell>
        </row>
        <row r="1389">
          <cell r="G1389" t="str">
            <v>LAF852</v>
          </cell>
          <cell r="H1389" t="str">
            <v>HD Metal-End Air Filter</v>
          </cell>
        </row>
        <row r="1390">
          <cell r="G1390" t="str">
            <v>LFP2252</v>
          </cell>
          <cell r="H1390" t="str">
            <v>Spin-on Oil Filter</v>
          </cell>
        </row>
        <row r="1391">
          <cell r="G1391" t="str">
            <v>LAF3711</v>
          </cell>
          <cell r="H1391" t="str">
            <v>HD Metal-End Air Filter</v>
          </cell>
        </row>
        <row r="1392">
          <cell r="G1392" t="str">
            <v>LFF8270</v>
          </cell>
          <cell r="H1392" t="str">
            <v>Spin-on Fuel Water Separator Filter</v>
          </cell>
        </row>
        <row r="1393">
          <cell r="G1393" t="str">
            <v>LAF8628</v>
          </cell>
          <cell r="H1393" t="str">
            <v>Panel Air Filter</v>
          </cell>
        </row>
        <row r="1394">
          <cell r="G1394" t="str">
            <v>LFH4989</v>
          </cell>
          <cell r="H1394" t="str">
            <v>Spin-on Hydraulic Filter</v>
          </cell>
        </row>
        <row r="1395">
          <cell r="G1395" t="str">
            <v>LFH4935</v>
          </cell>
          <cell r="H1395" t="str">
            <v>Spin-on Hydraulic Filter</v>
          </cell>
        </row>
        <row r="1396">
          <cell r="G1396" t="str">
            <v>LAF5866</v>
          </cell>
          <cell r="H1396" t="str">
            <v>Rigid Panel Air Filter</v>
          </cell>
        </row>
        <row r="1397">
          <cell r="G1397" t="str">
            <v>LAF519</v>
          </cell>
          <cell r="H1397" t="str">
            <v>Rigid Panel Air Filter</v>
          </cell>
        </row>
        <row r="1398">
          <cell r="G1398" t="str">
            <v>LFP5963</v>
          </cell>
          <cell r="H1398" t="str">
            <v>Spin-on Oil Filter</v>
          </cell>
        </row>
        <row r="1399">
          <cell r="G1399" t="str">
            <v>AF120</v>
          </cell>
          <cell r="H1399" t="str">
            <v>Round Air Filter</v>
          </cell>
        </row>
        <row r="1400">
          <cell r="G1400" t="str">
            <v>LK237M</v>
          </cell>
          <cell r="H1400" t="str">
            <v>Mack Engine Maintenance Kit</v>
          </cell>
        </row>
        <row r="1401">
          <cell r="G1401" t="str">
            <v>CAF1851P</v>
          </cell>
          <cell r="H1401" t="str">
            <v>Cabin Air Filter</v>
          </cell>
        </row>
        <row r="1402">
          <cell r="G1402" t="str">
            <v>AF5208</v>
          </cell>
          <cell r="H1402" t="str">
            <v>Rigid Panel Air Filter</v>
          </cell>
        </row>
        <row r="1403">
          <cell r="G1403" t="str">
            <v>G6896</v>
          </cell>
          <cell r="H1403" t="str">
            <v>In-Line Fuel Filter</v>
          </cell>
        </row>
        <row r="1404">
          <cell r="G1404" t="str">
            <v>CAF1823B</v>
          </cell>
          <cell r="H1404" t="str">
            <v>Cabin Air Filter</v>
          </cell>
        </row>
        <row r="1405">
          <cell r="G1405" t="str">
            <v>LFF1006</v>
          </cell>
          <cell r="H1405" t="str">
            <v>Box Type Fuel Filter</v>
          </cell>
        </row>
        <row r="1406">
          <cell r="G1406" t="str">
            <v>LFF3477</v>
          </cell>
          <cell r="H1406" t="str">
            <v>Spin-on Fuel Water Separator Filter</v>
          </cell>
        </row>
        <row r="1407">
          <cell r="G1407" t="str">
            <v>LMB448</v>
          </cell>
          <cell r="H1407" t="str">
            <v>Base for LFP1652,LFH4209, or LFH22027.</v>
          </cell>
        </row>
        <row r="1408">
          <cell r="G1408" t="str">
            <v>LFP8316G</v>
          </cell>
          <cell r="H1408" t="str">
            <v>Spin-on Transmission Filter</v>
          </cell>
        </row>
        <row r="1409">
          <cell r="G1409" t="str">
            <v>LAF230</v>
          </cell>
          <cell r="H1409" t="str">
            <v>HD Metal-End Air Filter</v>
          </cell>
        </row>
        <row r="1410">
          <cell r="G1410" t="str">
            <v>CAF1797</v>
          </cell>
          <cell r="H1410" t="str">
            <v>Cabin Air Filter</v>
          </cell>
        </row>
        <row r="1411">
          <cell r="G1411" t="str">
            <v>LAF4575</v>
          </cell>
          <cell r="H1411" t="str">
            <v>Cone Shaped Conical Air Filter</v>
          </cell>
        </row>
        <row r="1412">
          <cell r="G1412" t="str">
            <v>AF5215</v>
          </cell>
          <cell r="H1412" t="str">
            <v>Fiber Formed Panel Air Filter</v>
          </cell>
        </row>
        <row r="1413">
          <cell r="G1413" t="str">
            <v>AF359</v>
          </cell>
          <cell r="H1413" t="str">
            <v>Round Panel Air Filter</v>
          </cell>
        </row>
        <row r="1414">
          <cell r="G1414" t="str">
            <v>LP32</v>
          </cell>
          <cell r="H1414" t="str">
            <v>Cartridge Oil Filter</v>
          </cell>
        </row>
        <row r="1415">
          <cell r="G1415" t="str">
            <v>CAF1842C</v>
          </cell>
          <cell r="H1415" t="str">
            <v>Cabin Air Filter (Carbon)</v>
          </cell>
        </row>
        <row r="1416">
          <cell r="G1416" t="str">
            <v>LAF5827</v>
          </cell>
          <cell r="H1416" t="str">
            <v>Round Air Filter</v>
          </cell>
        </row>
        <row r="1417">
          <cell r="G1417" t="str">
            <v>LAF8393</v>
          </cell>
          <cell r="H1417" t="str">
            <v>Panel Air Filter Metal Framed</v>
          </cell>
        </row>
        <row r="1418">
          <cell r="G1418" t="str">
            <v>AF342</v>
          </cell>
          <cell r="H1418" t="str">
            <v>Round Air Filter</v>
          </cell>
        </row>
        <row r="1419">
          <cell r="G1419" t="str">
            <v>AF341</v>
          </cell>
          <cell r="H1419" t="str">
            <v>Round Air Filter</v>
          </cell>
        </row>
        <row r="1420">
          <cell r="G1420" t="str">
            <v>AF1744</v>
          </cell>
          <cell r="H1420" t="str">
            <v>Flexible Panel Air Filter</v>
          </cell>
        </row>
        <row r="1421">
          <cell r="G1421" t="str">
            <v>CAF1941P</v>
          </cell>
          <cell r="H1421" t="str">
            <v>Cabin Air Filter</v>
          </cell>
        </row>
        <row r="1422">
          <cell r="G1422" t="str">
            <v>CAF1707</v>
          </cell>
          <cell r="H1422" t="str">
            <v>Cabin Air Filter</v>
          </cell>
        </row>
        <row r="1423">
          <cell r="G1423" t="str">
            <v>LFP5120B</v>
          </cell>
          <cell r="H1423" t="str">
            <v>Spin-on Oil Filter</v>
          </cell>
        </row>
        <row r="1424">
          <cell r="G1424" t="str">
            <v>LAF1809</v>
          </cell>
          <cell r="H1424" t="str">
            <v>HD Metal-End Air Filter</v>
          </cell>
        </row>
        <row r="1425">
          <cell r="G1425" t="str">
            <v>G6384</v>
          </cell>
          <cell r="H1425" t="str">
            <v>In-Line Fuel Filter</v>
          </cell>
        </row>
        <row r="1426">
          <cell r="G1426" t="str">
            <v>LAF8750</v>
          </cell>
          <cell r="H1426" t="str">
            <v>Radial Seal Inner Air Filter</v>
          </cell>
        </row>
        <row r="1427">
          <cell r="G1427" t="str">
            <v>LFP2312</v>
          </cell>
          <cell r="H1427" t="str">
            <v>Spin-on Oil Filter</v>
          </cell>
        </row>
        <row r="1428">
          <cell r="G1428" t="str">
            <v>LAF8687</v>
          </cell>
          <cell r="H1428" t="str">
            <v>Radial Seal Outer Air Filter</v>
          </cell>
        </row>
        <row r="1429">
          <cell r="G1429" t="str">
            <v>LFH4967</v>
          </cell>
          <cell r="H1429" t="str">
            <v>Spin-on Hydraulic Filter</v>
          </cell>
        </row>
        <row r="1430">
          <cell r="G1430" t="str">
            <v>LAF262HD</v>
          </cell>
          <cell r="H1430" t="str">
            <v>HD Metal-End Air Filter</v>
          </cell>
        </row>
        <row r="1431">
          <cell r="G1431" t="str">
            <v>AF3216</v>
          </cell>
          <cell r="H1431" t="str">
            <v>Rigid Panel Air Filter</v>
          </cell>
        </row>
        <row r="1432">
          <cell r="G1432" t="str">
            <v>LAF1790</v>
          </cell>
          <cell r="H1432" t="str">
            <v>HD Metal-End Inner Air Filter</v>
          </cell>
        </row>
        <row r="1433">
          <cell r="G1433" t="str">
            <v>T652</v>
          </cell>
          <cell r="H1433" t="str">
            <v>Transmission Filter Kit</v>
          </cell>
        </row>
        <row r="1434">
          <cell r="G1434" t="str">
            <v>LP2017CAPT</v>
          </cell>
          <cell r="H1434" t="str">
            <v>Housing Cap for Ford Super Duty truck using LP2017 Filter</v>
          </cell>
        </row>
        <row r="1435">
          <cell r="G1435" t="str">
            <v>LFH5936</v>
          </cell>
          <cell r="H1435" t="str">
            <v>Spin-on Hydraulic Filter</v>
          </cell>
        </row>
        <row r="1436">
          <cell r="G1436" t="str">
            <v>T112</v>
          </cell>
          <cell r="H1436" t="str">
            <v>Transmission Filter Kit</v>
          </cell>
        </row>
        <row r="1437">
          <cell r="G1437" t="str">
            <v>LFH4386</v>
          </cell>
          <cell r="H1437" t="str">
            <v>Spin-on Hydraulic Filter</v>
          </cell>
        </row>
        <row r="1438">
          <cell r="G1438" t="str">
            <v>LH4230</v>
          </cell>
          <cell r="H1438" t="str">
            <v>Cartridge Hydraulic Filter</v>
          </cell>
        </row>
        <row r="1439">
          <cell r="G1439" t="str">
            <v>CAF24010</v>
          </cell>
          <cell r="H1439" t="str">
            <v>Cabin Air Filter</v>
          </cell>
        </row>
        <row r="1440">
          <cell r="G1440" t="str">
            <v>AF3992</v>
          </cell>
          <cell r="H1440" t="str">
            <v>Rigid Panel Air Filter</v>
          </cell>
        </row>
        <row r="1441">
          <cell r="G1441" t="str">
            <v>L61F</v>
          </cell>
          <cell r="H1441" t="str">
            <v>Cartridge Fuel Filter</v>
          </cell>
        </row>
        <row r="1442">
          <cell r="G1442" t="str">
            <v>LAF8955</v>
          </cell>
          <cell r="H1442" t="str">
            <v>Metal-End Air Filter with Closed Top End Cap</v>
          </cell>
        </row>
        <row r="1443">
          <cell r="G1443" t="str">
            <v>AF5229</v>
          </cell>
          <cell r="H1443" t="str">
            <v>Rigid Panel Air Filter</v>
          </cell>
        </row>
        <row r="1444">
          <cell r="G1444" t="str">
            <v>LAF8083</v>
          </cell>
          <cell r="H1444" t="str">
            <v>HD Round Air Filter with Attached Boot</v>
          </cell>
        </row>
        <row r="1445">
          <cell r="G1445" t="str">
            <v>LP214</v>
          </cell>
          <cell r="H1445" t="str">
            <v>Cartridge Hydraulic Filter</v>
          </cell>
        </row>
        <row r="1446">
          <cell r="G1446" t="str">
            <v>LAF5416</v>
          </cell>
          <cell r="H1446" t="str">
            <v>Special Configuration Air Filter</v>
          </cell>
        </row>
        <row r="1447">
          <cell r="G1447" t="str">
            <v>LFH3990-03</v>
          </cell>
          <cell r="H1447" t="str">
            <v>Spin-on Hydraulic Filter</v>
          </cell>
        </row>
        <row r="1448">
          <cell r="G1448" t="str">
            <v>LFP3354</v>
          </cell>
          <cell r="H1448" t="str">
            <v>Spin-on Oil Filter</v>
          </cell>
        </row>
        <row r="1449">
          <cell r="G1449" t="str">
            <v>G578</v>
          </cell>
          <cell r="H1449" t="str">
            <v>In-Line Fuel Filter</v>
          </cell>
        </row>
        <row r="1450">
          <cell r="G1450" t="str">
            <v>AF5212</v>
          </cell>
          <cell r="H1450" t="str">
            <v>Panel Air Filter</v>
          </cell>
        </row>
        <row r="1451">
          <cell r="G1451" t="str">
            <v>PH933</v>
          </cell>
          <cell r="H1451" t="str">
            <v>Spin-on Hydraulic Filter</v>
          </cell>
        </row>
        <row r="1452">
          <cell r="G1452" t="str">
            <v>LAF64</v>
          </cell>
          <cell r="H1452" t="str">
            <v>Tube Type Air Filter</v>
          </cell>
        </row>
        <row r="1453">
          <cell r="G1453" t="str">
            <v>LFP5522</v>
          </cell>
          <cell r="H1453" t="str">
            <v>Spin-on Oil Filter</v>
          </cell>
        </row>
        <row r="1454">
          <cell r="G1454" t="str">
            <v>LAF9542</v>
          </cell>
          <cell r="H1454" t="str">
            <v>Radial Seal Outer Air Filter</v>
          </cell>
        </row>
        <row r="1455">
          <cell r="G1455" t="str">
            <v>L3546FC</v>
          </cell>
          <cell r="H1455" t="str">
            <v>Spin-on Fuel Water Separator Filter</v>
          </cell>
        </row>
        <row r="1456">
          <cell r="G1456" t="str">
            <v>AF4049</v>
          </cell>
          <cell r="H1456" t="str">
            <v>Rigid Panel Air Filter</v>
          </cell>
        </row>
        <row r="1457">
          <cell r="G1457" t="str">
            <v>AF306</v>
          </cell>
          <cell r="H1457" t="str">
            <v>Round Air Filter</v>
          </cell>
        </row>
        <row r="1458">
          <cell r="G1458" t="str">
            <v>LFP9000XL</v>
          </cell>
          <cell r="H1458" t="str">
            <v>Spin-on Oil Filter (Extended Life)</v>
          </cell>
        </row>
        <row r="1459">
          <cell r="G1459" t="str">
            <v>L9721F</v>
          </cell>
          <cell r="H1459" t="str">
            <v>Cartridge Fuel Water Separator Filter</v>
          </cell>
        </row>
        <row r="1460">
          <cell r="G1460" t="str">
            <v>LAF22084</v>
          </cell>
          <cell r="H1460" t="str">
            <v>Finned Vane Air Filter</v>
          </cell>
        </row>
        <row r="1461">
          <cell r="G1461" t="str">
            <v>P150</v>
          </cell>
          <cell r="H1461" t="str">
            <v>Cartridge Oil Filter</v>
          </cell>
        </row>
        <row r="1462">
          <cell r="G1462" t="str">
            <v>LAF5327</v>
          </cell>
          <cell r="H1462" t="str">
            <v>Cabin Air Filter, Panel</v>
          </cell>
        </row>
        <row r="1463">
          <cell r="G1463" t="str">
            <v>LK292CA</v>
          </cell>
          <cell r="H1463" t="str">
            <v>Caterpillar Engine Maintenance Kit</v>
          </cell>
        </row>
        <row r="1464">
          <cell r="G1464" t="str">
            <v>LFP6930</v>
          </cell>
          <cell r="H1464" t="str">
            <v>Spin-on Oil Filter</v>
          </cell>
        </row>
        <row r="1465">
          <cell r="G1465" t="str">
            <v>AF2893</v>
          </cell>
          <cell r="H1465" t="str">
            <v>Radial Seal Air Filter</v>
          </cell>
        </row>
        <row r="1466">
          <cell r="G1466" t="str">
            <v>LAF8408</v>
          </cell>
          <cell r="H1466" t="str">
            <v>HD Metal-End Inner Air Filter</v>
          </cell>
        </row>
        <row r="1467">
          <cell r="G1467" t="str">
            <v>AF31</v>
          </cell>
          <cell r="H1467" t="str">
            <v>Round Air Filter</v>
          </cell>
        </row>
        <row r="1468">
          <cell r="G1468" t="str">
            <v>LAF3664</v>
          </cell>
          <cell r="H1468" t="str">
            <v>Radial Seal Inner Air Filter</v>
          </cell>
        </row>
        <row r="1469">
          <cell r="G1469" t="str">
            <v>LAF5973</v>
          </cell>
          <cell r="H1469" t="str">
            <v>Radial Seal Air Filter, Primary</v>
          </cell>
        </row>
        <row r="1470">
          <cell r="G1470" t="str">
            <v>LAF323</v>
          </cell>
          <cell r="H1470" t="str">
            <v>HD Metal-End Air Filter-Inner</v>
          </cell>
        </row>
        <row r="1471">
          <cell r="G1471" t="str">
            <v>LAF2513</v>
          </cell>
          <cell r="H1471" t="str">
            <v>Round Plastisol Air Filter</v>
          </cell>
        </row>
        <row r="1472">
          <cell r="G1472" t="str">
            <v>LFP7314</v>
          </cell>
          <cell r="H1472" t="str">
            <v>Spin-on By-Pass Oil Filter</v>
          </cell>
        </row>
        <row r="1473">
          <cell r="G1473" t="str">
            <v>CAF1800C</v>
          </cell>
          <cell r="H1473" t="str">
            <v>Cabin Air Filter (Carbon)</v>
          </cell>
        </row>
        <row r="1474">
          <cell r="G1474" t="str">
            <v>AF4044</v>
          </cell>
          <cell r="H1474" t="str">
            <v>Rigid Panel Air Filter</v>
          </cell>
        </row>
        <row r="1475">
          <cell r="G1475" t="str">
            <v>AF3994</v>
          </cell>
          <cell r="H1475" t="str">
            <v>Rigid Panel Air Filter</v>
          </cell>
        </row>
        <row r="1476">
          <cell r="G1476" t="str">
            <v>PC778</v>
          </cell>
          <cell r="H1476" t="str">
            <v>PCV Valve</v>
          </cell>
        </row>
        <row r="1477">
          <cell r="G1477" t="str">
            <v>LAF1827</v>
          </cell>
          <cell r="H1477" t="str">
            <v>Round Air Filter</v>
          </cell>
        </row>
        <row r="1478">
          <cell r="G1478" t="str">
            <v>LAF8674</v>
          </cell>
          <cell r="H1478" t="str">
            <v>Round Inner Air Filter</v>
          </cell>
        </row>
        <row r="1479">
          <cell r="G1479" t="str">
            <v>LFF7687</v>
          </cell>
          <cell r="H1479" t="str">
            <v>Spin-on Fuel Filter</v>
          </cell>
        </row>
        <row r="1480">
          <cell r="G1480" t="str">
            <v>LH8742</v>
          </cell>
          <cell r="H1480" t="str">
            <v>Cartridge Hydraulic Filter</v>
          </cell>
        </row>
        <row r="1481">
          <cell r="G1481" t="str">
            <v>CAF7766</v>
          </cell>
          <cell r="H1481" t="str">
            <v>Cabin Air Filter (Carbon)</v>
          </cell>
        </row>
        <row r="1482">
          <cell r="G1482" t="str">
            <v>LFH8499</v>
          </cell>
          <cell r="H1482" t="str">
            <v>Spin-on Hydraulic Filter</v>
          </cell>
        </row>
        <row r="1483">
          <cell r="G1483" t="str">
            <v>LAF8648</v>
          </cell>
          <cell r="H1483" t="str">
            <v>HD Metal-End Air Filter</v>
          </cell>
        </row>
        <row r="1484">
          <cell r="G1484" t="str">
            <v>LAF2926</v>
          </cell>
          <cell r="H1484" t="str">
            <v>HD Metal-End Air Filter</v>
          </cell>
        </row>
        <row r="1485">
          <cell r="G1485" t="str">
            <v>LH4262</v>
          </cell>
          <cell r="H1485" t="str">
            <v>Cartridge Transmission (Hydraulic) Filter</v>
          </cell>
        </row>
        <row r="1486">
          <cell r="G1486" t="str">
            <v>LH4266</v>
          </cell>
          <cell r="H1486" t="str">
            <v>Cartridge Hydraulic Filter</v>
          </cell>
        </row>
        <row r="1487">
          <cell r="G1487" t="str">
            <v>LAF22010</v>
          </cell>
          <cell r="H1487" t="str">
            <v>Disposible Housing Air Filter</v>
          </cell>
        </row>
        <row r="1488">
          <cell r="G1488" t="str">
            <v>LAF9300</v>
          </cell>
          <cell r="H1488" t="str">
            <v>Special Configuration Air Filter</v>
          </cell>
        </row>
        <row r="1489">
          <cell r="G1489" t="str">
            <v>970C</v>
          </cell>
          <cell r="H1489" t="str">
            <v>970 housing only (Gray)</v>
          </cell>
        </row>
        <row r="1490">
          <cell r="G1490" t="str">
            <v>AF1624</v>
          </cell>
          <cell r="H1490" t="str">
            <v>Radial Seal Air Filter</v>
          </cell>
        </row>
        <row r="1491">
          <cell r="G1491" t="str">
            <v>LFF9519</v>
          </cell>
          <cell r="H1491" t="str">
            <v>Spin-on Fuel Water Separator Filter</v>
          </cell>
        </row>
        <row r="1492">
          <cell r="G1492" t="str">
            <v>AF522</v>
          </cell>
          <cell r="H1492" t="str">
            <v>Round Panel Air Filter</v>
          </cell>
        </row>
        <row r="1493">
          <cell r="G1493" t="str">
            <v>LAF3346</v>
          </cell>
          <cell r="H1493" t="str">
            <v>Disposible Housing Air Filter</v>
          </cell>
        </row>
        <row r="1494">
          <cell r="G1494" t="str">
            <v>LFW2125</v>
          </cell>
          <cell r="H1494" t="str">
            <v>Controll Release Spin-on Coolant Filter</v>
          </cell>
        </row>
        <row r="1495">
          <cell r="G1495" t="str">
            <v>AF543</v>
          </cell>
          <cell r="H1495" t="str">
            <v>Round Air Filter</v>
          </cell>
        </row>
        <row r="1496">
          <cell r="G1496" t="str">
            <v>AF974</v>
          </cell>
          <cell r="H1496" t="str">
            <v>Flexible Panel Air Filter</v>
          </cell>
        </row>
        <row r="1497">
          <cell r="G1497" t="str">
            <v>LAF1726</v>
          </cell>
          <cell r="H1497" t="str">
            <v>HD Metal-End Air Filter</v>
          </cell>
        </row>
        <row r="1498">
          <cell r="G1498" t="str">
            <v>LAF4507</v>
          </cell>
          <cell r="H1498" t="str">
            <v>Radial Seal Outer Air Filter</v>
          </cell>
        </row>
        <row r="1499">
          <cell r="G1499" t="str">
            <v>LAF8550</v>
          </cell>
          <cell r="H1499" t="str">
            <v>HD Metal-End Air Filter</v>
          </cell>
        </row>
        <row r="1500">
          <cell r="G1500" t="str">
            <v>LFP9279</v>
          </cell>
          <cell r="H1500" t="str">
            <v>Spin-on Oil Filter</v>
          </cell>
        </row>
        <row r="1501">
          <cell r="G1501" t="str">
            <v>LH5719</v>
          </cell>
          <cell r="H1501" t="str">
            <v>Cartridge Hydraulic Filter</v>
          </cell>
        </row>
        <row r="1502">
          <cell r="G1502" t="str">
            <v>LAF6029</v>
          </cell>
          <cell r="H1502" t="str">
            <v>Radial Seal Outer Air Filter</v>
          </cell>
        </row>
        <row r="1503">
          <cell r="G1503" t="str">
            <v>LFH8229</v>
          </cell>
          <cell r="H1503" t="str">
            <v>Spin-on Hydraulic Filter</v>
          </cell>
        </row>
        <row r="1504">
          <cell r="G1504" t="str">
            <v>LFF9012</v>
          </cell>
          <cell r="H1504" t="str">
            <v>Bowl Style Fuel Water Separator Filter</v>
          </cell>
        </row>
        <row r="1505">
          <cell r="G1505" t="str">
            <v>P137</v>
          </cell>
          <cell r="H1505" t="str">
            <v>Cartridge Oil Filter</v>
          </cell>
        </row>
        <row r="1506">
          <cell r="G1506" t="str">
            <v>G478</v>
          </cell>
          <cell r="H1506" t="str">
            <v>In-Line Fuel Filter</v>
          </cell>
        </row>
        <row r="1507">
          <cell r="G1507" t="str">
            <v>LAF6510</v>
          </cell>
          <cell r="H1507" t="str">
            <v>HD Metal-End Air Filter</v>
          </cell>
        </row>
        <row r="1508">
          <cell r="G1508" t="str">
            <v>AF9010</v>
          </cell>
          <cell r="H1508" t="str">
            <v>Rigid Panel Air Filter</v>
          </cell>
        </row>
        <row r="1509">
          <cell r="G1509" t="str">
            <v>AF4</v>
          </cell>
          <cell r="H1509" t="str">
            <v>Round Air Filter</v>
          </cell>
        </row>
        <row r="1510">
          <cell r="G1510" t="str">
            <v>LFH4950</v>
          </cell>
          <cell r="H1510" t="str">
            <v>Spin-on Hydraulic Filter</v>
          </cell>
        </row>
        <row r="1511">
          <cell r="G1511" t="str">
            <v>AF149</v>
          </cell>
          <cell r="H1511" t="str">
            <v>Round Air Filter</v>
          </cell>
        </row>
        <row r="1512">
          <cell r="G1512">
            <v>3967</v>
          </cell>
          <cell r="H1512" t="str">
            <v>Gasket, Cummins Applied</v>
          </cell>
        </row>
        <row r="1513">
          <cell r="G1513" t="str">
            <v>CAF1765</v>
          </cell>
          <cell r="H1513" t="str">
            <v>Cabin Air Filter</v>
          </cell>
        </row>
        <row r="1514">
          <cell r="G1514" t="str">
            <v>AF3896</v>
          </cell>
          <cell r="H1514" t="str">
            <v>Flexible Panel Air Filter</v>
          </cell>
        </row>
        <row r="1515">
          <cell r="G1515" t="str">
            <v>LAF3952</v>
          </cell>
          <cell r="H1515" t="str">
            <v>Radial Seal Inner Air Filter</v>
          </cell>
        </row>
        <row r="1516">
          <cell r="G1516" t="str">
            <v>L624FP</v>
          </cell>
          <cell r="H1516" t="str">
            <v>Cartridge Fuel Filter</v>
          </cell>
        </row>
        <row r="1517">
          <cell r="G1517" t="str">
            <v>LFP943F</v>
          </cell>
          <cell r="H1517" t="str">
            <v>Spin-on Fuel Filter</v>
          </cell>
        </row>
        <row r="1518">
          <cell r="G1518" t="str">
            <v>AF753</v>
          </cell>
          <cell r="H1518" t="str">
            <v>Round Air Filter</v>
          </cell>
        </row>
        <row r="1519">
          <cell r="G1519">
            <v>750</v>
          </cell>
          <cell r="H1519" t="str">
            <v xml:space="preserve">Refining Filter Pack /750-C, 2C &amp; 3C, Hydraulic &amp; Mineral Oil </v>
          </cell>
        </row>
        <row r="1520">
          <cell r="G1520" t="str">
            <v>G1057</v>
          </cell>
          <cell r="H1520" t="str">
            <v>In-Line Fuel Filter</v>
          </cell>
        </row>
        <row r="1521">
          <cell r="G1521" t="str">
            <v>LFP2262</v>
          </cell>
          <cell r="H1521" t="str">
            <v>Spin-on By-Pass Oil Filter</v>
          </cell>
        </row>
        <row r="1522">
          <cell r="G1522" t="str">
            <v>AF3588</v>
          </cell>
          <cell r="H1522" t="str">
            <v>Flexible Panel Air Filter</v>
          </cell>
        </row>
        <row r="1523">
          <cell r="G1523" t="str">
            <v>CAF1878P</v>
          </cell>
          <cell r="H1523" t="str">
            <v>Cabin Air Filter</v>
          </cell>
        </row>
        <row r="1524">
          <cell r="G1524" t="str">
            <v>AF1695</v>
          </cell>
          <cell r="H1524" t="str">
            <v>Flexible Panel Air Filter</v>
          </cell>
        </row>
        <row r="1525">
          <cell r="G1525" t="str">
            <v>AF7964</v>
          </cell>
          <cell r="H1525" t="str">
            <v>Rigid Panel Air Filter</v>
          </cell>
        </row>
        <row r="1526">
          <cell r="G1526" t="str">
            <v>P820</v>
          </cell>
          <cell r="H1526" t="str">
            <v>Cartridge Oil Filter</v>
          </cell>
        </row>
        <row r="1527">
          <cell r="G1527" t="str">
            <v>L541F</v>
          </cell>
          <cell r="H1527" t="str">
            <v>Cartridge Fuel Filter</v>
          </cell>
        </row>
        <row r="1528">
          <cell r="G1528" t="str">
            <v>LFH8880G</v>
          </cell>
          <cell r="H1528" t="str">
            <v>Spin-on Hydraulic Filter</v>
          </cell>
        </row>
        <row r="1529">
          <cell r="G1529" t="str">
            <v>LAF5844</v>
          </cell>
          <cell r="H1529" t="str">
            <v>Radial Seal Inner Air Filter</v>
          </cell>
        </row>
        <row r="1530">
          <cell r="G1530" t="str">
            <v>LAF6115</v>
          </cell>
          <cell r="H1530" t="str">
            <v>Radial Seal Inner Air Filter</v>
          </cell>
        </row>
        <row r="1531">
          <cell r="G1531" t="str">
            <v>FW8HD</v>
          </cell>
          <cell r="H1531" t="str">
            <v>Nylon Strap Wrench for up to 6 inch Diameter Filters. Requires 1/2 drive tool.</v>
          </cell>
        </row>
        <row r="1532">
          <cell r="G1532" t="str">
            <v>LAF5813</v>
          </cell>
          <cell r="H1532" t="str">
            <v>Round Air Filter</v>
          </cell>
        </row>
        <row r="1533">
          <cell r="G1533" t="str">
            <v>LH9264V</v>
          </cell>
          <cell r="H1533" t="str">
            <v>Industrial Cartridge Hydraulic Filter</v>
          </cell>
        </row>
        <row r="1534">
          <cell r="G1534" t="str">
            <v>FW7HD</v>
          </cell>
          <cell r="H1534" t="str">
            <v>Heavy Duty Band Wrench requires 1/2" drive tool. Used on 5 5/32" to 5 21/32" diameter filters.</v>
          </cell>
        </row>
        <row r="1535">
          <cell r="G1535" t="str">
            <v>LP213</v>
          </cell>
          <cell r="H1535" t="str">
            <v>Cartridge Hydraulic Filter</v>
          </cell>
        </row>
        <row r="1536">
          <cell r="G1536" t="str">
            <v>CAF1792</v>
          </cell>
          <cell r="H1536" t="str">
            <v>Cabin Air Filter</v>
          </cell>
        </row>
        <row r="1537">
          <cell r="G1537" t="str">
            <v>AF3959</v>
          </cell>
          <cell r="H1537" t="str">
            <v>Panel Air Irregular Shaped Filter</v>
          </cell>
        </row>
        <row r="1538">
          <cell r="G1538" t="str">
            <v>CAF1813P</v>
          </cell>
          <cell r="H1538" t="str">
            <v>Cabin Air Filter</v>
          </cell>
        </row>
        <row r="1539">
          <cell r="G1539" t="str">
            <v>AF4065</v>
          </cell>
          <cell r="H1539" t="str">
            <v>Flexible Panel Air Filter</v>
          </cell>
        </row>
        <row r="1540">
          <cell r="G1540" t="str">
            <v>P983</v>
          </cell>
          <cell r="H1540" t="str">
            <v>Cartridge Oil Filter</v>
          </cell>
        </row>
        <row r="1541">
          <cell r="G1541" t="str">
            <v>LFP5919</v>
          </cell>
          <cell r="H1541" t="str">
            <v>Spin-on Oil Filter</v>
          </cell>
        </row>
        <row r="1542">
          <cell r="G1542" t="str">
            <v>LAF5733</v>
          </cell>
          <cell r="H1542" t="str">
            <v>Radial Seal Outer Air Filter</v>
          </cell>
        </row>
        <row r="1543">
          <cell r="G1543" t="str">
            <v>LFH8459</v>
          </cell>
          <cell r="H1543" t="str">
            <v>Spin-on Hydraulic Filter</v>
          </cell>
        </row>
        <row r="1544">
          <cell r="G1544" t="str">
            <v>LFF6965</v>
          </cell>
          <cell r="H1544" t="str">
            <v>Spin-on Fuel Filter</v>
          </cell>
        </row>
        <row r="1545">
          <cell r="G1545" t="str">
            <v>LH4394</v>
          </cell>
          <cell r="H1545" t="str">
            <v>Cartridge Hydraulic Filter</v>
          </cell>
        </row>
        <row r="1546">
          <cell r="G1546" t="str">
            <v>CAF1945C</v>
          </cell>
          <cell r="H1546" t="str">
            <v>Cabin Air Filter</v>
          </cell>
        </row>
        <row r="1547">
          <cell r="G1547" t="str">
            <v>LAF936</v>
          </cell>
          <cell r="H1547" t="str">
            <v>HD Round Air Filter with Attached Boot</v>
          </cell>
        </row>
        <row r="1548">
          <cell r="G1548" t="str">
            <v>LH4174</v>
          </cell>
          <cell r="H1548" t="str">
            <v>Cartridge Hydraulic Filter</v>
          </cell>
        </row>
        <row r="1549">
          <cell r="G1549" t="str">
            <v>LH9167</v>
          </cell>
          <cell r="H1549" t="str">
            <v>Cartridge hydraulic filter</v>
          </cell>
        </row>
        <row r="1550">
          <cell r="G1550" t="str">
            <v>CAF12000XL</v>
          </cell>
          <cell r="H1550" t="str">
            <v>Cabin Air Filter (Carbon) Extreme Clean</v>
          </cell>
        </row>
        <row r="1551">
          <cell r="G1551" t="str">
            <v>FF2D-30</v>
          </cell>
          <cell r="H1551" t="str">
            <v>30 Micron Fuel Dispensing Filter</v>
          </cell>
        </row>
        <row r="1552">
          <cell r="G1552" t="str">
            <v>LFH5079G</v>
          </cell>
          <cell r="H1552" t="str">
            <v>Spin-on Hydraulic Filter</v>
          </cell>
        </row>
        <row r="1553">
          <cell r="G1553" t="str">
            <v>AF4064</v>
          </cell>
          <cell r="H1553" t="str">
            <v>Rigid Panel Air Filter</v>
          </cell>
        </row>
        <row r="1554">
          <cell r="G1554" t="str">
            <v>L3546F</v>
          </cell>
          <cell r="H1554" t="str">
            <v>Spin-on Fuel Water Separator Filter</v>
          </cell>
        </row>
        <row r="1555">
          <cell r="G1555" t="str">
            <v>LAF5771</v>
          </cell>
          <cell r="H1555" t="str">
            <v>Radial Seal Air Filter Outer</v>
          </cell>
        </row>
        <row r="1556">
          <cell r="G1556" t="str">
            <v>LAF2069</v>
          </cell>
          <cell r="H1556" t="str">
            <v>Metal-End Air Filter with Closed Top End Cap</v>
          </cell>
        </row>
        <row r="1557">
          <cell r="G1557" t="str">
            <v>P1018</v>
          </cell>
          <cell r="H1557" t="str">
            <v>Cartridge Oil Filter</v>
          </cell>
        </row>
        <row r="1558">
          <cell r="G1558" t="str">
            <v>AF7820</v>
          </cell>
          <cell r="H1558" t="str">
            <v>HD Metal-End Air Filter</v>
          </cell>
        </row>
        <row r="1559">
          <cell r="G1559" t="str">
            <v>LAF8657</v>
          </cell>
          <cell r="H1559" t="str">
            <v>HD Metal-End Air Filter</v>
          </cell>
        </row>
        <row r="1560">
          <cell r="G1560" t="str">
            <v>LAF5770</v>
          </cell>
          <cell r="H1560" t="str">
            <v>Radial Seal Outer Air Filter</v>
          </cell>
        </row>
        <row r="1561">
          <cell r="G1561" t="str">
            <v>LAF3710</v>
          </cell>
          <cell r="H1561" t="str">
            <v>HD Metal-End Air Filter-Inner</v>
          </cell>
        </row>
        <row r="1562">
          <cell r="G1562" t="str">
            <v>LAF1913</v>
          </cell>
          <cell r="H1562" t="str">
            <v>Round Air Filter</v>
          </cell>
        </row>
        <row r="1563">
          <cell r="G1563" t="str">
            <v>LAF1889</v>
          </cell>
          <cell r="H1563" t="str">
            <v>HD Metal-End Air Filter</v>
          </cell>
        </row>
        <row r="1564">
          <cell r="G1564" t="str">
            <v>PH48R</v>
          </cell>
          <cell r="H1564" t="str">
            <v>High Performance Spin-on Oil Filter</v>
          </cell>
        </row>
        <row r="1565">
          <cell r="G1565" t="str">
            <v>LAF2</v>
          </cell>
          <cell r="H1565" t="str">
            <v>Round Air Filter</v>
          </cell>
        </row>
        <row r="1566">
          <cell r="G1566" t="str">
            <v>AF7823</v>
          </cell>
          <cell r="H1566" t="str">
            <v>Flexible Panel Air Filter</v>
          </cell>
        </row>
        <row r="1567">
          <cell r="G1567" t="str">
            <v>AF2785</v>
          </cell>
          <cell r="H1567" t="str">
            <v>Flexible Panel Air Filter</v>
          </cell>
        </row>
        <row r="1568">
          <cell r="G1568" t="str">
            <v>AF2014</v>
          </cell>
          <cell r="H1568" t="str">
            <v>Radial Seal Air Filter</v>
          </cell>
        </row>
        <row r="1569">
          <cell r="G1569" t="str">
            <v>CAF1805C</v>
          </cell>
          <cell r="H1569" t="str">
            <v>Cabin Air Filter (Carbon)</v>
          </cell>
        </row>
        <row r="1570">
          <cell r="G1570" t="str">
            <v>LAF6453MXM</v>
          </cell>
          <cell r="H1570" t="str">
            <v>Nano Tech Air Filter w/Attached boot</v>
          </cell>
        </row>
        <row r="1571">
          <cell r="G1571" t="str">
            <v>LAF1532</v>
          </cell>
          <cell r="H1571" t="str">
            <v>HD Metal-End Inner Air Filter</v>
          </cell>
        </row>
        <row r="1572">
          <cell r="G1572" t="str">
            <v>L22008F</v>
          </cell>
          <cell r="H1572" t="str">
            <v>Fuel/Water Coalescer Cartridge Filter</v>
          </cell>
        </row>
        <row r="1573">
          <cell r="G1573" t="str">
            <v>L5693F</v>
          </cell>
          <cell r="H1573" t="str">
            <v>Cartridge Fuel Filter</v>
          </cell>
        </row>
        <row r="1574">
          <cell r="G1574" t="str">
            <v>T648</v>
          </cell>
          <cell r="H1574" t="str">
            <v>Transmission Filter Kit</v>
          </cell>
        </row>
        <row r="1575">
          <cell r="G1575" t="str">
            <v>LAF8671</v>
          </cell>
          <cell r="H1575" t="str">
            <v>Disposible Housing Air Filter</v>
          </cell>
        </row>
        <row r="1576">
          <cell r="G1576" t="str">
            <v>LAF586</v>
          </cell>
          <cell r="H1576" t="str">
            <v>Round Air Filter</v>
          </cell>
        </row>
        <row r="1577">
          <cell r="G1577" t="str">
            <v>LFF906</v>
          </cell>
          <cell r="H1577" t="str">
            <v>Bowl Style Fuel Water Separator Filter</v>
          </cell>
        </row>
        <row r="1578">
          <cell r="G1578" t="str">
            <v>G2987</v>
          </cell>
          <cell r="H1578" t="str">
            <v>In-Line Fuel Filter</v>
          </cell>
        </row>
        <row r="1579">
          <cell r="G1579" t="str">
            <v>LFF3509</v>
          </cell>
          <cell r="H1579" t="str">
            <v>Cartridge Fuel Filter</v>
          </cell>
        </row>
        <row r="1580">
          <cell r="G1580" t="str">
            <v>AF7906</v>
          </cell>
          <cell r="H1580" t="str">
            <v>Flexible Panel Air Filter</v>
          </cell>
        </row>
        <row r="1581">
          <cell r="G1581" t="str">
            <v>LAF48</v>
          </cell>
          <cell r="H1581" t="str">
            <v>Round Inner Air Filter with Flanged Endcap</v>
          </cell>
        </row>
        <row r="1582">
          <cell r="G1582" t="str">
            <v>CAF1899P</v>
          </cell>
          <cell r="H1582" t="str">
            <v>Cabin Air Filter</v>
          </cell>
        </row>
        <row r="1583">
          <cell r="G1583" t="str">
            <v>AF3897</v>
          </cell>
          <cell r="H1583" t="str">
            <v>Panel Air Irregular Shaped Filter</v>
          </cell>
        </row>
        <row r="1584">
          <cell r="G1584" t="str">
            <v>CAF1849C</v>
          </cell>
          <cell r="H1584" t="str">
            <v>Cabin Air Filter (Carbon)</v>
          </cell>
        </row>
        <row r="1585">
          <cell r="G1585" t="str">
            <v>LFH8593</v>
          </cell>
          <cell r="H1585" t="str">
            <v>Spin-on Hydraulic Filter</v>
          </cell>
        </row>
        <row r="1586">
          <cell r="G1586" t="str">
            <v>LFF8677</v>
          </cell>
          <cell r="H1586" t="str">
            <v>Spin-on Fuel Filter</v>
          </cell>
        </row>
        <row r="1587">
          <cell r="G1587" t="str">
            <v>LAF2514</v>
          </cell>
          <cell r="H1587" t="str">
            <v>HD Metal-End Air Filter</v>
          </cell>
        </row>
        <row r="1588">
          <cell r="G1588" t="str">
            <v>AF8826</v>
          </cell>
          <cell r="H1588" t="str">
            <v>Disposible Housing Filter</v>
          </cell>
        </row>
        <row r="1589">
          <cell r="G1589" t="str">
            <v>LH22033</v>
          </cell>
          <cell r="H1589" t="str">
            <v>Cartridge Hydraulic Filter</v>
          </cell>
        </row>
        <row r="1590">
          <cell r="G1590" t="str">
            <v>LAF2550</v>
          </cell>
          <cell r="H1590" t="str">
            <v>HD Metal-End Air Filter</v>
          </cell>
        </row>
        <row r="1591">
          <cell r="G1591" t="str">
            <v>CAF1844P</v>
          </cell>
          <cell r="H1591" t="str">
            <v>Cabin Air Filter</v>
          </cell>
        </row>
        <row r="1592">
          <cell r="G1592" t="str">
            <v>LAF2052</v>
          </cell>
          <cell r="H1592" t="str">
            <v>HD Metal-End Air Filter</v>
          </cell>
        </row>
        <row r="1593">
          <cell r="G1593" t="str">
            <v>LAF6632</v>
          </cell>
          <cell r="H1593" t="str">
            <v>HD Metal-End Air Filter</v>
          </cell>
        </row>
        <row r="1594">
          <cell r="G1594" t="str">
            <v>AF3184</v>
          </cell>
          <cell r="H1594" t="str">
            <v>Flexible Panel Air Filter</v>
          </cell>
        </row>
        <row r="1595">
          <cell r="G1595" t="str">
            <v>LFF3554</v>
          </cell>
          <cell r="H1595" t="str">
            <v>Spin-on Fuel Filter</v>
          </cell>
        </row>
        <row r="1596">
          <cell r="G1596" t="str">
            <v>AF3601</v>
          </cell>
          <cell r="H1596" t="str">
            <v>Flexible Panel Air Filter</v>
          </cell>
        </row>
        <row r="1597">
          <cell r="G1597" t="str">
            <v>LAF6122</v>
          </cell>
          <cell r="H1597" t="str">
            <v>Corrugated Media Air Filter</v>
          </cell>
        </row>
        <row r="1598">
          <cell r="G1598" t="str">
            <v>LAF1804</v>
          </cell>
          <cell r="H1598" t="str">
            <v>HD Metal-End Air Filter with Attached Lid</v>
          </cell>
        </row>
        <row r="1599">
          <cell r="G1599" t="str">
            <v>LAF8549</v>
          </cell>
          <cell r="H1599" t="str">
            <v>HD Metal-End Inner Air Filter</v>
          </cell>
        </row>
        <row r="1600">
          <cell r="G1600" t="str">
            <v>G6847</v>
          </cell>
          <cell r="H1600" t="str">
            <v>In-Line Fuel Filter</v>
          </cell>
        </row>
        <row r="1601">
          <cell r="G1601" t="str">
            <v>LAF2549</v>
          </cell>
          <cell r="H1601" t="str">
            <v>Round Air Filter</v>
          </cell>
        </row>
        <row r="1602">
          <cell r="G1602" t="str">
            <v>LFP8416</v>
          </cell>
          <cell r="H1602" t="str">
            <v>Spin-on Oil Filter</v>
          </cell>
        </row>
        <row r="1603">
          <cell r="G1603" t="str">
            <v>LH5018</v>
          </cell>
          <cell r="H1603" t="str">
            <v>Cartridge Hydraulic Filter</v>
          </cell>
        </row>
        <row r="1604">
          <cell r="G1604" t="str">
            <v>LAF9092</v>
          </cell>
          <cell r="H1604" t="str">
            <v>Panel Air Filter Metal Framed</v>
          </cell>
        </row>
        <row r="1605">
          <cell r="G1605" t="str">
            <v>LH4905</v>
          </cell>
          <cell r="H1605" t="str">
            <v>Cartridge Hydraulic Filter</v>
          </cell>
        </row>
        <row r="1606">
          <cell r="G1606" t="str">
            <v>T660</v>
          </cell>
          <cell r="H1606" t="str">
            <v>Transmission Filter Kit</v>
          </cell>
        </row>
        <row r="1607">
          <cell r="G1607" t="str">
            <v>LFP7075</v>
          </cell>
          <cell r="H1607" t="str">
            <v>Spin-on Oil Filter</v>
          </cell>
        </row>
        <row r="1608">
          <cell r="G1608" t="str">
            <v>L8105F</v>
          </cell>
          <cell r="H1608" t="str">
            <v>Cartridge Fuel Filter</v>
          </cell>
        </row>
        <row r="1609">
          <cell r="G1609" t="str">
            <v>PH226</v>
          </cell>
          <cell r="H1609" t="str">
            <v>Spin-on Oil Filter</v>
          </cell>
        </row>
        <row r="1610">
          <cell r="G1610" t="str">
            <v>LFH4929</v>
          </cell>
          <cell r="H1610" t="str">
            <v>Spin-on Hydraulic Filter</v>
          </cell>
        </row>
        <row r="1611">
          <cell r="G1611" t="str">
            <v>LFF5784</v>
          </cell>
          <cell r="H1611" t="str">
            <v>Spin-on Fuel Filter</v>
          </cell>
        </row>
        <row r="1612">
          <cell r="G1612" t="str">
            <v>AF1046</v>
          </cell>
          <cell r="H1612" t="str">
            <v>Flexible Panel Air Filter</v>
          </cell>
        </row>
        <row r="1613">
          <cell r="G1613" t="str">
            <v>P998</v>
          </cell>
          <cell r="H1613" t="str">
            <v>Cartridge Oil Filter</v>
          </cell>
        </row>
        <row r="1614">
          <cell r="G1614" t="str">
            <v>G6580</v>
          </cell>
          <cell r="H1614" t="str">
            <v>In-Line Fuel Filter</v>
          </cell>
        </row>
        <row r="1615">
          <cell r="G1615" t="str">
            <v>LFP2213</v>
          </cell>
          <cell r="H1615" t="str">
            <v>Spin-on Oil Filter</v>
          </cell>
        </row>
        <row r="1616">
          <cell r="G1616" t="str">
            <v>LFF4511DPS</v>
          </cell>
          <cell r="H1616" t="str">
            <v>Fuel Dispensing Filter</v>
          </cell>
        </row>
        <row r="1617">
          <cell r="G1617" t="str">
            <v>LFH4407</v>
          </cell>
          <cell r="H1617" t="str">
            <v>Spin-on Hydraulic Filter</v>
          </cell>
        </row>
        <row r="1618">
          <cell r="G1618" t="str">
            <v>LAF3716</v>
          </cell>
          <cell r="H1618" t="str">
            <v>HD Metal-End Air Filter</v>
          </cell>
        </row>
        <row r="1619">
          <cell r="G1619" t="str">
            <v>LFH6197</v>
          </cell>
          <cell r="H1619" t="str">
            <v>Spin-on Hydraulic Filter</v>
          </cell>
        </row>
        <row r="1620">
          <cell r="G1620" t="str">
            <v>LFH22043</v>
          </cell>
          <cell r="H1620" t="str">
            <v>Spin-on Hydraulic Filter</v>
          </cell>
        </row>
        <row r="1621">
          <cell r="G1621" t="str">
            <v>LAF5835</v>
          </cell>
          <cell r="H1621" t="str">
            <v>HD Metal-End Air Filter-Inner</v>
          </cell>
        </row>
        <row r="1622">
          <cell r="G1622" t="str">
            <v>LAF8116</v>
          </cell>
          <cell r="H1622" t="str">
            <v>Nano Tech HD Metal End Air Filter</v>
          </cell>
        </row>
        <row r="1623">
          <cell r="G1623" t="str">
            <v>LK1MA</v>
          </cell>
          <cell r="H1623" t="str">
            <v>Mack Engine Maintenance Kit</v>
          </cell>
        </row>
        <row r="1624">
          <cell r="G1624" t="str">
            <v>P985</v>
          </cell>
          <cell r="H1624" t="str">
            <v>Cartridge Oil Filter</v>
          </cell>
        </row>
        <row r="1625">
          <cell r="G1625" t="str">
            <v>AF4055</v>
          </cell>
          <cell r="H1625" t="str">
            <v>Rigid Panel Air Filter</v>
          </cell>
        </row>
        <row r="1626">
          <cell r="G1626" t="str">
            <v>LFF4294</v>
          </cell>
          <cell r="H1626" t="str">
            <v>Spin-on Fuel Water Separator Filter</v>
          </cell>
        </row>
        <row r="1627">
          <cell r="G1627" t="str">
            <v>LFF5950</v>
          </cell>
          <cell r="H1627" t="str">
            <v>Spin-on Fuel Water Separator Filter</v>
          </cell>
        </row>
        <row r="1628">
          <cell r="G1628" t="str">
            <v>T649</v>
          </cell>
          <cell r="H1628" t="str">
            <v>Transmission Filter Kit</v>
          </cell>
        </row>
        <row r="1629">
          <cell r="G1629" t="str">
            <v>LAF5720</v>
          </cell>
          <cell r="H1629" t="str">
            <v>Radial Seal Inner Air Filter</v>
          </cell>
        </row>
        <row r="1630">
          <cell r="G1630" t="str">
            <v>LH22019</v>
          </cell>
          <cell r="H1630" t="str">
            <v>Cartridge Hydraulic Filter</v>
          </cell>
        </row>
        <row r="1631">
          <cell r="G1631" t="str">
            <v>CAF1843C</v>
          </cell>
          <cell r="H1631" t="str">
            <v>Cabin Air Filter (Carbon)</v>
          </cell>
        </row>
        <row r="1632">
          <cell r="G1632" t="str">
            <v>LAF8567</v>
          </cell>
          <cell r="H1632" t="str">
            <v>HD Metal-End Air Filter</v>
          </cell>
        </row>
        <row r="1633">
          <cell r="G1633" t="str">
            <v>LAF8551</v>
          </cell>
          <cell r="H1633" t="str">
            <v>HD Round Air Filter with Attached Boot</v>
          </cell>
        </row>
        <row r="1634">
          <cell r="G1634" t="str">
            <v>LAF5516</v>
          </cell>
          <cell r="H1634" t="str">
            <v>HD Metal-End Air Filter</v>
          </cell>
        </row>
        <row r="1635">
          <cell r="G1635" t="str">
            <v>T415</v>
          </cell>
          <cell r="H1635" t="str">
            <v>Transmission Filter Kit</v>
          </cell>
        </row>
        <row r="1636">
          <cell r="G1636" t="str">
            <v>LH4248V</v>
          </cell>
          <cell r="H1636" t="str">
            <v>Cartridge Hydraulic Filter</v>
          </cell>
        </row>
        <row r="1637">
          <cell r="G1637" t="str">
            <v>T178</v>
          </cell>
          <cell r="H1637" t="str">
            <v>Transmission Filter Kit</v>
          </cell>
        </row>
        <row r="1638">
          <cell r="G1638" t="str">
            <v>LAF1040</v>
          </cell>
          <cell r="H1638" t="str">
            <v>HD Metal-End Air Filter</v>
          </cell>
        </row>
        <row r="1639">
          <cell r="G1639" t="str">
            <v>LFH4210</v>
          </cell>
          <cell r="H1639" t="str">
            <v>Spin-on Hydraulic Filter</v>
          </cell>
        </row>
        <row r="1640">
          <cell r="G1640" t="str">
            <v>LFH8204</v>
          </cell>
          <cell r="H1640" t="str">
            <v>Spin-on Hydraulic Filter</v>
          </cell>
        </row>
        <row r="1641">
          <cell r="G1641" t="str">
            <v>LFH5323</v>
          </cell>
          <cell r="H1641" t="str">
            <v>Spin-on Hydraulic Filter</v>
          </cell>
        </row>
        <row r="1642">
          <cell r="G1642" t="str">
            <v>AF305</v>
          </cell>
          <cell r="H1642" t="str">
            <v>Round Air Filter</v>
          </cell>
        </row>
        <row r="1643">
          <cell r="G1643">
            <v>4666</v>
          </cell>
          <cell r="H1643" t="str">
            <v>F170 with fuel/water separator paper element Filter</v>
          </cell>
        </row>
        <row r="1644">
          <cell r="G1644" t="str">
            <v>AF4025</v>
          </cell>
          <cell r="H1644" t="str">
            <v>Rigid Panel Air Filter</v>
          </cell>
        </row>
        <row r="1645">
          <cell r="G1645" t="str">
            <v>AF4023</v>
          </cell>
          <cell r="H1645" t="str">
            <v>Flexible Panel Air Filter</v>
          </cell>
        </row>
        <row r="1646">
          <cell r="G1646" t="str">
            <v>CAF1814P</v>
          </cell>
          <cell r="H1646" t="str">
            <v>Cabin Air Filter</v>
          </cell>
        </row>
        <row r="1647">
          <cell r="G1647" t="str">
            <v>P2</v>
          </cell>
          <cell r="H1647" t="str">
            <v>Cartridge Oil Filter</v>
          </cell>
        </row>
        <row r="1648">
          <cell r="G1648" t="str">
            <v>AF3219</v>
          </cell>
          <cell r="H1648" t="str">
            <v>Flexible Panel Air Filter</v>
          </cell>
        </row>
        <row r="1649">
          <cell r="G1649" t="str">
            <v>LP2545</v>
          </cell>
          <cell r="H1649" t="str">
            <v>Cartridge Oil Filter</v>
          </cell>
        </row>
        <row r="1650">
          <cell r="G1650" t="str">
            <v>LFP2241</v>
          </cell>
          <cell r="H1650" t="str">
            <v>Spin-on Oil Filter</v>
          </cell>
        </row>
        <row r="1651">
          <cell r="G1651" t="str">
            <v>LP816</v>
          </cell>
          <cell r="H1651" t="str">
            <v>Cartridge Oil Filter</v>
          </cell>
        </row>
        <row r="1652">
          <cell r="G1652" t="str">
            <v>AF5203</v>
          </cell>
          <cell r="H1652" t="str">
            <v>Rigid Panel Air Filter</v>
          </cell>
        </row>
        <row r="1653">
          <cell r="G1653" t="str">
            <v>LAF8085</v>
          </cell>
          <cell r="H1653" t="str">
            <v>Radial Seal Air Filter (Primary)</v>
          </cell>
        </row>
        <row r="1654">
          <cell r="G1654" t="str">
            <v>LAF6032</v>
          </cell>
          <cell r="H1654" t="str">
            <v>HD Metal-End Air Filter</v>
          </cell>
        </row>
        <row r="1655">
          <cell r="G1655" t="str">
            <v>LFF9002</v>
          </cell>
          <cell r="H1655" t="str">
            <v>Bowl Style Fuel Water Separator Filter</v>
          </cell>
        </row>
        <row r="1656">
          <cell r="G1656" t="str">
            <v>LFH9393</v>
          </cell>
          <cell r="H1656" t="str">
            <v>Spin-on Hydraulic Filter</v>
          </cell>
        </row>
        <row r="1657">
          <cell r="G1657" t="str">
            <v>CAF1730</v>
          </cell>
          <cell r="H1657" t="str">
            <v>Cabin Air Filter</v>
          </cell>
        </row>
        <row r="1658">
          <cell r="G1658" t="str">
            <v>T718</v>
          </cell>
          <cell r="H1658" t="str">
            <v>Transmission Filter Kit</v>
          </cell>
        </row>
        <row r="1659">
          <cell r="G1659" t="str">
            <v>T216</v>
          </cell>
          <cell r="H1659" t="str">
            <v>Transmission Filter Kit</v>
          </cell>
        </row>
        <row r="1660">
          <cell r="G1660" t="str">
            <v>.75N1-12A</v>
          </cell>
          <cell r="H1660" t="str">
            <v xml:space="preserve"> HYDRAULIC BASE</v>
          </cell>
        </row>
        <row r="1661">
          <cell r="G1661">
            <v>21221</v>
          </cell>
          <cell r="H1661" t="str">
            <v>IMPERIAL 750</v>
          </cell>
        </row>
        <row r="1662">
          <cell r="G1662" t="str">
            <v>AF4015</v>
          </cell>
          <cell r="H1662" t="str">
            <v>Rigid Panel Air Filter</v>
          </cell>
        </row>
        <row r="1663">
          <cell r="G1663" t="str">
            <v>AF3605</v>
          </cell>
          <cell r="H1663" t="str">
            <v>Flexible Panel Air Filter</v>
          </cell>
        </row>
        <row r="1664">
          <cell r="G1664" t="str">
            <v>LAF9972</v>
          </cell>
          <cell r="H1664" t="str">
            <v>Round Inner Air Filter with Flanged Endcap</v>
          </cell>
        </row>
        <row r="1665">
          <cell r="G1665" t="str">
            <v>LAF3498</v>
          </cell>
          <cell r="H1665" t="str">
            <v>Inner Air Filter</v>
          </cell>
        </row>
        <row r="1666">
          <cell r="G1666" t="str">
            <v>L3515F</v>
          </cell>
          <cell r="H1666" t="str">
            <v>Cartridge Fuel Filter</v>
          </cell>
        </row>
        <row r="1667">
          <cell r="G1667" t="str">
            <v>AF59</v>
          </cell>
          <cell r="H1667" t="str">
            <v>Breather Filter</v>
          </cell>
        </row>
        <row r="1668">
          <cell r="G1668" t="str">
            <v>AF409</v>
          </cell>
          <cell r="H1668" t="str">
            <v>Round Air Filter</v>
          </cell>
        </row>
        <row r="1669">
          <cell r="G1669" t="str">
            <v>LAF3551MXM</v>
          </cell>
          <cell r="H1669" t="str">
            <v xml:space="preserve">Nano Tech HD Round Air Filter w/Attached Lid  </v>
          </cell>
        </row>
        <row r="1670">
          <cell r="G1670" t="str">
            <v>LAF1591</v>
          </cell>
          <cell r="H1670" t="str">
            <v>Metal-End Air Filter with Closed Top End Cap</v>
          </cell>
        </row>
        <row r="1671">
          <cell r="G1671" t="str">
            <v>ZINC</v>
          </cell>
          <cell r="H1671" t="str">
            <v>Vent Plug/272-C, 363-C, 500-C, 750-C, 3C, 2C</v>
          </cell>
        </row>
        <row r="1672">
          <cell r="G1672" t="str">
            <v>AF293</v>
          </cell>
          <cell r="H1672" t="str">
            <v>Rigid Panel Air Filter</v>
          </cell>
        </row>
        <row r="1673">
          <cell r="G1673" t="str">
            <v>AF7921</v>
          </cell>
          <cell r="H1673" t="str">
            <v>Flexible Panel Air Filter</v>
          </cell>
        </row>
        <row r="1674">
          <cell r="G1674" t="str">
            <v>AF212</v>
          </cell>
          <cell r="H1674" t="str">
            <v>Round Air Filter</v>
          </cell>
        </row>
        <row r="1675">
          <cell r="G1675" t="str">
            <v>LAF1714</v>
          </cell>
          <cell r="H1675" t="str">
            <v>HD Metal-End Air Filter</v>
          </cell>
        </row>
        <row r="1676">
          <cell r="G1676" t="str">
            <v>LFF5926</v>
          </cell>
          <cell r="H1676" t="str">
            <v>Spin-on Fuel Water Separator Filter</v>
          </cell>
        </row>
        <row r="1677">
          <cell r="G1677" t="str">
            <v>G6642</v>
          </cell>
          <cell r="H1677" t="str">
            <v>In-Line Fuel Filter</v>
          </cell>
        </row>
        <row r="1678">
          <cell r="G1678" t="str">
            <v>LAF7360</v>
          </cell>
          <cell r="H1678" t="str">
            <v>Round Inner Air Filter with Flanged Endcap</v>
          </cell>
        </row>
        <row r="1679">
          <cell r="G1679" t="str">
            <v>AF51</v>
          </cell>
          <cell r="H1679" t="str">
            <v>Round Air Filter</v>
          </cell>
        </row>
        <row r="1680">
          <cell r="G1680" t="str">
            <v>T654</v>
          </cell>
          <cell r="H1680" t="str">
            <v>Transmission Filter Kit</v>
          </cell>
        </row>
        <row r="1681">
          <cell r="G1681" t="str">
            <v>LAF5783</v>
          </cell>
          <cell r="H1681" t="str">
            <v>Radial Seal Outer Air Filter</v>
          </cell>
        </row>
        <row r="1682">
          <cell r="G1682" t="str">
            <v>T770</v>
          </cell>
          <cell r="H1682" t="str">
            <v>Transmission Kit sump and spin-on return filter</v>
          </cell>
        </row>
        <row r="1683">
          <cell r="G1683" t="str">
            <v>L4107F</v>
          </cell>
          <cell r="H1683" t="str">
            <v>Cartridge Fuel Filter</v>
          </cell>
        </row>
        <row r="1684">
          <cell r="G1684" t="str">
            <v>LAF8225</v>
          </cell>
          <cell r="H1684" t="str">
            <v>Finned Vane Air Filter</v>
          </cell>
        </row>
        <row r="1685">
          <cell r="G1685" t="str">
            <v>LAF7358</v>
          </cell>
          <cell r="H1685" t="str">
            <v>Rigid Panel Air Filter</v>
          </cell>
        </row>
        <row r="1686">
          <cell r="G1686" t="str">
            <v>LFP8462</v>
          </cell>
          <cell r="H1686" t="str">
            <v>Spin-on Oil Filter</v>
          </cell>
        </row>
        <row r="1687">
          <cell r="G1687" t="str">
            <v>LAF8121</v>
          </cell>
          <cell r="H1687" t="str">
            <v>Round Air Filter</v>
          </cell>
        </row>
        <row r="1688">
          <cell r="G1688" t="str">
            <v>LH11007</v>
          </cell>
          <cell r="H1688" t="str">
            <v>Industrial Cartridge Hydraulic Filter</v>
          </cell>
        </row>
        <row r="1689">
          <cell r="G1689" t="str">
            <v>LK170M</v>
          </cell>
          <cell r="H1689" t="str">
            <v>Mack Engine Maintenance Kit</v>
          </cell>
        </row>
        <row r="1690">
          <cell r="G1690" t="str">
            <v>LK351M</v>
          </cell>
          <cell r="H1690" t="str">
            <v>Mack Engine Maintenance Kit</v>
          </cell>
        </row>
        <row r="1691">
          <cell r="G1691" t="str">
            <v>CAF24001XL</v>
          </cell>
          <cell r="H1691" t="str">
            <v>Cabin Air Filter (Carbon) Extreme Clean</v>
          </cell>
        </row>
        <row r="1692">
          <cell r="G1692" t="str">
            <v>LAF65</v>
          </cell>
          <cell r="H1692" t="str">
            <v>Round Plastisol Air Filter</v>
          </cell>
        </row>
        <row r="1693">
          <cell r="G1693" t="str">
            <v>LH4234</v>
          </cell>
          <cell r="H1693" t="str">
            <v>Cartridge Hydraulic Filter</v>
          </cell>
        </row>
        <row r="1694">
          <cell r="G1694" t="str">
            <v>LFP5971</v>
          </cell>
          <cell r="H1694" t="str">
            <v>Spin-on Oil Filter</v>
          </cell>
        </row>
        <row r="1695">
          <cell r="G1695" t="str">
            <v>P837</v>
          </cell>
          <cell r="H1695" t="str">
            <v>Cartridge Oil Filter</v>
          </cell>
        </row>
        <row r="1696">
          <cell r="G1696" t="str">
            <v>P856</v>
          </cell>
          <cell r="H1696" t="str">
            <v>Cartridge Oil Filter</v>
          </cell>
        </row>
        <row r="1697">
          <cell r="G1697" t="str">
            <v>AF8918</v>
          </cell>
          <cell r="H1697" t="str">
            <v>Round Plastisol Air Filter</v>
          </cell>
        </row>
        <row r="1698">
          <cell r="G1698" t="str">
            <v>AF4031</v>
          </cell>
          <cell r="H1698" t="str">
            <v>Rigid Panel Air Filter</v>
          </cell>
        </row>
        <row r="1699">
          <cell r="G1699" t="str">
            <v>CAF1876P</v>
          </cell>
          <cell r="H1699" t="str">
            <v>Cabin Air Filter</v>
          </cell>
        </row>
        <row r="1700">
          <cell r="G1700" t="str">
            <v>LAF8392</v>
          </cell>
          <cell r="H1700" t="str">
            <v>HD Metal-End Inner Air Filter</v>
          </cell>
        </row>
        <row r="1701">
          <cell r="G1701" t="str">
            <v>L624F</v>
          </cell>
          <cell r="H1701" t="str">
            <v>Cartridge Fuel Filter</v>
          </cell>
        </row>
        <row r="1702">
          <cell r="G1702" t="str">
            <v>LFP6288</v>
          </cell>
          <cell r="H1702" t="str">
            <v>Spin-on Oil Filter</v>
          </cell>
        </row>
        <row r="1703">
          <cell r="G1703" t="str">
            <v>LFF9011</v>
          </cell>
          <cell r="H1703" t="str">
            <v>Bowl Style Fuel Water Separator Filter</v>
          </cell>
        </row>
        <row r="1704">
          <cell r="G1704" t="str">
            <v>LFP7164</v>
          </cell>
          <cell r="H1704" t="str">
            <v>Spin-on By-Pass Oil Filter</v>
          </cell>
        </row>
        <row r="1705">
          <cell r="G1705" t="str">
            <v>AF253</v>
          </cell>
          <cell r="H1705" t="str">
            <v>Oval Air Filter</v>
          </cell>
        </row>
        <row r="1706">
          <cell r="G1706" t="str">
            <v>LAF5070</v>
          </cell>
          <cell r="H1706" t="str">
            <v>HD Metal-End Air Filter</v>
          </cell>
        </row>
        <row r="1707">
          <cell r="G1707" t="str">
            <v>LFH4944</v>
          </cell>
          <cell r="H1707" t="str">
            <v>Spin-on Hydraulic Filter</v>
          </cell>
        </row>
        <row r="1708">
          <cell r="G1708" t="str">
            <v>G6321</v>
          </cell>
          <cell r="H1708" t="str">
            <v>In-Line Fuel Filter</v>
          </cell>
        </row>
        <row r="1709">
          <cell r="G1709" t="str">
            <v>L3921F</v>
          </cell>
          <cell r="H1709" t="str">
            <v>Snap-Lock Fuel Filter</v>
          </cell>
        </row>
        <row r="1710">
          <cell r="G1710" t="str">
            <v>LAF916</v>
          </cell>
          <cell r="H1710" t="str">
            <v>Metal-End Air Filter with Closed Top End Cap</v>
          </cell>
        </row>
        <row r="1711">
          <cell r="G1711" t="str">
            <v>LP4373</v>
          </cell>
          <cell r="H1711" t="str">
            <v>Cartridge hydraulic filter</v>
          </cell>
        </row>
        <row r="1712">
          <cell r="G1712" t="str">
            <v>P972</v>
          </cell>
          <cell r="H1712" t="str">
            <v>Cartridge Oil Filter</v>
          </cell>
        </row>
        <row r="1713">
          <cell r="G1713" t="str">
            <v>P8170</v>
          </cell>
          <cell r="H1713" t="str">
            <v>Cartridge Oil Filter</v>
          </cell>
        </row>
        <row r="1714">
          <cell r="G1714" t="str">
            <v>CAF1868P</v>
          </cell>
          <cell r="H1714" t="str">
            <v>Cabin Air Filter</v>
          </cell>
        </row>
        <row r="1715">
          <cell r="G1715" t="str">
            <v>P907</v>
          </cell>
          <cell r="H1715" t="str">
            <v>Cartridge Oil Filter</v>
          </cell>
        </row>
        <row r="1716">
          <cell r="G1716" t="str">
            <v>LH5843</v>
          </cell>
          <cell r="H1716" t="str">
            <v>Cartridge Hydraulic Filter</v>
          </cell>
        </row>
        <row r="1717">
          <cell r="G1717" t="str">
            <v>AF4052</v>
          </cell>
          <cell r="H1717" t="str">
            <v>Panel Air Irregular Shaped Filter</v>
          </cell>
        </row>
        <row r="1718">
          <cell r="G1718" t="str">
            <v>LAF1917</v>
          </cell>
          <cell r="H1718" t="str">
            <v>HD Metal-End Air Filter</v>
          </cell>
        </row>
        <row r="1719">
          <cell r="G1719" t="str">
            <v>LAF1924</v>
          </cell>
          <cell r="H1719" t="str">
            <v>Finned Vane Air Filter</v>
          </cell>
        </row>
        <row r="1720">
          <cell r="G1720" t="str">
            <v>LAF1723</v>
          </cell>
          <cell r="H1720" t="str">
            <v>HD Metal-End Air Filter-Inner</v>
          </cell>
        </row>
        <row r="1721">
          <cell r="G1721" t="str">
            <v>LH8489G</v>
          </cell>
          <cell r="H1721" t="str">
            <v>Cartridge Hydraulic Filter</v>
          </cell>
        </row>
        <row r="1722">
          <cell r="G1722" t="str">
            <v>LFF9737U</v>
          </cell>
          <cell r="H1722" t="str">
            <v>Bowless Fuel Water Separator Filter</v>
          </cell>
        </row>
        <row r="1723">
          <cell r="G1723" t="str">
            <v>LAF1864</v>
          </cell>
          <cell r="H1723" t="str">
            <v>HD Metal-End Air Filter</v>
          </cell>
        </row>
        <row r="1724">
          <cell r="G1724" t="str">
            <v>LAF8476</v>
          </cell>
          <cell r="H1724" t="str">
            <v>Round Air Filter</v>
          </cell>
        </row>
        <row r="1725">
          <cell r="G1725" t="str">
            <v>LAF7752</v>
          </cell>
          <cell r="H1725" t="str">
            <v>HD Metal-End Air Filter</v>
          </cell>
        </row>
        <row r="1726">
          <cell r="G1726" t="str">
            <v>FW6HD</v>
          </cell>
          <cell r="H1726" t="str">
            <v>Heavy Duty Band Wrench requires 1/2" drive tool. Used on 4 1/4" to 4 3/4" diamter filters.</v>
          </cell>
        </row>
        <row r="1727">
          <cell r="G1727" t="str">
            <v>L900B</v>
          </cell>
          <cell r="H1727" t="str">
            <v>Glass Bowl</v>
          </cell>
        </row>
        <row r="1728">
          <cell r="G1728" t="str">
            <v>LAF15F</v>
          </cell>
          <cell r="H1728" t="str">
            <v>Foam Wrap Air Filter</v>
          </cell>
        </row>
        <row r="1729">
          <cell r="G1729" t="str">
            <v>LH95105V</v>
          </cell>
          <cell r="H1729" t="str">
            <v>Cartridge Hydraulic Filter</v>
          </cell>
        </row>
        <row r="1730">
          <cell r="G1730" t="str">
            <v>LFH4431</v>
          </cell>
          <cell r="H1730" t="str">
            <v>Spin-on Hydraulic Filter</v>
          </cell>
        </row>
        <row r="1731">
          <cell r="G1731" t="str">
            <v>750</v>
          </cell>
          <cell r="H1731" t="str">
            <v>Luber-finer 750 housing, microcell extremely fine micronic filtration of aircraft &amp; missile hydraulic fluids</v>
          </cell>
        </row>
        <row r="1732">
          <cell r="G1732" t="str">
            <v>P52</v>
          </cell>
          <cell r="H1732" t="str">
            <v>Cartridge Oil Filter</v>
          </cell>
        </row>
        <row r="1733">
          <cell r="G1733" t="str">
            <v>AF3997</v>
          </cell>
          <cell r="H1733" t="str">
            <v>Flexible Panel Air Filter</v>
          </cell>
        </row>
        <row r="1734">
          <cell r="G1734" t="str">
            <v>PH2809</v>
          </cell>
          <cell r="H1734" t="str">
            <v>Spin-on Oil Filter</v>
          </cell>
        </row>
        <row r="1735">
          <cell r="G1735" t="str">
            <v>AF2442</v>
          </cell>
          <cell r="H1735" t="str">
            <v>Panel Air Irregular Shaped Filter</v>
          </cell>
        </row>
        <row r="1736">
          <cell r="G1736" t="str">
            <v>LAF851</v>
          </cell>
          <cell r="H1736" t="str">
            <v>HD Metal-End Air Filter</v>
          </cell>
        </row>
        <row r="1737">
          <cell r="G1737" t="str">
            <v>LAF1734</v>
          </cell>
          <cell r="H1737" t="str">
            <v>Finned Vane Air Filter</v>
          </cell>
        </row>
        <row r="1738">
          <cell r="G1738" t="str">
            <v>LH11033V</v>
          </cell>
          <cell r="H1738" t="str">
            <v>Industrial Cartridge Hydraulic Filter</v>
          </cell>
        </row>
        <row r="1739">
          <cell r="G1739" t="str">
            <v>L5085F</v>
          </cell>
          <cell r="H1739" t="str">
            <v>Cartridge Fuel Filter</v>
          </cell>
        </row>
        <row r="1740">
          <cell r="G1740" t="str">
            <v>LAF7313</v>
          </cell>
          <cell r="H1740" t="str">
            <v>HD Metal-End Inner Air Filter</v>
          </cell>
        </row>
        <row r="1741">
          <cell r="G1741" t="str">
            <v>LH8094</v>
          </cell>
          <cell r="H1741" t="str">
            <v>Cartridge Hydraulic Filter</v>
          </cell>
        </row>
        <row r="1742">
          <cell r="G1742" t="str">
            <v>LAF2671</v>
          </cell>
          <cell r="H1742" t="str">
            <v>Panel Air Filter Metal Framed</v>
          </cell>
        </row>
        <row r="1743">
          <cell r="G1743" t="str">
            <v>LAF5974</v>
          </cell>
          <cell r="H1743" t="str">
            <v>Radial Seal Inner Air Filter</v>
          </cell>
        </row>
        <row r="1744">
          <cell r="G1744" t="str">
            <v>P1051</v>
          </cell>
          <cell r="H1744" t="str">
            <v>Cartridge Oil Filter</v>
          </cell>
        </row>
        <row r="1745">
          <cell r="G1745" t="str">
            <v>LFW6501</v>
          </cell>
          <cell r="H1745" t="str">
            <v>Controll Release Spin-on Coolant Filter</v>
          </cell>
        </row>
        <row r="1746">
          <cell r="G1746" t="str">
            <v>LP2017</v>
          </cell>
          <cell r="H1746" t="str">
            <v>26-35768 O-RING RED VITON Gasket</v>
          </cell>
        </row>
        <row r="1747">
          <cell r="G1747" t="str">
            <v>LWC22155</v>
          </cell>
          <cell r="H1747" t="str">
            <v>Air Dryer Filter</v>
          </cell>
        </row>
        <row r="1748">
          <cell r="G1748" t="str">
            <v>LAF22106</v>
          </cell>
          <cell r="H1748" t="str">
            <v>HD Metal-End Air Filter</v>
          </cell>
        </row>
        <row r="1749">
          <cell r="G1749" t="str">
            <v>PH7018</v>
          </cell>
          <cell r="H1749" t="str">
            <v>Spin-on Oil Filter</v>
          </cell>
        </row>
        <row r="1750">
          <cell r="G1750" t="str">
            <v>AF312</v>
          </cell>
          <cell r="H1750" t="str">
            <v>Oval Air Filter</v>
          </cell>
        </row>
        <row r="1751">
          <cell r="G1751" t="str">
            <v>G6571</v>
          </cell>
          <cell r="H1751" t="str">
            <v>In-Line Fuel Filter</v>
          </cell>
        </row>
        <row r="1752">
          <cell r="G1752" t="str">
            <v>LOSK-5D</v>
          </cell>
          <cell r="H1752" t="str">
            <v>Oil Analysis Test Kit</v>
          </cell>
        </row>
        <row r="1753">
          <cell r="G1753" t="str">
            <v>CAF1764</v>
          </cell>
          <cell r="H1753" t="str">
            <v>Cabin Air Filter</v>
          </cell>
        </row>
        <row r="1754">
          <cell r="G1754" t="str">
            <v>P968</v>
          </cell>
          <cell r="H1754" t="str">
            <v>Cartridge Oil Filter</v>
          </cell>
        </row>
        <row r="1755">
          <cell r="G1755" t="str">
            <v>AF3917</v>
          </cell>
          <cell r="H1755" t="str">
            <v>Panel Air Filter</v>
          </cell>
        </row>
        <row r="1756">
          <cell r="G1756" t="str">
            <v>AF3983</v>
          </cell>
          <cell r="H1756" t="str">
            <v>Panel Air Filter</v>
          </cell>
        </row>
        <row r="1757">
          <cell r="G1757" t="str">
            <v>G6597</v>
          </cell>
          <cell r="H1757" t="str">
            <v>In-Line Fuel Filter</v>
          </cell>
        </row>
        <row r="1758">
          <cell r="G1758" t="str">
            <v>T631</v>
          </cell>
          <cell r="H1758" t="str">
            <v>Transmission Filter Kit</v>
          </cell>
        </row>
        <row r="1759">
          <cell r="G1759" t="str">
            <v>G1055</v>
          </cell>
          <cell r="H1759" t="str">
            <v>In-Line Fuel Filter</v>
          </cell>
        </row>
        <row r="1760">
          <cell r="G1760" t="str">
            <v>P772</v>
          </cell>
          <cell r="H1760" t="str">
            <v>Cartridge Oil Filter</v>
          </cell>
        </row>
        <row r="1761">
          <cell r="G1761" t="str">
            <v>P7FF</v>
          </cell>
          <cell r="H1761" t="str">
            <v>Cartridge Oil Filter</v>
          </cell>
        </row>
        <row r="1762">
          <cell r="G1762" t="str">
            <v>LAF131</v>
          </cell>
          <cell r="H1762" t="str">
            <v>HD Metal-End Air Filter</v>
          </cell>
        </row>
        <row r="1763">
          <cell r="G1763" t="str">
            <v>P7007</v>
          </cell>
          <cell r="H1763" t="str">
            <v>Cartridge Oil Filter</v>
          </cell>
        </row>
        <row r="1764">
          <cell r="G1764" t="str">
            <v>LH4914</v>
          </cell>
          <cell r="H1764" t="str">
            <v>Cartridge Hydraulic Filter</v>
          </cell>
        </row>
        <row r="1765">
          <cell r="G1765" t="str">
            <v>CAF1745</v>
          </cell>
          <cell r="H1765" t="str">
            <v>Cabin Air Filter</v>
          </cell>
        </row>
        <row r="1766">
          <cell r="G1766" t="str">
            <v>LAF5732</v>
          </cell>
          <cell r="H1766" t="str">
            <v>Radial Seal Inner Air Filter</v>
          </cell>
        </row>
        <row r="1767">
          <cell r="G1767" t="str">
            <v>LH5953</v>
          </cell>
          <cell r="H1767" t="str">
            <v>Cartridge Hydraulic Filter</v>
          </cell>
        </row>
        <row r="1768">
          <cell r="G1768" t="str">
            <v>CAF1879P</v>
          </cell>
          <cell r="H1768" t="str">
            <v>Cabin Air Filter</v>
          </cell>
        </row>
        <row r="1769">
          <cell r="G1769" t="str">
            <v>LFH4427</v>
          </cell>
          <cell r="H1769" t="str">
            <v>Spin-on Hydraulic Filter</v>
          </cell>
        </row>
        <row r="1770">
          <cell r="G1770" t="str">
            <v>G8219</v>
          </cell>
          <cell r="H1770" t="str">
            <v>In-Line Fuel Filter</v>
          </cell>
        </row>
        <row r="1771">
          <cell r="G1771" t="str">
            <v>L6916F</v>
          </cell>
          <cell r="H1771" t="str">
            <v>Cartridge Fuel Filter</v>
          </cell>
        </row>
        <row r="1772">
          <cell r="G1772" t="str">
            <v>LAF3704</v>
          </cell>
          <cell r="H1772" t="str">
            <v>HD Metal-End Air Filter</v>
          </cell>
        </row>
        <row r="1773">
          <cell r="G1773" t="str">
            <v>LAF5026</v>
          </cell>
          <cell r="H1773" t="str">
            <v>Panel Air Filter Metal Framed</v>
          </cell>
        </row>
        <row r="1774">
          <cell r="G1774" t="str">
            <v>LH22126</v>
          </cell>
          <cell r="H1774" t="str">
            <v>Cartridge Hydraulic Filter</v>
          </cell>
        </row>
        <row r="1775">
          <cell r="G1775" t="str">
            <v>AF4008</v>
          </cell>
          <cell r="H1775" t="str">
            <v>Rigid Panel Air Filter</v>
          </cell>
        </row>
        <row r="1776">
          <cell r="G1776" t="str">
            <v>P982</v>
          </cell>
          <cell r="H1776" t="str">
            <v>Cartridge Oil Filter</v>
          </cell>
        </row>
        <row r="1777">
          <cell r="G1777" t="str">
            <v>LAF1800</v>
          </cell>
          <cell r="H1777" t="str">
            <v>HD Metal-End Air Filter</v>
          </cell>
        </row>
        <row r="1778">
          <cell r="G1778" t="str">
            <v>AF5195</v>
          </cell>
          <cell r="H1778" t="str">
            <v>Rigid Panel Air Filter</v>
          </cell>
        </row>
        <row r="1779">
          <cell r="G1779" t="str">
            <v>CAF1903P</v>
          </cell>
          <cell r="H1779" t="str">
            <v>Cabin Air Filter</v>
          </cell>
        </row>
        <row r="1780">
          <cell r="G1780" t="str">
            <v>AF102</v>
          </cell>
          <cell r="H1780" t="str">
            <v>Round Air Filter</v>
          </cell>
        </row>
        <row r="1781">
          <cell r="G1781" t="str">
            <v>AF5199</v>
          </cell>
          <cell r="H1781" t="str">
            <v>Flexible Panel Air Filter</v>
          </cell>
        </row>
        <row r="1782">
          <cell r="G1782" t="str">
            <v>CAF1858C</v>
          </cell>
          <cell r="H1782" t="str">
            <v>Cabin Air Filter (Carbon)</v>
          </cell>
        </row>
        <row r="1783">
          <cell r="G1783" t="str">
            <v>LAF4508</v>
          </cell>
          <cell r="H1783" t="str">
            <v>Radial Seal Inner Air Filter</v>
          </cell>
        </row>
        <row r="1784">
          <cell r="G1784" t="str">
            <v>PC319</v>
          </cell>
          <cell r="H1784" t="str">
            <v>PCV Valve</v>
          </cell>
        </row>
        <row r="1785">
          <cell r="G1785" t="str">
            <v>LAF1811</v>
          </cell>
          <cell r="H1785" t="str">
            <v>HD Round Air Filter with Attached Boot</v>
          </cell>
        </row>
        <row r="1786">
          <cell r="G1786" t="str">
            <v>T635</v>
          </cell>
          <cell r="H1786" t="str">
            <v>Transmission Filter Kit</v>
          </cell>
        </row>
        <row r="1787">
          <cell r="G1787" t="str">
            <v>G471</v>
          </cell>
          <cell r="H1787" t="str">
            <v>In-Line Fuel Filter</v>
          </cell>
        </row>
        <row r="1788">
          <cell r="G1788" t="str">
            <v>LAF8583</v>
          </cell>
          <cell r="H1788" t="str">
            <v>Finned Vane Air Filter With Attached Lid</v>
          </cell>
        </row>
        <row r="1789">
          <cell r="G1789" t="str">
            <v>LAF2534</v>
          </cell>
          <cell r="H1789" t="str">
            <v>Disposible Housing Air Filter</v>
          </cell>
        </row>
        <row r="1790">
          <cell r="G1790" t="str">
            <v>LAF5562</v>
          </cell>
          <cell r="H1790" t="str">
            <v>HD Metal-End Inner Air Filter</v>
          </cell>
        </row>
        <row r="1791">
          <cell r="G1791" t="str">
            <v>LAF8620</v>
          </cell>
          <cell r="H1791" t="str">
            <v>HD Round Finned Air Filter with Attached Lid</v>
          </cell>
        </row>
        <row r="1792">
          <cell r="G1792" t="str">
            <v>AF19</v>
          </cell>
          <cell r="H1792" t="str">
            <v>Round Air Filter</v>
          </cell>
        </row>
        <row r="1793">
          <cell r="G1793" t="str">
            <v>LH4939</v>
          </cell>
          <cell r="H1793" t="str">
            <v>Cartridge Hydraulic Filter</v>
          </cell>
        </row>
        <row r="1794">
          <cell r="G1794" t="str">
            <v>LAF8390</v>
          </cell>
          <cell r="H1794" t="str">
            <v>Round Inner Air Filter with Flanged Endcap</v>
          </cell>
        </row>
        <row r="1795">
          <cell r="G1795" t="str">
            <v>LAF1922</v>
          </cell>
          <cell r="H1795" t="str">
            <v>HD Metal-End Inner Air Filter</v>
          </cell>
        </row>
        <row r="1796">
          <cell r="G1796" t="str">
            <v>LAF1910</v>
          </cell>
          <cell r="H1796" t="str">
            <v>HD Metal-End Air Filter</v>
          </cell>
        </row>
        <row r="1797">
          <cell r="G1797" t="str">
            <v>LAF1841</v>
          </cell>
          <cell r="H1797" t="str">
            <v>HD Metal-End Air Filter</v>
          </cell>
        </row>
        <row r="1798">
          <cell r="G1798" t="str">
            <v>LFH8398</v>
          </cell>
          <cell r="H1798" t="str">
            <v>Hydraulic Spin-on Filter</v>
          </cell>
        </row>
        <row r="1799">
          <cell r="G1799" t="str">
            <v>LH8785</v>
          </cell>
          <cell r="H1799" t="str">
            <v>Cartridge Hydraulic Filter</v>
          </cell>
        </row>
        <row r="1800">
          <cell r="G1800" t="str">
            <v>LH22125</v>
          </cell>
          <cell r="H1800" t="str">
            <v>Cartridge Hydraulic Filter</v>
          </cell>
        </row>
        <row r="1801">
          <cell r="G1801" t="str">
            <v>LH4170</v>
          </cell>
          <cell r="H1801" t="str">
            <v>Cartridge Hydraulic Filter</v>
          </cell>
        </row>
        <row r="1802">
          <cell r="G1802" t="str">
            <v>LH4369</v>
          </cell>
          <cell r="H1802" t="str">
            <v>Cartridge Hydraulic Filter</v>
          </cell>
        </row>
        <row r="1803">
          <cell r="G1803" t="str">
            <v>LFP4005TRT</v>
          </cell>
          <cell r="H1803" t="str">
            <v>Spin-on Oil Filter</v>
          </cell>
        </row>
        <row r="1804">
          <cell r="G1804">
            <v>363</v>
          </cell>
          <cell r="H1804" t="str">
            <v>Luber-finer 363 diesel pak element filter (opt. applications) detergent type lube oil</v>
          </cell>
        </row>
        <row r="1805">
          <cell r="G1805" t="str">
            <v>970C</v>
          </cell>
          <cell r="H1805" t="str">
            <v>Industrial Full-flow Unit w/LP970-5 Element/970-C Filter</v>
          </cell>
        </row>
        <row r="1806">
          <cell r="G1806" t="str">
            <v>AF1031</v>
          </cell>
          <cell r="H1806" t="str">
            <v>Flexible Panel Air Filter</v>
          </cell>
        </row>
        <row r="1807">
          <cell r="G1807" t="str">
            <v>AF4043</v>
          </cell>
          <cell r="H1807" t="str">
            <v>Panel Air Irregular Shaped Filter</v>
          </cell>
        </row>
        <row r="1808">
          <cell r="G1808" t="str">
            <v>FP862F</v>
          </cell>
          <cell r="H1808" t="str">
            <v>Spin-on Fuel Water Separator Filter</v>
          </cell>
        </row>
        <row r="1809">
          <cell r="G1809" t="str">
            <v>LH8541</v>
          </cell>
          <cell r="H1809" t="str">
            <v>Cartridge Hydraulic Filter</v>
          </cell>
        </row>
        <row r="1810">
          <cell r="G1810" t="str">
            <v>LAF8086</v>
          </cell>
          <cell r="H1810" t="str">
            <v>Radial Seal Inner Air Filter Inner</v>
          </cell>
        </row>
        <row r="1811">
          <cell r="G1811" t="str">
            <v>LMB2000</v>
          </cell>
          <cell r="H1811" t="str">
            <v>Coalescer Filter Base Base used with LFP2000C, LFP2100C, LFP2200C, LFP3100C and LFP3200C</v>
          </cell>
        </row>
        <row r="1812">
          <cell r="G1812" t="str">
            <v>L3514F</v>
          </cell>
          <cell r="H1812" t="str">
            <v>Cartridge Fuel Filter</v>
          </cell>
        </row>
        <row r="1813">
          <cell r="G1813" t="str">
            <v>LAF5474</v>
          </cell>
          <cell r="H1813" t="str">
            <v>Radial Seal Outer Air Filter</v>
          </cell>
        </row>
        <row r="1814">
          <cell r="G1814" t="str">
            <v>AF52</v>
          </cell>
          <cell r="H1814" t="str">
            <v>Round Air Filter</v>
          </cell>
        </row>
        <row r="1815">
          <cell r="G1815" t="str">
            <v>LH4903</v>
          </cell>
          <cell r="H1815" t="str">
            <v>Cartridge Hydraulic Filter</v>
          </cell>
        </row>
        <row r="1816">
          <cell r="G1816" t="str">
            <v>LAF5154</v>
          </cell>
          <cell r="H1816" t="str">
            <v>Panel Air Filter Metal Framed</v>
          </cell>
        </row>
        <row r="1817">
          <cell r="G1817" t="str">
            <v>LAF320</v>
          </cell>
          <cell r="H1817" t="str">
            <v>Tube Type Air Filter</v>
          </cell>
        </row>
        <row r="1818">
          <cell r="G1818" t="str">
            <v>G475</v>
          </cell>
          <cell r="H1818" t="str">
            <v>In-Line Fuel Filter</v>
          </cell>
        </row>
        <row r="1819">
          <cell r="G1819" t="str">
            <v>LAF636</v>
          </cell>
          <cell r="H1819" t="str">
            <v>HD Metal-End Inner Air Filter</v>
          </cell>
        </row>
        <row r="1820">
          <cell r="G1820" t="str">
            <v>G573</v>
          </cell>
          <cell r="H1820" t="str">
            <v>In-Line Fuel Filter</v>
          </cell>
        </row>
        <row r="1821">
          <cell r="G1821" t="str">
            <v>T622</v>
          </cell>
          <cell r="H1821" t="str">
            <v>Transmission Filter Kit</v>
          </cell>
        </row>
        <row r="1822">
          <cell r="G1822" t="str">
            <v>LAF8200</v>
          </cell>
          <cell r="H1822" t="str">
            <v>Round Air Filter</v>
          </cell>
        </row>
        <row r="1823">
          <cell r="G1823" t="str">
            <v>LAF1863</v>
          </cell>
          <cell r="H1823" t="str">
            <v>HD Metal-End Air Filter</v>
          </cell>
        </row>
        <row r="1824">
          <cell r="G1824" t="str">
            <v>LAF8151</v>
          </cell>
          <cell r="H1824" t="str">
            <v>Radial Seal Outer Air Filter</v>
          </cell>
        </row>
        <row r="1825">
          <cell r="G1825" t="str">
            <v>LAF880</v>
          </cell>
          <cell r="H1825" t="str">
            <v>HD Round Air Filter with Attached Boot</v>
          </cell>
        </row>
        <row r="1826">
          <cell r="G1826" t="str">
            <v>LK291D</v>
          </cell>
          <cell r="H1826" t="str">
            <v>Detroit Diesel Engine Maintenance Kit</v>
          </cell>
        </row>
        <row r="1827">
          <cell r="G1827" t="str">
            <v>LFH8395G</v>
          </cell>
          <cell r="H1827" t="str">
            <v>Spin-on Hydraulic Filter</v>
          </cell>
        </row>
        <row r="1828">
          <cell r="G1828" t="str">
            <v>AF4048</v>
          </cell>
          <cell r="H1828" t="str">
            <v>Flexible Panel Air Filter</v>
          </cell>
        </row>
        <row r="1829">
          <cell r="G1829" t="str">
            <v>CAF7757</v>
          </cell>
          <cell r="H1829" t="str">
            <v>Cabin Air Filter (Carbon)</v>
          </cell>
        </row>
        <row r="1830">
          <cell r="G1830" t="str">
            <v>CAF1867P</v>
          </cell>
          <cell r="H1830" t="str">
            <v>Cabin Air Filter</v>
          </cell>
        </row>
        <row r="1831">
          <cell r="G1831" t="str">
            <v>LAF3496</v>
          </cell>
          <cell r="H1831" t="str">
            <v>HD Round Air Filter with Attached Boot</v>
          </cell>
        </row>
        <row r="1832">
          <cell r="G1832" t="str">
            <v>LAF8630</v>
          </cell>
          <cell r="H1832" t="str">
            <v>Finned Vane Air Filter</v>
          </cell>
        </row>
        <row r="1833">
          <cell r="G1833" t="str">
            <v>AF5209</v>
          </cell>
          <cell r="H1833" t="str">
            <v>Flexible Panel Air Filter</v>
          </cell>
        </row>
        <row r="1834">
          <cell r="G1834" t="str">
            <v>LFP5015G</v>
          </cell>
          <cell r="H1834" t="str">
            <v>Spin-on Hydraulic Filter</v>
          </cell>
        </row>
        <row r="1835">
          <cell r="G1835" t="str">
            <v>G1039</v>
          </cell>
          <cell r="H1835" t="str">
            <v>In-Line Fuel Filter</v>
          </cell>
        </row>
        <row r="1836">
          <cell r="G1836" t="str">
            <v>L9890F</v>
          </cell>
          <cell r="H1836" t="str">
            <v>Cartridge Fuel Filter</v>
          </cell>
        </row>
        <row r="1837">
          <cell r="G1837" t="str">
            <v>LAF2519</v>
          </cell>
          <cell r="H1837" t="str">
            <v>Round Inner Air Filter with Flanged Endcap</v>
          </cell>
        </row>
        <row r="1838">
          <cell r="G1838" t="str">
            <v>LAF2020</v>
          </cell>
          <cell r="H1838" t="str">
            <v>Tube Type Air Filter</v>
          </cell>
        </row>
        <row r="1839">
          <cell r="G1839" t="str">
            <v>LAF8404</v>
          </cell>
          <cell r="H1839" t="str">
            <v>Radial Seal Outer Air Filter</v>
          </cell>
        </row>
        <row r="1840">
          <cell r="G1840" t="str">
            <v>T226</v>
          </cell>
          <cell r="H1840" t="str">
            <v>Transmission Filter Kit</v>
          </cell>
        </row>
        <row r="1841">
          <cell r="G1841" t="str">
            <v>G8154</v>
          </cell>
          <cell r="H1841" t="str">
            <v>In-Line Fuel Filter</v>
          </cell>
        </row>
        <row r="1842">
          <cell r="G1842" t="str">
            <v>LFP2238</v>
          </cell>
          <cell r="H1842" t="str">
            <v>Spin-on Oil Filter</v>
          </cell>
        </row>
        <row r="1843">
          <cell r="G1843" t="str">
            <v>AF4017</v>
          </cell>
          <cell r="H1843" t="str">
            <v>Rigid Panel Air Filter</v>
          </cell>
        </row>
        <row r="1844">
          <cell r="G1844" t="str">
            <v>CAF1762</v>
          </cell>
          <cell r="H1844" t="str">
            <v>Cabin Air Filter</v>
          </cell>
        </row>
        <row r="1845">
          <cell r="G1845" t="str">
            <v>L3528F</v>
          </cell>
          <cell r="H1845" t="str">
            <v>Cartridge Fuel Filter</v>
          </cell>
        </row>
        <row r="1846">
          <cell r="G1846" t="str">
            <v>L60F</v>
          </cell>
          <cell r="H1846" t="str">
            <v>Cartridge Fuel Filter</v>
          </cell>
        </row>
        <row r="1847">
          <cell r="G1847" t="str">
            <v>G1033</v>
          </cell>
          <cell r="H1847" t="str">
            <v>In-Line Fuel Filter</v>
          </cell>
        </row>
        <row r="1848">
          <cell r="G1848" t="str">
            <v>LFP2535</v>
          </cell>
          <cell r="H1848" t="str">
            <v>Spin-on Oil Filter</v>
          </cell>
        </row>
        <row r="1849">
          <cell r="G1849" t="str">
            <v>LAF3048</v>
          </cell>
          <cell r="H1849" t="str">
            <v>Round Inner Air Filter with Flanged Endcap</v>
          </cell>
        </row>
        <row r="1850">
          <cell r="G1850" t="str">
            <v>LAF4514</v>
          </cell>
          <cell r="H1850" t="str">
            <v>HD Metal-End Air Filter with Attached Lid</v>
          </cell>
        </row>
        <row r="1851">
          <cell r="G1851" t="str">
            <v>LAF3532</v>
          </cell>
          <cell r="H1851" t="str">
            <v>Radial Seal Outer Air Filter</v>
          </cell>
        </row>
        <row r="1852">
          <cell r="G1852" t="str">
            <v>LAFV140A</v>
          </cell>
          <cell r="H1852" t="str">
            <v>HD Metal-End Air Filter</v>
          </cell>
        </row>
        <row r="1853">
          <cell r="G1853" t="str">
            <v>CAF1713</v>
          </cell>
          <cell r="H1853" t="str">
            <v>Cabin Air Filter</v>
          </cell>
        </row>
        <row r="1854">
          <cell r="G1854" t="str">
            <v>LP135</v>
          </cell>
          <cell r="H1854" t="str">
            <v>Cartridge Oil Filter</v>
          </cell>
        </row>
        <row r="1855">
          <cell r="G1855" t="str">
            <v>LAF1818MXM</v>
          </cell>
          <cell r="H1855" t="str">
            <v>Nano Tech w/Attached boot Air Filter</v>
          </cell>
        </row>
        <row r="1856">
          <cell r="G1856" t="str">
            <v>LH4942</v>
          </cell>
          <cell r="H1856" t="str">
            <v>Cartridge Hydraulic Filter</v>
          </cell>
        </row>
        <row r="1857">
          <cell r="G1857" t="str">
            <v>LAF1907</v>
          </cell>
          <cell r="H1857" t="str">
            <v>Finned Vane Air Filter</v>
          </cell>
        </row>
        <row r="1858">
          <cell r="G1858" t="str">
            <v>LFH8177</v>
          </cell>
          <cell r="H1858" t="str">
            <v>Spin-on Hydraulic Filter</v>
          </cell>
        </row>
        <row r="1859">
          <cell r="G1859" t="str">
            <v>LAF2746</v>
          </cell>
          <cell r="H1859" t="str">
            <v>HD Metal-End Air Filter-Inner</v>
          </cell>
        </row>
        <row r="1860">
          <cell r="G1860" t="str">
            <v>LP5905</v>
          </cell>
          <cell r="H1860" t="str">
            <v>Cartridge Oil Filter</v>
          </cell>
        </row>
        <row r="1861">
          <cell r="G1861" t="str">
            <v>AF3870</v>
          </cell>
          <cell r="H1861" t="str">
            <v>Round Air Filter</v>
          </cell>
        </row>
        <row r="1862">
          <cell r="G1862" t="str">
            <v>AF530</v>
          </cell>
          <cell r="H1862" t="str">
            <v>Round Air Filter</v>
          </cell>
        </row>
        <row r="1863">
          <cell r="G1863" t="str">
            <v>LAF2438</v>
          </cell>
          <cell r="H1863" t="str">
            <v>Tube Type Air Filter</v>
          </cell>
        </row>
        <row r="1864">
          <cell r="G1864" t="str">
            <v>LAF5819</v>
          </cell>
          <cell r="H1864" t="str">
            <v>Rigid Panel Air Filter</v>
          </cell>
        </row>
        <row r="1865">
          <cell r="G1865" t="str">
            <v>LAF879</v>
          </cell>
          <cell r="H1865" t="str">
            <v>HD Metal-End Inner Air Filter</v>
          </cell>
        </row>
        <row r="1866">
          <cell r="G1866" t="str">
            <v>LH4932G</v>
          </cell>
          <cell r="H1866" t="str">
            <v>Cartridge Hydraulic Filter</v>
          </cell>
        </row>
        <row r="1867">
          <cell r="G1867" t="str">
            <v>LH9187</v>
          </cell>
          <cell r="H1867" t="str">
            <v>Cartridge Hydraulic Filter</v>
          </cell>
        </row>
        <row r="1868">
          <cell r="G1868" t="str">
            <v>P1072</v>
          </cell>
          <cell r="H1868" t="str">
            <v>Cartridge Oil Filter</v>
          </cell>
        </row>
        <row r="1869">
          <cell r="G1869" t="str">
            <v>970C</v>
          </cell>
          <cell r="H1869" t="str">
            <v>Industrial Full-flow Unit w/LP970-10 Element Filter</v>
          </cell>
        </row>
        <row r="1870">
          <cell r="G1870" t="str">
            <v>P122</v>
          </cell>
          <cell r="H1870" t="str">
            <v>Cartridge Oil Filter</v>
          </cell>
        </row>
        <row r="1871">
          <cell r="G1871" t="str">
            <v>AF9912</v>
          </cell>
          <cell r="H1871" t="str">
            <v>Flexible Panel Air Filter</v>
          </cell>
        </row>
        <row r="1872">
          <cell r="G1872" t="str">
            <v>CAF1755</v>
          </cell>
          <cell r="H1872" t="str">
            <v>Cabin Air Filter</v>
          </cell>
        </row>
        <row r="1873">
          <cell r="G1873" t="str">
            <v>AF7939</v>
          </cell>
          <cell r="H1873" t="str">
            <v>Flexible Panel Air Filter</v>
          </cell>
        </row>
        <row r="1874">
          <cell r="G1874" t="str">
            <v>CAF1886P</v>
          </cell>
          <cell r="H1874" t="str">
            <v>Cabin Air Filter</v>
          </cell>
        </row>
        <row r="1875">
          <cell r="G1875" t="str">
            <v>PC438</v>
          </cell>
          <cell r="H1875" t="str">
            <v>PCV Valve</v>
          </cell>
        </row>
        <row r="1876">
          <cell r="G1876" t="str">
            <v>T115</v>
          </cell>
          <cell r="H1876" t="str">
            <v>Transmission Filter Kit</v>
          </cell>
        </row>
        <row r="1877">
          <cell r="G1877" t="str">
            <v>AF3195</v>
          </cell>
          <cell r="H1877" t="str">
            <v>Air Filter</v>
          </cell>
        </row>
        <row r="1878">
          <cell r="G1878" t="str">
            <v>AF5239</v>
          </cell>
          <cell r="H1878" t="str">
            <v>Air Filter</v>
          </cell>
        </row>
        <row r="1879">
          <cell r="G1879" t="str">
            <v>CAF1795</v>
          </cell>
          <cell r="H1879" t="str">
            <v>Cabin Air Filter</v>
          </cell>
        </row>
        <row r="1880">
          <cell r="G1880" t="str">
            <v>P996</v>
          </cell>
          <cell r="H1880" t="str">
            <v>Cartridge Oil Filter</v>
          </cell>
        </row>
        <row r="1881">
          <cell r="G1881" t="str">
            <v>LFH4204XL</v>
          </cell>
          <cell r="H1881" t="str">
            <v>Extended Life Hydraulic Spin-on Filter</v>
          </cell>
        </row>
        <row r="1882">
          <cell r="G1882" t="str">
            <v>LP2279</v>
          </cell>
          <cell r="H1882" t="str">
            <v>Cartridge Oil Filter</v>
          </cell>
        </row>
        <row r="1883">
          <cell r="G1883" t="str">
            <v>LFP912</v>
          </cell>
          <cell r="H1883" t="str">
            <v>Spin-on Oil Filter</v>
          </cell>
        </row>
        <row r="1884">
          <cell r="G1884" t="str">
            <v>LAF9726</v>
          </cell>
          <cell r="H1884" t="str">
            <v>HD Metal-End Air Filter</v>
          </cell>
        </row>
        <row r="1885">
          <cell r="G1885" t="str">
            <v>LAF5300</v>
          </cell>
          <cell r="H1885" t="str">
            <v>Cabin Air Filter</v>
          </cell>
        </row>
        <row r="1886">
          <cell r="G1886" t="str">
            <v>CAF1731</v>
          </cell>
          <cell r="H1886" t="str">
            <v>Cabin Air Filter</v>
          </cell>
        </row>
        <row r="1887">
          <cell r="G1887" t="str">
            <v>LAF6966</v>
          </cell>
          <cell r="H1887" t="str">
            <v>HD Metal-End Air Filter</v>
          </cell>
        </row>
        <row r="1888">
          <cell r="G1888" t="str">
            <v>LFH4447</v>
          </cell>
          <cell r="H1888" t="str">
            <v>Spin-on Hydraulic Filter</v>
          </cell>
        </row>
        <row r="1889">
          <cell r="G1889" t="str">
            <v>G16</v>
          </cell>
          <cell r="H1889" t="str">
            <v>In-Line Fuel Filter</v>
          </cell>
        </row>
        <row r="1890">
          <cell r="G1890" t="str">
            <v>AF734</v>
          </cell>
          <cell r="H1890" t="str">
            <v>Round Air Filter</v>
          </cell>
        </row>
        <row r="1891">
          <cell r="G1891" t="str">
            <v>FP887F</v>
          </cell>
          <cell r="H1891" t="str">
            <v>Spin-on Fuel Water Separator Filter</v>
          </cell>
        </row>
        <row r="1892">
          <cell r="G1892" t="str">
            <v>L3539F</v>
          </cell>
          <cell r="H1892" t="str">
            <v>Cartridge Fuel Filter</v>
          </cell>
        </row>
        <row r="1893">
          <cell r="G1893" t="str">
            <v>LAF1227</v>
          </cell>
          <cell r="H1893" t="str">
            <v>HD Metal-End Air Filter</v>
          </cell>
        </row>
        <row r="1894">
          <cell r="G1894" t="str">
            <v>LAF1831</v>
          </cell>
          <cell r="H1894" t="str">
            <v>HD Metal-End Inner Air Filter</v>
          </cell>
        </row>
        <row r="1895">
          <cell r="G1895" t="str">
            <v>LFF8101</v>
          </cell>
          <cell r="H1895" t="str">
            <v>Spin-on Fuel Filter</v>
          </cell>
        </row>
        <row r="1896">
          <cell r="G1896" t="str">
            <v>LFF9006</v>
          </cell>
          <cell r="H1896" t="str">
            <v>Bowl Style Fuel Water Separator Filter</v>
          </cell>
        </row>
        <row r="1897">
          <cell r="G1897" t="str">
            <v>LFH9499</v>
          </cell>
          <cell r="H1897" t="str">
            <v>Spin-on Hydraulic Filter</v>
          </cell>
        </row>
        <row r="1898">
          <cell r="G1898" t="str">
            <v>LFP777G</v>
          </cell>
          <cell r="H1898" t="str">
            <v>Extended Life Spin-on By-Pass Oil Filter</v>
          </cell>
        </row>
        <row r="1899">
          <cell r="G1899" t="str">
            <v>LK303M</v>
          </cell>
          <cell r="H1899" t="str">
            <v>Mack Engine Maintenance Kit</v>
          </cell>
        </row>
        <row r="1900">
          <cell r="G1900" t="str">
            <v>LP560HE</v>
          </cell>
          <cell r="H1900" t="str">
            <v>Cartridge Oil Filter</v>
          </cell>
        </row>
        <row r="1901">
          <cell r="G1901" t="str">
            <v>LAF8212</v>
          </cell>
          <cell r="H1901" t="str">
            <v>Finned Vane Air Filter</v>
          </cell>
        </row>
        <row r="1902">
          <cell r="G1902">
            <v>1142</v>
          </cell>
          <cell r="H1902" t="str">
            <v>Winslow 296G, Gasket used with L1874T</v>
          </cell>
        </row>
        <row r="1903">
          <cell r="G1903" t="str">
            <v>GASKET</v>
          </cell>
          <cell r="H1903" t="str">
            <v>Cover Gasket for Low Temperature Applications/500-C, 750-C, CT, 2C, 3C, 970-C</v>
          </cell>
        </row>
        <row r="1904">
          <cell r="G1904" t="str">
            <v>PC68</v>
          </cell>
          <cell r="H1904" t="str">
            <v>PCV Valve</v>
          </cell>
        </row>
        <row r="1905">
          <cell r="G1905" t="str">
            <v>LFP5760</v>
          </cell>
          <cell r="H1905" t="str">
            <v>Spin-on Oil Filter</v>
          </cell>
        </row>
        <row r="1906">
          <cell r="G1906" t="str">
            <v>LFF3403</v>
          </cell>
          <cell r="H1906" t="str">
            <v>Cartridge Fuel Filter</v>
          </cell>
        </row>
        <row r="1907">
          <cell r="G1907" t="str">
            <v>CAF1804P</v>
          </cell>
          <cell r="H1907" t="str">
            <v>Cabin Air Filter</v>
          </cell>
        </row>
        <row r="1908">
          <cell r="G1908" t="str">
            <v>AF7953</v>
          </cell>
          <cell r="H1908" t="str">
            <v>Rigid Panel Air Filter</v>
          </cell>
        </row>
        <row r="1909">
          <cell r="G1909" t="str">
            <v>LAF8483</v>
          </cell>
          <cell r="H1909" t="str">
            <v>HD Metal-End Air Filter</v>
          </cell>
        </row>
        <row r="1910">
          <cell r="G1910" t="str">
            <v>LFP3871</v>
          </cell>
          <cell r="H1910" t="str">
            <v>Spin-on Oil Filter</v>
          </cell>
        </row>
        <row r="1911">
          <cell r="G1911" t="str">
            <v>LAF3705</v>
          </cell>
          <cell r="H1911" t="str">
            <v>HD Metal-End Air Filter with Attached Lid</v>
          </cell>
        </row>
        <row r="1912">
          <cell r="G1912" t="str">
            <v>G1060</v>
          </cell>
          <cell r="H1912" t="str">
            <v>In-Line Fuel Filter</v>
          </cell>
        </row>
        <row r="1913">
          <cell r="G1913" t="str">
            <v>AF9916</v>
          </cell>
          <cell r="H1913" t="str">
            <v>Air Filter</v>
          </cell>
        </row>
        <row r="1914">
          <cell r="G1914" t="str">
            <v>AF5184</v>
          </cell>
          <cell r="H1914" t="str">
            <v>Rigid Panel Air Filter</v>
          </cell>
        </row>
        <row r="1915">
          <cell r="G1915" t="str">
            <v>CAF1832P</v>
          </cell>
          <cell r="H1915" t="str">
            <v>Cabin Air Filter</v>
          </cell>
        </row>
        <row r="1916">
          <cell r="G1916" t="str">
            <v>AF3954</v>
          </cell>
          <cell r="H1916" t="str">
            <v>Corrugated Media Air Filter</v>
          </cell>
        </row>
        <row r="1917">
          <cell r="G1917" t="str">
            <v>AF5241</v>
          </cell>
          <cell r="H1917" t="str">
            <v>Rigid Panel Air Filter</v>
          </cell>
        </row>
        <row r="1918">
          <cell r="G1918" t="str">
            <v>LAF4497</v>
          </cell>
          <cell r="H1918" t="str">
            <v>Radial Seal Outer Air Filter</v>
          </cell>
        </row>
        <row r="1919">
          <cell r="G1919" t="str">
            <v>P92</v>
          </cell>
          <cell r="H1919" t="str">
            <v>Cartridge Oil Filter</v>
          </cell>
        </row>
        <row r="1920">
          <cell r="G1920" t="str">
            <v>LH22002</v>
          </cell>
          <cell r="H1920" t="str">
            <v>Cartridge Hydraulic Filter</v>
          </cell>
        </row>
        <row r="1921">
          <cell r="G1921" t="str">
            <v>T533</v>
          </cell>
          <cell r="H1921" t="str">
            <v>Transmission Filter Kit</v>
          </cell>
        </row>
        <row r="1922">
          <cell r="G1922" t="str">
            <v>LAF5475</v>
          </cell>
          <cell r="H1922" t="str">
            <v>Radial Seal Inner Air Filter</v>
          </cell>
        </row>
        <row r="1923">
          <cell r="G1923" t="str">
            <v>G779</v>
          </cell>
          <cell r="H1923" t="str">
            <v>Cartridge Fuel Filter</v>
          </cell>
        </row>
        <row r="1924">
          <cell r="G1924" t="str">
            <v>LAF8803</v>
          </cell>
          <cell r="H1924" t="str">
            <v>HD Metal-End Air Filter-Inner</v>
          </cell>
        </row>
        <row r="1925">
          <cell r="G1925" t="str">
            <v>LAF1873</v>
          </cell>
          <cell r="H1925" t="str">
            <v>Flexible Panel Air Filter</v>
          </cell>
        </row>
        <row r="1926">
          <cell r="G1926" t="str">
            <v>LAF1959</v>
          </cell>
          <cell r="H1926" t="str">
            <v>HD Metal-End Air Filter</v>
          </cell>
        </row>
        <row r="1927">
          <cell r="G1927" t="str">
            <v>LAF6101</v>
          </cell>
          <cell r="H1927" t="str">
            <v>Radial Seal Air Filter (Primary)</v>
          </cell>
        </row>
        <row r="1928">
          <cell r="G1928" t="str">
            <v>LAF6108</v>
          </cell>
          <cell r="H1928" t="str">
            <v>HD Metal-End Air Filter</v>
          </cell>
        </row>
        <row r="1929">
          <cell r="G1929" t="str">
            <v>LAF5354</v>
          </cell>
          <cell r="H1929" t="str">
            <v>Radial Seal Air Filter Outer</v>
          </cell>
        </row>
        <row r="1930">
          <cell r="G1930" t="str">
            <v>LH8446</v>
          </cell>
          <cell r="H1930" t="str">
            <v>Cartridge hydraulic filter</v>
          </cell>
        </row>
        <row r="1931">
          <cell r="G1931" t="str">
            <v>LFH4936</v>
          </cell>
          <cell r="H1931" t="str">
            <v>Spin-on Hydraulic Filter</v>
          </cell>
        </row>
        <row r="1932">
          <cell r="G1932" t="str">
            <v>LAF122</v>
          </cell>
          <cell r="H1932" t="str">
            <v>Round Air Filter</v>
          </cell>
        </row>
        <row r="1933">
          <cell r="G1933" t="str">
            <v>P842</v>
          </cell>
          <cell r="H1933" t="str">
            <v>Cartridge Oil Filter</v>
          </cell>
        </row>
        <row r="1934">
          <cell r="G1934" t="str">
            <v>CAF1810P</v>
          </cell>
          <cell r="H1934" t="str">
            <v>Cabin Air Filter</v>
          </cell>
        </row>
        <row r="1935">
          <cell r="G1935" t="str">
            <v>CAF1855P</v>
          </cell>
          <cell r="H1935" t="str">
            <v>Cabin Air Filter</v>
          </cell>
        </row>
        <row r="1936">
          <cell r="G1936" t="str">
            <v>AF7882</v>
          </cell>
          <cell r="H1936" t="str">
            <v>Cone Shaped Conical Air Filter</v>
          </cell>
        </row>
        <row r="1937">
          <cell r="G1937" t="str">
            <v>LFP8507</v>
          </cell>
          <cell r="H1937" t="str">
            <v>Spin-on Oil Filter</v>
          </cell>
        </row>
        <row r="1938">
          <cell r="G1938" t="str">
            <v>AF5218</v>
          </cell>
          <cell r="H1938" t="str">
            <v>Rigid Panel Air Filter</v>
          </cell>
        </row>
        <row r="1939">
          <cell r="G1939" t="str">
            <v>AF2944</v>
          </cell>
          <cell r="H1939" t="str">
            <v>Panel Air Irregular Shaped Filter</v>
          </cell>
        </row>
        <row r="1940">
          <cell r="G1940" t="str">
            <v>LAF1961</v>
          </cell>
          <cell r="H1940" t="str">
            <v>Round Air Filter</v>
          </cell>
        </row>
        <row r="1941">
          <cell r="G1941" t="str">
            <v>LFP2258</v>
          </cell>
          <cell r="H1941" t="str">
            <v>Spin-on Oil Filter</v>
          </cell>
        </row>
        <row r="1942">
          <cell r="G1942" t="str">
            <v>LAF5807</v>
          </cell>
          <cell r="H1942" t="str">
            <v>Disposible Housing Air Filter</v>
          </cell>
        </row>
        <row r="1943">
          <cell r="G1943" t="str">
            <v>T653</v>
          </cell>
          <cell r="H1943" t="str">
            <v>Transmission Filter Kit</v>
          </cell>
        </row>
        <row r="1944">
          <cell r="G1944" t="str">
            <v>LAF1931</v>
          </cell>
          <cell r="H1944" t="str">
            <v>HD Metal-End Inner Air Filter</v>
          </cell>
        </row>
        <row r="1945">
          <cell r="G1945" t="str">
            <v>LAF1823</v>
          </cell>
          <cell r="H1945" t="str">
            <v>HD Metal-End Air Filter-Inner</v>
          </cell>
        </row>
        <row r="1946">
          <cell r="G1946" t="str">
            <v>LAF4360</v>
          </cell>
          <cell r="H1946" t="str">
            <v>Cone Shaped Conical Air Filter</v>
          </cell>
        </row>
        <row r="1947">
          <cell r="G1947" t="str">
            <v>LAF5891</v>
          </cell>
          <cell r="H1947" t="str">
            <v>HD Round Finned Air Filter with Attached Lid</v>
          </cell>
        </row>
        <row r="1948">
          <cell r="G1948" t="str">
            <v>LFH22150</v>
          </cell>
          <cell r="H1948" t="str">
            <v>Spin-on Hydraulic Filter</v>
          </cell>
        </row>
        <row r="1949">
          <cell r="G1949" t="str">
            <v>LH8245</v>
          </cell>
          <cell r="H1949" t="str">
            <v>Cartridge Hydraulic Filter</v>
          </cell>
        </row>
        <row r="1950">
          <cell r="G1950" t="str">
            <v>LH4985</v>
          </cell>
          <cell r="H1950" t="str">
            <v>Cartridge Hydraulic Filter</v>
          </cell>
        </row>
        <row r="1951">
          <cell r="G1951" t="str">
            <v>LP2212</v>
          </cell>
          <cell r="H1951" t="str">
            <v>Cartridge Oil Filter</v>
          </cell>
        </row>
        <row r="1952">
          <cell r="G1952" t="str">
            <v>LAF8973</v>
          </cell>
          <cell r="H1952" t="str">
            <v>Heavy Duty Air Filter With Attached Lid</v>
          </cell>
        </row>
        <row r="1953">
          <cell r="G1953" t="str">
            <v>AF222</v>
          </cell>
          <cell r="H1953" t="str">
            <v>Round Air Filter</v>
          </cell>
        </row>
        <row r="1954">
          <cell r="G1954" t="str">
            <v>AFB1603</v>
          </cell>
          <cell r="H1954" t="str">
            <v>Breather Filter</v>
          </cell>
        </row>
        <row r="1955">
          <cell r="G1955" t="str">
            <v>LAF8778</v>
          </cell>
          <cell r="H1955" t="str">
            <v>Panel Air Filter Metal Framed</v>
          </cell>
        </row>
        <row r="1956">
          <cell r="G1956" t="str">
            <v>T151</v>
          </cell>
          <cell r="H1956" t="str">
            <v>Transmission Filter Kit</v>
          </cell>
        </row>
        <row r="1957">
          <cell r="G1957" t="str">
            <v>LAF9334</v>
          </cell>
          <cell r="H1957" t="str">
            <v>Corrugated Media Air Filter</v>
          </cell>
        </row>
        <row r="1958">
          <cell r="G1958" t="str">
            <v>LAF1455</v>
          </cell>
          <cell r="H1958" t="str">
            <v>Finned Vane Air Filter</v>
          </cell>
        </row>
        <row r="1959">
          <cell r="G1959" t="str">
            <v>AF599</v>
          </cell>
          <cell r="H1959" t="str">
            <v>Round Air Filter</v>
          </cell>
        </row>
        <row r="1960">
          <cell r="G1960" t="str">
            <v>AF824</v>
          </cell>
          <cell r="H1960" t="str">
            <v>Round Air Filter</v>
          </cell>
        </row>
        <row r="1961">
          <cell r="G1961" t="str">
            <v>LAF1456</v>
          </cell>
          <cell r="H1961" t="str">
            <v>HD Metal-End Inner Air Filter</v>
          </cell>
        </row>
        <row r="1962">
          <cell r="G1962" t="str">
            <v>LAF5756</v>
          </cell>
          <cell r="H1962" t="str">
            <v>HD Cabin Air Filter</v>
          </cell>
        </row>
        <row r="1963">
          <cell r="G1963" t="str">
            <v>LAF8770</v>
          </cell>
          <cell r="H1963" t="str">
            <v>Radial Seal Inner Air Filter</v>
          </cell>
        </row>
        <row r="1964">
          <cell r="G1964" t="str">
            <v>LFF8065</v>
          </cell>
          <cell r="H1964" t="str">
            <v>Spin-on Fuel Filter</v>
          </cell>
        </row>
        <row r="1965">
          <cell r="G1965" t="str">
            <v>LH11012V</v>
          </cell>
          <cell r="H1965" t="str">
            <v>Industrial Cartridge Hydraulic Filter</v>
          </cell>
        </row>
        <row r="1966">
          <cell r="G1966" t="str">
            <v>750CT</v>
          </cell>
          <cell r="H1966" t="str">
            <v>Unit Universal Mount 750-CT</v>
          </cell>
        </row>
        <row r="1967">
          <cell r="G1967" t="str">
            <v>G6365</v>
          </cell>
          <cell r="H1967" t="str">
            <v>In-Line Fuel Filter</v>
          </cell>
        </row>
        <row r="1968">
          <cell r="G1968" t="str">
            <v>AF4067</v>
          </cell>
          <cell r="H1968" t="str">
            <v>Rigid Panel Air Filter</v>
          </cell>
        </row>
        <row r="1969">
          <cell r="G1969" t="str">
            <v>AF7938</v>
          </cell>
          <cell r="H1969" t="str">
            <v>Rigid Panel Air Filter</v>
          </cell>
        </row>
        <row r="1970">
          <cell r="G1970" t="str">
            <v>CAF1874P</v>
          </cell>
          <cell r="H1970" t="str">
            <v>Cabin Air Filter</v>
          </cell>
        </row>
        <row r="1971">
          <cell r="G1971" t="str">
            <v>LP4736</v>
          </cell>
          <cell r="H1971" t="str">
            <v>Cartridge Hydraulic Filter</v>
          </cell>
        </row>
        <row r="1972">
          <cell r="G1972" t="str">
            <v>LAF203</v>
          </cell>
          <cell r="H1972" t="str">
            <v>HD Metal-End Air Filter</v>
          </cell>
        </row>
        <row r="1973">
          <cell r="G1973" t="str">
            <v>LFP5954</v>
          </cell>
          <cell r="H1973" t="str">
            <v>Spin-on Oil Filter</v>
          </cell>
        </row>
        <row r="1974">
          <cell r="G1974" t="str">
            <v>CAF1782</v>
          </cell>
          <cell r="H1974" t="str">
            <v>Cabin Air Filter</v>
          </cell>
        </row>
        <row r="1975">
          <cell r="G1975" t="str">
            <v>CAF1865P</v>
          </cell>
          <cell r="H1975" t="str">
            <v>Cabin Air Filter</v>
          </cell>
        </row>
        <row r="1976">
          <cell r="G1976" t="str">
            <v>CAF7733</v>
          </cell>
          <cell r="H1976" t="str">
            <v>Cabin Air Filter (Carbon)</v>
          </cell>
        </row>
        <row r="1977">
          <cell r="G1977" t="str">
            <v>LFP2430</v>
          </cell>
          <cell r="H1977" t="str">
            <v>Spin-on Oil Filter</v>
          </cell>
        </row>
        <row r="1978">
          <cell r="G1978" t="str">
            <v>LP2210</v>
          </cell>
          <cell r="H1978" t="str">
            <v>Cartridge Oil Filter</v>
          </cell>
        </row>
        <row r="1979">
          <cell r="G1979" t="str">
            <v>LAF1965</v>
          </cell>
          <cell r="H1979" t="str">
            <v>Finned Vane Air Filter</v>
          </cell>
        </row>
        <row r="1980">
          <cell r="G1980" t="str">
            <v>AF7993</v>
          </cell>
          <cell r="H1980" t="str">
            <v>Flexible Panel Air Filter</v>
          </cell>
        </row>
        <row r="1981">
          <cell r="G1981" t="str">
            <v>T620</v>
          </cell>
          <cell r="H1981" t="str">
            <v>Transmission Filter Kit</v>
          </cell>
        </row>
        <row r="1982">
          <cell r="G1982" t="str">
            <v>LH11000</v>
          </cell>
          <cell r="H1982" t="str">
            <v>Industrial Cartridge Hydraulic Filter</v>
          </cell>
        </row>
        <row r="1983">
          <cell r="G1983" t="str">
            <v>LAF4132</v>
          </cell>
          <cell r="H1983" t="str">
            <v>Disposible Housing Air Filter</v>
          </cell>
        </row>
        <row r="1984">
          <cell r="G1984" t="str">
            <v>T626</v>
          </cell>
          <cell r="H1984" t="str">
            <v>Transmission Filter Kit</v>
          </cell>
        </row>
        <row r="1985">
          <cell r="G1985" t="str">
            <v>T231</v>
          </cell>
          <cell r="H1985" t="str">
            <v>Transmission Filter Kit</v>
          </cell>
        </row>
        <row r="1986">
          <cell r="G1986" t="str">
            <v>LAF8513</v>
          </cell>
          <cell r="H1986" t="str">
            <v>HD Metal-End Inner Air Filter</v>
          </cell>
        </row>
        <row r="1987">
          <cell r="G1987" t="str">
            <v>G489</v>
          </cell>
          <cell r="H1987" t="str">
            <v>In-Line Fuel Filter</v>
          </cell>
        </row>
        <row r="1988">
          <cell r="G1988" t="str">
            <v>LAF1484</v>
          </cell>
          <cell r="H1988" t="str">
            <v>Panel Air Filter Irregular Shaped</v>
          </cell>
        </row>
        <row r="1989">
          <cell r="G1989" t="str">
            <v>LAF5749</v>
          </cell>
          <cell r="H1989" t="str">
            <v>Radial Seal Inner Air Filter (Europe Only)</v>
          </cell>
        </row>
        <row r="1990">
          <cell r="G1990" t="str">
            <v>LAF5054A</v>
          </cell>
          <cell r="H1990" t="str">
            <v>Finned Vane Air Filter</v>
          </cell>
        </row>
        <row r="1991">
          <cell r="G1991" t="str">
            <v>LAF8477</v>
          </cell>
          <cell r="H1991" t="str">
            <v>Disposible Housing Air Filter</v>
          </cell>
        </row>
        <row r="1992">
          <cell r="G1992" t="str">
            <v>P1034</v>
          </cell>
          <cell r="H1992" t="str">
            <v>Cartridge Oil Filter</v>
          </cell>
        </row>
        <row r="1993">
          <cell r="G1993" t="str">
            <v>P978</v>
          </cell>
          <cell r="H1993" t="str">
            <v>Cartridge Oil Filter</v>
          </cell>
        </row>
        <row r="1994">
          <cell r="G1994" t="str">
            <v>AF7958</v>
          </cell>
          <cell r="H1994" t="str">
            <v>Rigid Panel Air Filter</v>
          </cell>
        </row>
        <row r="1995">
          <cell r="G1995" t="str">
            <v>AF2441</v>
          </cell>
          <cell r="H1995" t="str">
            <v>Rigid Panel Air Filter</v>
          </cell>
        </row>
        <row r="1996">
          <cell r="G1996" t="str">
            <v>PC203</v>
          </cell>
          <cell r="H1996" t="str">
            <v>PCV Valve</v>
          </cell>
        </row>
        <row r="1997">
          <cell r="G1997" t="str">
            <v>LAF1921</v>
          </cell>
          <cell r="H1997" t="str">
            <v xml:space="preserve">Radial Seal Air Filter </v>
          </cell>
        </row>
        <row r="1998">
          <cell r="G1998" t="str">
            <v>CAF1842P</v>
          </cell>
          <cell r="H1998" t="str">
            <v>Cabin Air Filter</v>
          </cell>
        </row>
        <row r="1999">
          <cell r="G1999" t="str">
            <v>AF7942</v>
          </cell>
          <cell r="H1999" t="str">
            <v>Panel Air Irregular Shaped Filter</v>
          </cell>
        </row>
        <row r="2000">
          <cell r="G2000" t="str">
            <v>LP2220</v>
          </cell>
          <cell r="H2000" t="str">
            <v>Cartridge Oil Filter</v>
          </cell>
        </row>
        <row r="2001">
          <cell r="G2001" t="str">
            <v>LAF2515</v>
          </cell>
          <cell r="H2001" t="str">
            <v>HD Metal-End Air Filter</v>
          </cell>
        </row>
        <row r="2002">
          <cell r="G2002" t="str">
            <v>AF602</v>
          </cell>
          <cell r="H2002" t="str">
            <v>Flexible Panel Air Filter</v>
          </cell>
        </row>
        <row r="2003">
          <cell r="G2003" t="str">
            <v>AF7033</v>
          </cell>
          <cell r="H2003" t="str">
            <v xml:space="preserve">Flexible Panel Air Filter with Attached Foam Pad </v>
          </cell>
        </row>
        <row r="2004">
          <cell r="G2004" t="str">
            <v>LAF6860</v>
          </cell>
          <cell r="H2004" t="str">
            <v>HD Metal-End Air Filter</v>
          </cell>
        </row>
        <row r="2005">
          <cell r="G2005" t="str">
            <v>LAF1963</v>
          </cell>
          <cell r="H2005" t="str">
            <v>Round Inner Air Filter with Flanged Endcap</v>
          </cell>
        </row>
        <row r="2006">
          <cell r="G2006" t="str">
            <v>LFH5937</v>
          </cell>
          <cell r="H2006" t="str">
            <v>Spin-on Hydraulic Filter</v>
          </cell>
        </row>
        <row r="2007">
          <cell r="G2007" t="str">
            <v>LAF9909</v>
          </cell>
          <cell r="H2007" t="str">
            <v>HD Metal-End Air Filter</v>
          </cell>
        </row>
        <row r="2008">
          <cell r="G2008" t="str">
            <v>LH4931</v>
          </cell>
          <cell r="H2008" t="str">
            <v>Cartridge Hydraulic Filter</v>
          </cell>
        </row>
        <row r="2009">
          <cell r="G2009" t="str">
            <v>LAF512</v>
          </cell>
          <cell r="H2009" t="str">
            <v>Rigid Panel Air Filter</v>
          </cell>
        </row>
        <row r="2010">
          <cell r="G2010" t="str">
            <v>LAF8548</v>
          </cell>
          <cell r="H2010" t="str">
            <v>HD Metal-End Air Filter</v>
          </cell>
        </row>
        <row r="2011">
          <cell r="G2011" t="str">
            <v>LFP2285G</v>
          </cell>
          <cell r="H2011" t="str">
            <v>Extended Life Spin-on Oil Filter</v>
          </cell>
        </row>
        <row r="2012">
          <cell r="G2012" t="str">
            <v>PC327</v>
          </cell>
          <cell r="H2012" t="str">
            <v>PCV Valve</v>
          </cell>
        </row>
        <row r="2013">
          <cell r="G2013" t="str">
            <v>LAF3730</v>
          </cell>
          <cell r="H2013" t="str">
            <v>Finned Vane Air Filter</v>
          </cell>
        </row>
        <row r="2014">
          <cell r="G2014" t="str">
            <v>LAF4364</v>
          </cell>
          <cell r="H2014" t="str">
            <v>Foam Cabin Air Filter</v>
          </cell>
        </row>
        <row r="2015">
          <cell r="G2015" t="str">
            <v>LAF8783</v>
          </cell>
          <cell r="H2015" t="str">
            <v>Cabin Air Filter</v>
          </cell>
        </row>
        <row r="2016">
          <cell r="G2016" t="str">
            <v>LH3879</v>
          </cell>
          <cell r="H2016" t="str">
            <v>Cartridge Hydraulic Filter</v>
          </cell>
        </row>
        <row r="2017">
          <cell r="G2017" t="str">
            <v>LAF3533</v>
          </cell>
          <cell r="H2017" t="str">
            <v>Radial Seal Inner Air Filter</v>
          </cell>
        </row>
        <row r="2018">
          <cell r="G2018" t="str">
            <v>G470</v>
          </cell>
          <cell r="H2018" t="str">
            <v>In-Line Fuel Filter</v>
          </cell>
        </row>
        <row r="2019">
          <cell r="G2019" t="str">
            <v>LAF712</v>
          </cell>
          <cell r="H2019" t="str">
            <v>Finned Vane Air Filter</v>
          </cell>
        </row>
        <row r="2020">
          <cell r="G2020" t="str">
            <v>LAF7455</v>
          </cell>
          <cell r="H2020" t="str">
            <v>Disposible Housing Air Filter</v>
          </cell>
        </row>
        <row r="2021">
          <cell r="G2021" t="str">
            <v>LAF1616</v>
          </cell>
          <cell r="H2021" t="str">
            <v>Tube Type Air Filter</v>
          </cell>
        </row>
        <row r="2022">
          <cell r="G2022" t="str">
            <v>LH5931</v>
          </cell>
          <cell r="H2022" t="str">
            <v>Cartridge Hydraulic Filter</v>
          </cell>
        </row>
        <row r="2023">
          <cell r="G2023" t="str">
            <v>LAF1756</v>
          </cell>
          <cell r="H2023" t="str">
            <v>HD Round Air Filter with Attached Boot</v>
          </cell>
        </row>
        <row r="2024">
          <cell r="G2024" t="str">
            <v>LAF727</v>
          </cell>
          <cell r="H2024" t="str">
            <v>HD Metal-End Inner Air Filter</v>
          </cell>
        </row>
        <row r="2025">
          <cell r="G2025" t="str">
            <v>LFH4957</v>
          </cell>
          <cell r="H2025" t="str">
            <v>Spin-on Hydraulic Filter</v>
          </cell>
        </row>
        <row r="2026">
          <cell r="G2026" t="str">
            <v>LH4596</v>
          </cell>
          <cell r="H2026" t="str">
            <v>Cartridge Hydraulic Filter</v>
          </cell>
        </row>
        <row r="2027">
          <cell r="G2027" t="str">
            <v>CAF24010XL</v>
          </cell>
          <cell r="H2027" t="str">
            <v>Cabin Air Filter (Carbon) Extreme Clean</v>
          </cell>
        </row>
        <row r="2028">
          <cell r="G2028" t="str">
            <v>L1149F</v>
          </cell>
          <cell r="H2028" t="str">
            <v>Cartridge Fuel Filter</v>
          </cell>
        </row>
        <row r="2029">
          <cell r="G2029" t="str">
            <v>L8512F</v>
          </cell>
          <cell r="H2029" t="str">
            <v>Snap-Lock Fuel Filter</v>
          </cell>
        </row>
        <row r="2030">
          <cell r="G2030" t="str">
            <v>LH8781</v>
          </cell>
          <cell r="H2030" t="str">
            <v>Cartridge Hydraulic Filter</v>
          </cell>
        </row>
        <row r="2031">
          <cell r="G2031" t="str">
            <v>LH7528</v>
          </cell>
          <cell r="H2031" t="str">
            <v>Cartridge Power Steering (Hydraulic) Filter</v>
          </cell>
        </row>
        <row r="2032">
          <cell r="G2032" t="str">
            <v>CAF7759</v>
          </cell>
          <cell r="H2032" t="str">
            <v>Cabin Air Filter (Carbon)</v>
          </cell>
        </row>
        <row r="2033">
          <cell r="G2033" t="str">
            <v>L664F</v>
          </cell>
          <cell r="H2033" t="str">
            <v>Cartridge Fuel Filter</v>
          </cell>
        </row>
        <row r="2034">
          <cell r="G2034">
            <v>200</v>
          </cell>
          <cell r="H2034" t="str">
            <v>Microcell-Hydropack/200-S Filter</v>
          </cell>
        </row>
        <row r="2035">
          <cell r="G2035" t="str">
            <v>LFP8925</v>
          </cell>
          <cell r="H2035" t="str">
            <v>Spin-on Oil Filter</v>
          </cell>
        </row>
        <row r="2036">
          <cell r="G2036" t="str">
            <v>AF116</v>
          </cell>
          <cell r="H2036" t="str">
            <v>Round Air Filter</v>
          </cell>
        </row>
        <row r="2037">
          <cell r="G2037" t="str">
            <v>LFF4036A</v>
          </cell>
          <cell r="H2037" t="str">
            <v>Spin-on Fuel Filter</v>
          </cell>
        </row>
        <row r="2038">
          <cell r="G2038" t="str">
            <v>AF8902</v>
          </cell>
          <cell r="H2038" t="str">
            <v>Rigid Panel Air Filter</v>
          </cell>
        </row>
        <row r="2039">
          <cell r="G2039" t="str">
            <v>PC231</v>
          </cell>
          <cell r="H2039" t="str">
            <v>PCV Valve</v>
          </cell>
        </row>
        <row r="2040">
          <cell r="G2040" t="str">
            <v>LAF8043</v>
          </cell>
          <cell r="H2040" t="str">
            <v>Cone Shaped Conical Air Filter</v>
          </cell>
        </row>
        <row r="2041">
          <cell r="G2041" t="str">
            <v>LH9407</v>
          </cell>
          <cell r="H2041" t="str">
            <v>Cartridge Hydraulic Filter</v>
          </cell>
        </row>
        <row r="2042">
          <cell r="G2042" t="str">
            <v>AF132</v>
          </cell>
          <cell r="H2042" t="str">
            <v>Round Air Filter</v>
          </cell>
        </row>
        <row r="2043">
          <cell r="G2043" t="str">
            <v>AF5248</v>
          </cell>
          <cell r="H2043" t="str">
            <v>Air Filter</v>
          </cell>
        </row>
        <row r="2044">
          <cell r="G2044" t="str">
            <v>G2932</v>
          </cell>
          <cell r="H2044" t="str">
            <v>In-Line Fuel Filter</v>
          </cell>
        </row>
        <row r="2045">
          <cell r="G2045" t="str">
            <v>CAF1834P</v>
          </cell>
          <cell r="H2045" t="str">
            <v>Cabin Air Filter</v>
          </cell>
        </row>
        <row r="2046">
          <cell r="G2046" t="str">
            <v>CAF1871P</v>
          </cell>
          <cell r="H2046" t="str">
            <v>Cabin Air Filter</v>
          </cell>
        </row>
        <row r="2047">
          <cell r="G2047" t="str">
            <v>AF7879</v>
          </cell>
          <cell r="H2047" t="str">
            <v>Flexible Panel Air Filter</v>
          </cell>
        </row>
        <row r="2048">
          <cell r="G2048" t="str">
            <v>AF3991</v>
          </cell>
          <cell r="H2048" t="str">
            <v>Rigid Panel Air Filter</v>
          </cell>
        </row>
        <row r="2049">
          <cell r="G2049" t="str">
            <v>P114</v>
          </cell>
          <cell r="H2049" t="str">
            <v>Cartridge Oil Filter</v>
          </cell>
        </row>
        <row r="2050">
          <cell r="G2050" t="str">
            <v>LFF5740</v>
          </cell>
          <cell r="H2050" t="str">
            <v>Spin-on Fuel Water Separator Filter</v>
          </cell>
        </row>
        <row r="2051">
          <cell r="G2051" t="str">
            <v>LAF1780</v>
          </cell>
          <cell r="H2051" t="str">
            <v>HD Metal-End Inner Air Filter</v>
          </cell>
        </row>
        <row r="2052">
          <cell r="G2052" t="str">
            <v>G6595</v>
          </cell>
          <cell r="H2052" t="str">
            <v>In-Line Fuel Filter</v>
          </cell>
        </row>
        <row r="2053">
          <cell r="G2053" t="str">
            <v>AF9918</v>
          </cell>
          <cell r="H2053" t="str">
            <v>Air Filter</v>
          </cell>
        </row>
        <row r="2054">
          <cell r="G2054" t="str">
            <v>LAF4040</v>
          </cell>
          <cell r="H2054" t="str">
            <v>Tube Type Air Filter</v>
          </cell>
        </row>
        <row r="2055">
          <cell r="G2055" t="str">
            <v>LAF702</v>
          </cell>
          <cell r="H2055" t="str">
            <v>HD Metal-End Air Filter</v>
          </cell>
        </row>
        <row r="2056">
          <cell r="G2056" t="str">
            <v>LAF1735</v>
          </cell>
          <cell r="H2056" t="str">
            <v>HD Metal-End Air Filter-Inner</v>
          </cell>
        </row>
        <row r="2057">
          <cell r="G2057" t="str">
            <v>LAF5452</v>
          </cell>
          <cell r="H2057" t="str">
            <v>HD Metal-End Air Filter</v>
          </cell>
        </row>
        <row r="2058">
          <cell r="G2058" t="str">
            <v>LFH1700</v>
          </cell>
          <cell r="H2058" t="str">
            <v>Spin-on Hydraulic Filter</v>
          </cell>
        </row>
        <row r="2059">
          <cell r="G2059" t="str">
            <v>LFF8050</v>
          </cell>
          <cell r="H2059" t="str">
            <v>Spin-on Fuel Water Separator Filter</v>
          </cell>
        </row>
        <row r="2060">
          <cell r="G2060" t="str">
            <v>LAF8821</v>
          </cell>
          <cell r="H2060" t="str">
            <v>HD Metal-End Air Filter</v>
          </cell>
        </row>
        <row r="2061">
          <cell r="G2061" t="str">
            <v>LAF5228</v>
          </cell>
          <cell r="H2061" t="str">
            <v>HD Round Air Filter with Attached Boot</v>
          </cell>
        </row>
        <row r="2062">
          <cell r="G2062" t="str">
            <v>LAF22</v>
          </cell>
          <cell r="H2062" t="str">
            <v>Round Air Filter with Foam Wrap</v>
          </cell>
        </row>
        <row r="2063">
          <cell r="G2063" t="str">
            <v>LAF8561</v>
          </cell>
          <cell r="H2063" t="str">
            <v>Finned Vane Air Filter</v>
          </cell>
        </row>
        <row r="2064">
          <cell r="G2064" t="str">
            <v>LAF8804</v>
          </cell>
          <cell r="H2064" t="str">
            <v>HD Round Finned Air Filter with Attached Lid</v>
          </cell>
        </row>
        <row r="2065">
          <cell r="G2065" t="str">
            <v>LAF1986</v>
          </cell>
          <cell r="H2065" t="str">
            <v>HD Metal-End Air Filter</v>
          </cell>
        </row>
        <row r="2066">
          <cell r="G2066" t="str">
            <v>T222</v>
          </cell>
          <cell r="H2066" t="str">
            <v>Transmission Filter Kit</v>
          </cell>
        </row>
        <row r="2067">
          <cell r="G2067" t="str">
            <v>AF7838</v>
          </cell>
          <cell r="H2067" t="str">
            <v>Rigid Panel Air Filter</v>
          </cell>
        </row>
        <row r="2068">
          <cell r="G2068" t="str">
            <v>LFH8173</v>
          </cell>
          <cell r="H2068" t="str">
            <v>Spin-on Hydraulic Filter</v>
          </cell>
        </row>
        <row r="2069">
          <cell r="G2069" t="str">
            <v>LH4465</v>
          </cell>
          <cell r="H2069" t="str">
            <v>Cartridge Hydraulic Filter</v>
          </cell>
        </row>
        <row r="2070">
          <cell r="G2070" t="str">
            <v>G490</v>
          </cell>
          <cell r="H2070" t="str">
            <v>Fuel Filter</v>
          </cell>
        </row>
        <row r="2071">
          <cell r="G2071" t="str">
            <v>G6643</v>
          </cell>
          <cell r="H2071" t="str">
            <v>In-Line Fuel Filter</v>
          </cell>
        </row>
        <row r="2072">
          <cell r="G2072" t="str">
            <v>PC175</v>
          </cell>
          <cell r="H2072" t="str">
            <v>PCV Valve</v>
          </cell>
        </row>
        <row r="2073">
          <cell r="G2073">
            <v>200</v>
          </cell>
          <cell r="H2073" t="str">
            <v>Refining Pak, LF model 200-filtering non-detergent, straight mineral oil, hydraulic fluids, fuel oils, etc.</v>
          </cell>
        </row>
        <row r="2074">
          <cell r="G2074">
            <v>500</v>
          </cell>
          <cell r="H2074" t="str">
            <v>Cover w/1 Plug Hole, 500-C, 750-2C</v>
          </cell>
        </row>
        <row r="2075">
          <cell r="G2075" t="str">
            <v>G6570</v>
          </cell>
          <cell r="H2075" t="str">
            <v>In-Line Fuel Filter</v>
          </cell>
        </row>
        <row r="2076">
          <cell r="G2076" t="str">
            <v>LFF8933</v>
          </cell>
          <cell r="H2076" t="str">
            <v>Spin-on Fuel Filter</v>
          </cell>
        </row>
        <row r="2077">
          <cell r="G2077" t="str">
            <v>AF3974</v>
          </cell>
          <cell r="H2077" t="str">
            <v>Rigid Panel Air Filter</v>
          </cell>
        </row>
        <row r="2078">
          <cell r="G2078" t="str">
            <v>CAF1758</v>
          </cell>
          <cell r="H2078" t="str">
            <v>Cabin Air Filter</v>
          </cell>
        </row>
        <row r="2079">
          <cell r="G2079" t="str">
            <v>CAF1918P</v>
          </cell>
          <cell r="H2079" t="str">
            <v>Cabin Air Filter</v>
          </cell>
        </row>
        <row r="2080">
          <cell r="G2080" t="str">
            <v>P964</v>
          </cell>
          <cell r="H2080" t="str">
            <v>Cartridge Oil Filter</v>
          </cell>
        </row>
        <row r="2081">
          <cell r="G2081" t="str">
            <v>CAF1742</v>
          </cell>
          <cell r="H2081" t="str">
            <v>Cabin Air Filter</v>
          </cell>
        </row>
        <row r="2082">
          <cell r="G2082" t="str">
            <v>CAF1770</v>
          </cell>
          <cell r="H2082" t="str">
            <v>Cabin Air Filter</v>
          </cell>
        </row>
        <row r="2083">
          <cell r="G2083" t="str">
            <v>P847</v>
          </cell>
          <cell r="H2083" t="str">
            <v>Cartridge Oil Filter</v>
          </cell>
        </row>
        <row r="2084">
          <cell r="G2084" t="str">
            <v>AF5219</v>
          </cell>
          <cell r="H2084" t="str">
            <v>Flexible Panel Air Filter</v>
          </cell>
        </row>
        <row r="2085">
          <cell r="G2085" t="str">
            <v>AF3054</v>
          </cell>
          <cell r="H2085" t="str">
            <v>Flexible Panel Air Filter</v>
          </cell>
        </row>
        <row r="2086">
          <cell r="G2086" t="str">
            <v>P929</v>
          </cell>
          <cell r="H2086" t="str">
            <v>Cartridge Oil Filter</v>
          </cell>
        </row>
        <row r="2087">
          <cell r="G2087" t="str">
            <v>P962</v>
          </cell>
          <cell r="H2087" t="str">
            <v>Cartridge Oil Filter</v>
          </cell>
        </row>
        <row r="2088">
          <cell r="G2088" t="str">
            <v>PH6714</v>
          </cell>
          <cell r="H2088" t="str">
            <v>Spin-on Oil Filter</v>
          </cell>
        </row>
        <row r="2089">
          <cell r="G2089" t="str">
            <v>AF5240</v>
          </cell>
          <cell r="H2089" t="str">
            <v>Air Filter</v>
          </cell>
        </row>
        <row r="2090">
          <cell r="G2090" t="str">
            <v>PH2008</v>
          </cell>
          <cell r="H2090" t="str">
            <v>Spin-on Oil Filter</v>
          </cell>
        </row>
        <row r="2091">
          <cell r="G2091" t="str">
            <v>CAF1739</v>
          </cell>
          <cell r="H2091" t="str">
            <v>Cabin Air Filter</v>
          </cell>
        </row>
        <row r="2092">
          <cell r="G2092" t="str">
            <v>AF135</v>
          </cell>
          <cell r="H2092" t="str">
            <v>Round Air Filter</v>
          </cell>
        </row>
        <row r="2093">
          <cell r="G2093" t="str">
            <v>P1015</v>
          </cell>
          <cell r="H2093" t="str">
            <v>Cartridge Oil Filter</v>
          </cell>
        </row>
        <row r="2094">
          <cell r="G2094" t="str">
            <v>AF5247</v>
          </cell>
          <cell r="H2094" t="str">
            <v>Air Filter</v>
          </cell>
        </row>
        <row r="2095">
          <cell r="G2095" t="str">
            <v>AF3220</v>
          </cell>
          <cell r="H2095" t="str">
            <v>Flexible Panel Air Filter</v>
          </cell>
        </row>
        <row r="2096">
          <cell r="G2096" t="str">
            <v>LFF6338</v>
          </cell>
          <cell r="H2096" t="str">
            <v>Spin-on Fuel Water Separator Filter</v>
          </cell>
        </row>
        <row r="2097">
          <cell r="G2097" t="str">
            <v>AF7828</v>
          </cell>
          <cell r="H2097" t="str">
            <v>Rigid Panel Air Filter</v>
          </cell>
        </row>
        <row r="2098">
          <cell r="G2098" t="str">
            <v>L3575F</v>
          </cell>
          <cell r="H2098" t="str">
            <v>Cartridge Fuel Filter</v>
          </cell>
        </row>
        <row r="2099">
          <cell r="G2099" t="str">
            <v>T657</v>
          </cell>
          <cell r="H2099" t="str">
            <v>Transmission Filter Kit</v>
          </cell>
        </row>
        <row r="2100">
          <cell r="G2100" t="str">
            <v>LFH4212</v>
          </cell>
          <cell r="H2100" t="str">
            <v>Spin-on Hydraulic Filter</v>
          </cell>
        </row>
        <row r="2101">
          <cell r="G2101" t="str">
            <v>LH4594</v>
          </cell>
          <cell r="H2101" t="str">
            <v>Cartridge Hydraulic Filter</v>
          </cell>
        </row>
        <row r="2102">
          <cell r="G2102" t="str">
            <v>CAF1804C</v>
          </cell>
          <cell r="H2102" t="str">
            <v>Cabin Air Filter (Carbon)</v>
          </cell>
        </row>
        <row r="2103">
          <cell r="G2103" t="str">
            <v>LAF240</v>
          </cell>
          <cell r="H2103" t="str">
            <v>HD Metal-End Air Filter</v>
          </cell>
        </row>
        <row r="2104">
          <cell r="G2104" t="str">
            <v>LAF1727</v>
          </cell>
          <cell r="H2104" t="str">
            <v>Round Inner Air Filter</v>
          </cell>
        </row>
        <row r="2105">
          <cell r="G2105" t="str">
            <v>PC324</v>
          </cell>
          <cell r="H2105" t="str">
            <v>PCV Valve</v>
          </cell>
        </row>
        <row r="2106">
          <cell r="G2106" t="str">
            <v>LP468</v>
          </cell>
          <cell r="H2106" t="str">
            <v>Cartridge Hydraulic Filter</v>
          </cell>
        </row>
        <row r="2107">
          <cell r="G2107" t="str">
            <v>LFP2301</v>
          </cell>
          <cell r="H2107" t="str">
            <v>Spin-on Oil Filter</v>
          </cell>
        </row>
        <row r="2108">
          <cell r="G2108" t="str">
            <v>T164</v>
          </cell>
          <cell r="H2108" t="str">
            <v>Transmission Filter Kit</v>
          </cell>
        </row>
        <row r="2109">
          <cell r="G2109" t="str">
            <v>LAF3701</v>
          </cell>
          <cell r="H2109" t="str">
            <v>Disposible Housing Air Filter</v>
          </cell>
        </row>
        <row r="2110">
          <cell r="G2110" t="str">
            <v>P4</v>
          </cell>
          <cell r="H2110" t="str">
            <v>Cartridge Oil Filter</v>
          </cell>
        </row>
        <row r="2111">
          <cell r="G2111" t="str">
            <v>LAF1888</v>
          </cell>
          <cell r="H2111" t="str">
            <v>HD Metal-End Air Filter</v>
          </cell>
        </row>
        <row r="2112">
          <cell r="G2112" t="str">
            <v>G6636</v>
          </cell>
          <cell r="H2112" t="str">
            <v>In-Line Fuel Filter</v>
          </cell>
        </row>
        <row r="2113">
          <cell r="G2113" t="str">
            <v>AF4006</v>
          </cell>
          <cell r="H2113" t="str">
            <v>Rigid Panel Air Filter</v>
          </cell>
        </row>
        <row r="2114">
          <cell r="G2114" t="str">
            <v>G476</v>
          </cell>
          <cell r="H2114" t="str">
            <v>In-Line Fuel Filter</v>
          </cell>
        </row>
        <row r="2115">
          <cell r="G2115" t="str">
            <v>LFH8192</v>
          </cell>
          <cell r="H2115" t="str">
            <v>Spin-on Hydraulic Filter</v>
          </cell>
        </row>
        <row r="2116">
          <cell r="G2116" t="str">
            <v>L3973F</v>
          </cell>
          <cell r="H2116" t="str">
            <v>In-Line Fuel Filter</v>
          </cell>
        </row>
        <row r="2117">
          <cell r="G2117" t="str">
            <v>LAF6401</v>
          </cell>
          <cell r="H2117" t="str">
            <v>HD Metal-End Air Filter-Inner</v>
          </cell>
        </row>
        <row r="2118">
          <cell r="G2118" t="str">
            <v>LAF8211</v>
          </cell>
          <cell r="H2118" t="str">
            <v>HD Metal-End Air Filter</v>
          </cell>
        </row>
        <row r="2119">
          <cell r="G2119" t="str">
            <v>T713</v>
          </cell>
          <cell r="H2119" t="str">
            <v>Transmission Filter Kit</v>
          </cell>
        </row>
        <row r="2120">
          <cell r="G2120" t="str">
            <v>LAF8157</v>
          </cell>
          <cell r="H2120" t="str">
            <v>Finned Vane Air Filter</v>
          </cell>
        </row>
        <row r="2121">
          <cell r="G2121" t="str">
            <v>G991</v>
          </cell>
          <cell r="H2121" t="str">
            <v>In-Line Fuel Filter</v>
          </cell>
        </row>
        <row r="2122">
          <cell r="G2122" t="str">
            <v>LAF7414</v>
          </cell>
          <cell r="H2122" t="str">
            <v>HD Metal-End Inner Air Filter</v>
          </cell>
        </row>
        <row r="2123">
          <cell r="G2123" t="str">
            <v>PC245</v>
          </cell>
          <cell r="H2123" t="str">
            <v>PCV Valve</v>
          </cell>
        </row>
        <row r="2124">
          <cell r="G2124" t="str">
            <v>T666</v>
          </cell>
          <cell r="H2124" t="str">
            <v>Transmission Filter Kit</v>
          </cell>
        </row>
        <row r="2125">
          <cell r="G2125" t="str">
            <v>AF279</v>
          </cell>
          <cell r="H2125" t="str">
            <v>Flexible Panel Air Filter</v>
          </cell>
        </row>
        <row r="2126">
          <cell r="G2126" t="str">
            <v>LH4256</v>
          </cell>
          <cell r="H2126" t="str">
            <v>Cartridge Hydraulic Filter</v>
          </cell>
        </row>
        <row r="2127">
          <cell r="G2127" t="str">
            <v>LH9309V</v>
          </cell>
          <cell r="H2127" t="str">
            <v>Cartridge Hydraulic Filter</v>
          </cell>
        </row>
        <row r="2128">
          <cell r="G2128" t="str">
            <v>LAF1771</v>
          </cell>
          <cell r="H2128" t="str">
            <v>Panel Air Filter Metal Framed</v>
          </cell>
        </row>
        <row r="2129">
          <cell r="G2129" t="str">
            <v>G2904</v>
          </cell>
          <cell r="H2129" t="str">
            <v>In-Line Fuel Filter</v>
          </cell>
        </row>
        <row r="2130">
          <cell r="G2130" t="str">
            <v>L3420F</v>
          </cell>
          <cell r="H2130" t="str">
            <v>Cartridge Coalescer Filter</v>
          </cell>
        </row>
        <row r="2131">
          <cell r="G2131" t="str">
            <v>LAF3707</v>
          </cell>
          <cell r="H2131" t="str">
            <v>HD Metal-End Air Filter-Inner</v>
          </cell>
        </row>
        <row r="2132">
          <cell r="G2132" t="str">
            <v>LAF8662</v>
          </cell>
          <cell r="H2132" t="str">
            <v>Finned Vane Air Filter</v>
          </cell>
        </row>
        <row r="2133">
          <cell r="G2133" t="str">
            <v>LK377M</v>
          </cell>
          <cell r="H2133" t="str">
            <v>Maintenance Kit</v>
          </cell>
        </row>
        <row r="2134">
          <cell r="G2134" t="str">
            <v>AF574</v>
          </cell>
          <cell r="H2134" t="str">
            <v>Air Filter</v>
          </cell>
        </row>
        <row r="2135">
          <cell r="G2135" t="str">
            <v>G6519</v>
          </cell>
          <cell r="H2135" t="str">
            <v>Fuel Filter</v>
          </cell>
        </row>
        <row r="2136">
          <cell r="G2136" t="str">
            <v>G853</v>
          </cell>
          <cell r="H2136" t="str">
            <v>Fuel Filter</v>
          </cell>
        </row>
        <row r="2137">
          <cell r="G2137" t="str">
            <v>L5947F</v>
          </cell>
          <cell r="H2137" t="str">
            <v>Cartridge Fuel Filter</v>
          </cell>
        </row>
        <row r="2138">
          <cell r="G2138" t="str">
            <v>LAF1836</v>
          </cell>
          <cell r="H2138" t="str">
            <v>HD Metal-End Air Filter</v>
          </cell>
        </row>
        <row r="2139">
          <cell r="G2139" t="str">
            <v>LFF3538</v>
          </cell>
          <cell r="H2139" t="str">
            <v>Spin-on Fuel Filter</v>
          </cell>
        </row>
        <row r="2140">
          <cell r="G2140" t="str">
            <v>LFF8714</v>
          </cell>
          <cell r="H2140" t="str">
            <v>Spin-on Fuel Filter</v>
          </cell>
        </row>
        <row r="2141">
          <cell r="G2141" t="str">
            <v>LFH3762</v>
          </cell>
          <cell r="H2141" t="str">
            <v>Spin-on Hydraulic Filter</v>
          </cell>
        </row>
        <row r="2142">
          <cell r="G2142" t="str">
            <v>LH95345V</v>
          </cell>
          <cell r="H2142" t="str">
            <v>Cartridge Hydraulic Filter</v>
          </cell>
        </row>
        <row r="2143">
          <cell r="G2143" t="str">
            <v>LP2525</v>
          </cell>
          <cell r="H2143" t="str">
            <v>Cartridge Oil Filter</v>
          </cell>
        </row>
        <row r="2144">
          <cell r="G2144" t="str">
            <v>P1024</v>
          </cell>
          <cell r="H2144" t="str">
            <v>Cartridge Oil Filter</v>
          </cell>
        </row>
        <row r="2145">
          <cell r="G2145" t="str">
            <v>T121</v>
          </cell>
          <cell r="H2145" t="str">
            <v>Transmission Filter Kit</v>
          </cell>
        </row>
        <row r="2146">
          <cell r="G2146" t="str">
            <v>T144</v>
          </cell>
          <cell r="H2146" t="str">
            <v>Transmission Filter Kit</v>
          </cell>
        </row>
        <row r="2147">
          <cell r="G2147" t="str">
            <v>AF728</v>
          </cell>
          <cell r="H2147" t="str">
            <v>Round Air Filter</v>
          </cell>
        </row>
        <row r="2148">
          <cell r="G2148" t="str">
            <v>L632F</v>
          </cell>
          <cell r="H2148" t="str">
            <v>Cartridge Fuel Filter</v>
          </cell>
        </row>
        <row r="2149">
          <cell r="G2149" t="str">
            <v>SPRING</v>
          </cell>
          <cell r="H2149" t="str">
            <v>Spring/970-C</v>
          </cell>
        </row>
        <row r="2150">
          <cell r="G2150" t="str">
            <v>AF2956</v>
          </cell>
          <cell r="H2150" t="str">
            <v>Rigid Panel Air Filter</v>
          </cell>
        </row>
        <row r="2151">
          <cell r="G2151" t="str">
            <v>AF4003</v>
          </cell>
          <cell r="H2151" t="str">
            <v>Flexible Panel Air Filter</v>
          </cell>
        </row>
        <row r="2152">
          <cell r="G2152" t="str">
            <v>AF7935</v>
          </cell>
          <cell r="H2152" t="str">
            <v>Flexible Panel Air Filter</v>
          </cell>
        </row>
        <row r="2153">
          <cell r="G2153" t="str">
            <v>P966</v>
          </cell>
          <cell r="H2153" t="str">
            <v>Cartridge Oil Filter</v>
          </cell>
        </row>
        <row r="2154">
          <cell r="G2154" t="str">
            <v>G6640</v>
          </cell>
          <cell r="H2154" t="str">
            <v>In-Line Fuel Filter</v>
          </cell>
        </row>
        <row r="2155">
          <cell r="G2155" t="str">
            <v>CAF7702</v>
          </cell>
          <cell r="H2155" t="str">
            <v>Cabin Air Filter (Carbon)</v>
          </cell>
        </row>
        <row r="2156">
          <cell r="G2156" t="str">
            <v>CAF1818P</v>
          </cell>
          <cell r="H2156" t="str">
            <v>Cabin Air Filter</v>
          </cell>
        </row>
        <row r="2157">
          <cell r="G2157" t="str">
            <v>AF7946</v>
          </cell>
          <cell r="H2157" t="str">
            <v>Radial Seal Air Filter</v>
          </cell>
        </row>
        <row r="2158">
          <cell r="G2158" t="str">
            <v>LP2256</v>
          </cell>
          <cell r="H2158" t="str">
            <v>Cartridge Oil Filter</v>
          </cell>
        </row>
        <row r="2159">
          <cell r="G2159" t="str">
            <v>LAF2523</v>
          </cell>
          <cell r="H2159" t="str">
            <v>HD Metal-End Air Filter</v>
          </cell>
        </row>
        <row r="2160">
          <cell r="G2160" t="str">
            <v>P1008</v>
          </cell>
          <cell r="H2160" t="str">
            <v>Cartridge Oil Filter</v>
          </cell>
        </row>
        <row r="2161">
          <cell r="G2161" t="str">
            <v>AF4046</v>
          </cell>
          <cell r="H2161" t="str">
            <v>Flexible Panel Air Filter</v>
          </cell>
        </row>
        <row r="2162">
          <cell r="G2162" t="str">
            <v>LAF8660</v>
          </cell>
          <cell r="H2162" t="str">
            <v>HD Metal-End Air Filter</v>
          </cell>
        </row>
        <row r="2163">
          <cell r="G2163" t="str">
            <v>LAF1720</v>
          </cell>
          <cell r="H2163" t="str">
            <v>Round Air Filter</v>
          </cell>
        </row>
        <row r="2164">
          <cell r="G2164" t="str">
            <v>PC74</v>
          </cell>
          <cell r="H2164" t="str">
            <v>PCV Valve</v>
          </cell>
        </row>
        <row r="2165">
          <cell r="G2165" t="str">
            <v>AF3966</v>
          </cell>
          <cell r="H2165" t="str">
            <v>Flexible Panel Air Filter</v>
          </cell>
        </row>
        <row r="2166">
          <cell r="G2166" t="str">
            <v>LAF1894</v>
          </cell>
          <cell r="H2166" t="str">
            <v>Nano Tech HD Metal-End Air Filter Outer</v>
          </cell>
        </row>
        <row r="2167">
          <cell r="G2167" t="str">
            <v>LFH8484</v>
          </cell>
          <cell r="H2167" t="str">
            <v>Spin-on Hydraulic Filter</v>
          </cell>
        </row>
        <row r="2168">
          <cell r="G2168" t="str">
            <v>LFH4439</v>
          </cell>
          <cell r="H2168" t="str">
            <v>Spin-on Hydraulic Filter</v>
          </cell>
        </row>
        <row r="2169">
          <cell r="G2169" t="str">
            <v>AF7922</v>
          </cell>
          <cell r="H2169" t="str">
            <v>Flexible Panel Air Filter</v>
          </cell>
        </row>
        <row r="2170">
          <cell r="G2170" t="str">
            <v>LFP3413</v>
          </cell>
          <cell r="H2170" t="str">
            <v>Spin-on Oil Filter</v>
          </cell>
        </row>
        <row r="2171">
          <cell r="G2171" t="str">
            <v>AF7937</v>
          </cell>
          <cell r="H2171" t="str">
            <v>Rigid Panel Air Filter</v>
          </cell>
        </row>
        <row r="2172">
          <cell r="G2172" t="str">
            <v>L3891F</v>
          </cell>
          <cell r="H2172" t="str">
            <v>Snap-lock Fuel/Water Separator Filter</v>
          </cell>
        </row>
        <row r="2173">
          <cell r="G2173" t="str">
            <v>CAF1807C</v>
          </cell>
          <cell r="H2173" t="str">
            <v>Cabin Air Filter (Carbon)</v>
          </cell>
        </row>
        <row r="2174">
          <cell r="G2174" t="str">
            <v>AF5252</v>
          </cell>
          <cell r="H2174" t="str">
            <v>Air Filter</v>
          </cell>
        </row>
        <row r="2175">
          <cell r="G2175" t="str">
            <v>LAF8375</v>
          </cell>
          <cell r="H2175" t="str">
            <v>Round Air Filter with Foam Wrap</v>
          </cell>
        </row>
        <row r="2176">
          <cell r="G2176" t="str">
            <v>LH4233</v>
          </cell>
          <cell r="H2176" t="str">
            <v>Cartridge Hydraulic Filter</v>
          </cell>
        </row>
        <row r="2177">
          <cell r="G2177" t="str">
            <v>LAF1979</v>
          </cell>
          <cell r="H2177" t="str">
            <v>HD Round Air Filter with Attached Boot</v>
          </cell>
        </row>
        <row r="2178">
          <cell r="G2178" t="str">
            <v>L1656-0</v>
          </cell>
          <cell r="H2178" t="str">
            <v>Sock Type Oil Filter</v>
          </cell>
        </row>
        <row r="2179">
          <cell r="G2179" t="str">
            <v>LAF744</v>
          </cell>
          <cell r="H2179" t="str">
            <v>HD Metal-End Air Filter</v>
          </cell>
        </row>
        <row r="2180">
          <cell r="G2180" t="str">
            <v>LAF8618</v>
          </cell>
          <cell r="H2180" t="str">
            <v>HD Metal-End Air Filter-Inner</v>
          </cell>
        </row>
        <row r="2181">
          <cell r="G2181" t="str">
            <v>LAF8673</v>
          </cell>
          <cell r="H2181" t="str">
            <v>Radial Seal Outer Air Filter</v>
          </cell>
        </row>
        <row r="2182">
          <cell r="G2182" t="str">
            <v>AF112</v>
          </cell>
          <cell r="H2182" t="str">
            <v>Round Air Filter</v>
          </cell>
        </row>
        <row r="2183">
          <cell r="G2183" t="str">
            <v>LAF22095</v>
          </cell>
          <cell r="H2183" t="str">
            <v>Round Air Filter</v>
          </cell>
        </row>
        <row r="2184">
          <cell r="G2184" t="str">
            <v>CAF1812C</v>
          </cell>
          <cell r="H2184" t="str">
            <v>Cabin Air Filter (Carbon)</v>
          </cell>
        </row>
        <row r="2185">
          <cell r="G2185" t="str">
            <v>LAF4319</v>
          </cell>
          <cell r="H2185" t="str">
            <v>Round Air Filter</v>
          </cell>
        </row>
        <row r="2186">
          <cell r="G2186" t="str">
            <v>LAF8621</v>
          </cell>
          <cell r="H2186" t="str">
            <v>HD Round Air Filter with Attached Lid</v>
          </cell>
        </row>
        <row r="2187">
          <cell r="G2187" t="str">
            <v>LFP5930</v>
          </cell>
          <cell r="H2187" t="str">
            <v>Spin-on Oil Filter</v>
          </cell>
        </row>
        <row r="2188">
          <cell r="G2188" t="str">
            <v>LP2250</v>
          </cell>
          <cell r="H2188" t="str">
            <v>Cartridge Oil Filter</v>
          </cell>
        </row>
        <row r="2189">
          <cell r="G2189" t="str">
            <v>P993</v>
          </cell>
          <cell r="H2189" t="str">
            <v>Cartridge Oil Filter</v>
          </cell>
        </row>
        <row r="2190">
          <cell r="G2190" t="str">
            <v>AF2341</v>
          </cell>
          <cell r="H2190" t="str">
            <v>Radial Seal Inner Air Filter</v>
          </cell>
        </row>
        <row r="2191">
          <cell r="G2191" t="str">
            <v>AF4034</v>
          </cell>
          <cell r="H2191" t="str">
            <v>Rigid Panel Air Filter</v>
          </cell>
        </row>
        <row r="2192">
          <cell r="G2192" t="str">
            <v>CAF1702</v>
          </cell>
          <cell r="H2192" t="str">
            <v>Cabin Air Filter</v>
          </cell>
        </row>
        <row r="2193">
          <cell r="G2193" t="str">
            <v>FP901F</v>
          </cell>
          <cell r="H2193" t="str">
            <v>Spin-on Fuel Filter</v>
          </cell>
        </row>
        <row r="2194">
          <cell r="G2194" t="str">
            <v>PH453</v>
          </cell>
          <cell r="H2194" t="str">
            <v>Spin-on Oil Filter</v>
          </cell>
        </row>
        <row r="2195">
          <cell r="G2195" t="str">
            <v>CAF1743</v>
          </cell>
          <cell r="H2195" t="str">
            <v>Cabin Air Filter</v>
          </cell>
        </row>
        <row r="2196">
          <cell r="G2196" t="str">
            <v>AF3958</v>
          </cell>
          <cell r="H2196" t="str">
            <v>Rigid Panel Air Filter</v>
          </cell>
        </row>
        <row r="2197">
          <cell r="G2197" t="str">
            <v>AF376</v>
          </cell>
          <cell r="H2197" t="str">
            <v>Round Air Filter</v>
          </cell>
        </row>
        <row r="2198">
          <cell r="G2198" t="str">
            <v>LAF1847</v>
          </cell>
          <cell r="H2198" t="str">
            <v>Round Inner Air Filter with Flanged Endcap</v>
          </cell>
        </row>
        <row r="2199">
          <cell r="G2199" t="str">
            <v>CAF7749</v>
          </cell>
          <cell r="H2199" t="str">
            <v>Cabin Air Filter (Carbon)</v>
          </cell>
        </row>
        <row r="2200">
          <cell r="G2200" t="str">
            <v>LAF1801</v>
          </cell>
          <cell r="H2200" t="str">
            <v>HD Metal-End Air Filter</v>
          </cell>
        </row>
        <row r="2201">
          <cell r="G2201" t="str">
            <v>LAF6918D</v>
          </cell>
          <cell r="H2201" t="str">
            <v>HD Metal-End Air Filter</v>
          </cell>
        </row>
        <row r="2202">
          <cell r="G2202" t="str">
            <v>LAF1923</v>
          </cell>
          <cell r="H2202" t="str">
            <v>HD Metal-End Air Filter-Inner</v>
          </cell>
        </row>
        <row r="2203">
          <cell r="G2203" t="str">
            <v>L3925F</v>
          </cell>
          <cell r="H2203" t="str">
            <v>Snap-lock Fuel/Water Separator Filter</v>
          </cell>
        </row>
        <row r="2204">
          <cell r="G2204" t="str">
            <v>CAF1863P</v>
          </cell>
          <cell r="H2204" t="str">
            <v>Cabin Air Filter</v>
          </cell>
        </row>
        <row r="2205">
          <cell r="G2205" t="str">
            <v>CAF1843P</v>
          </cell>
          <cell r="H2205" t="str">
            <v>Cabin Air Filter</v>
          </cell>
        </row>
        <row r="2206">
          <cell r="G2206" t="str">
            <v>LAF1628</v>
          </cell>
          <cell r="H2206" t="str">
            <v>Tube Type Air Filter</v>
          </cell>
        </row>
        <row r="2207">
          <cell r="G2207" t="str">
            <v>LAF1837</v>
          </cell>
          <cell r="H2207" t="str">
            <v>HD Metal-End Air Filter</v>
          </cell>
        </row>
        <row r="2208">
          <cell r="G2208" t="str">
            <v>CAF1806P</v>
          </cell>
          <cell r="H2208" t="str">
            <v>Cabin Air Filter</v>
          </cell>
        </row>
        <row r="2209">
          <cell r="G2209" t="str">
            <v>LAF480</v>
          </cell>
          <cell r="H2209" t="str">
            <v>Tube Type Air Filter</v>
          </cell>
        </row>
        <row r="2210">
          <cell r="G2210" t="str">
            <v>LAF8623</v>
          </cell>
          <cell r="H2210" t="str">
            <v>Round Inner Air Filter</v>
          </cell>
        </row>
        <row r="2211">
          <cell r="G2211" t="str">
            <v>LP2315</v>
          </cell>
          <cell r="H2211" t="str">
            <v>Cartridge Oil Filter</v>
          </cell>
        </row>
        <row r="2212">
          <cell r="G2212" t="str">
            <v>LH4232</v>
          </cell>
          <cell r="H2212" t="str">
            <v>Cartridge Hydraulic Filter</v>
          </cell>
        </row>
        <row r="2213">
          <cell r="G2213" t="str">
            <v>T634</v>
          </cell>
          <cell r="H2213" t="str">
            <v>Transmission Filter Kit</v>
          </cell>
        </row>
        <row r="2214">
          <cell r="G2214" t="str">
            <v>LAF8082</v>
          </cell>
          <cell r="H2214" t="str">
            <v>HD Metal-End Air Filter-Inner</v>
          </cell>
        </row>
        <row r="2215">
          <cell r="G2215" t="str">
            <v>LFP3582</v>
          </cell>
          <cell r="H2215" t="str">
            <v>Spin-on Oil Filter</v>
          </cell>
        </row>
        <row r="2216">
          <cell r="G2216" t="str">
            <v>LH4254</v>
          </cell>
          <cell r="H2216" t="str">
            <v>Cartridge Hydraulic Filter</v>
          </cell>
        </row>
        <row r="2217">
          <cell r="G2217" t="str">
            <v>LAF2338</v>
          </cell>
          <cell r="H2217" t="str">
            <v>Finned Vane Air Filter</v>
          </cell>
        </row>
        <row r="2218">
          <cell r="G2218" t="str">
            <v>LFH8536</v>
          </cell>
          <cell r="H2218" t="str">
            <v>Spin-on Hydraulic Filter</v>
          </cell>
        </row>
        <row r="2219">
          <cell r="G2219" t="str">
            <v>LAF8588</v>
          </cell>
          <cell r="H2219" t="str">
            <v>HD Round Finned Air Filter with Attached Lid</v>
          </cell>
        </row>
        <row r="2220">
          <cell r="G2220" t="str">
            <v>L2986F</v>
          </cell>
          <cell r="H2220" t="str">
            <v>Cartridge Fuel Filter</v>
          </cell>
        </row>
        <row r="2221">
          <cell r="G2221" t="str">
            <v>LAF8586</v>
          </cell>
          <cell r="H2221" t="str">
            <v>HD Metal-End Air Filter with Attached Lid</v>
          </cell>
        </row>
        <row r="2222">
          <cell r="G2222" t="str">
            <v>LK9I</v>
          </cell>
          <cell r="H2222" t="str">
            <v>International Engine Maintenance Kit</v>
          </cell>
        </row>
        <row r="2223">
          <cell r="G2223" t="str">
            <v>LAF1822</v>
          </cell>
          <cell r="H2223" t="str">
            <v>Metal-End Air Filter with Closed Top End Cap</v>
          </cell>
        </row>
        <row r="2224">
          <cell r="G2224" t="str">
            <v>LAF4246</v>
          </cell>
          <cell r="H2224" t="str">
            <v>HD Metal-End Air Filter</v>
          </cell>
        </row>
        <row r="2225">
          <cell r="G2225" t="str">
            <v>CAF1783</v>
          </cell>
          <cell r="H2225" t="str">
            <v>Cabin Air Filter</v>
          </cell>
        </row>
        <row r="2226">
          <cell r="G2226" t="str">
            <v>LK378M</v>
          </cell>
          <cell r="H2226" t="str">
            <v>Maintenance Kit</v>
          </cell>
        </row>
        <row r="2227">
          <cell r="G2227" t="str">
            <v>LMB451</v>
          </cell>
          <cell r="H2227" t="str">
            <v>Adaptor Base for LFP9750</v>
          </cell>
        </row>
        <row r="2228">
          <cell r="G2228" t="str">
            <v>LAF1851</v>
          </cell>
          <cell r="H2228" t="str">
            <v>HD Metal-End Air Filter</v>
          </cell>
        </row>
        <row r="2229">
          <cell r="G2229" t="str">
            <v>LAF5820</v>
          </cell>
          <cell r="H2229" t="str">
            <v>Rigid Panel Air Filter</v>
          </cell>
        </row>
        <row r="2230">
          <cell r="G2230" t="str">
            <v>LAF8102</v>
          </cell>
          <cell r="H2230" t="str">
            <v>Radial Seal Outer Air Filter</v>
          </cell>
        </row>
        <row r="2231">
          <cell r="G2231" t="str">
            <v>LAF8152</v>
          </cell>
          <cell r="H2231" t="str">
            <v>Radial Seal Inner Air Filter</v>
          </cell>
        </row>
        <row r="2232">
          <cell r="G2232" t="str">
            <v>LH22143</v>
          </cell>
          <cell r="H2232" t="str">
            <v>Industrial Cartridge Hydraulic Filter</v>
          </cell>
        </row>
        <row r="2233">
          <cell r="G2233" t="str">
            <v>LH7035V</v>
          </cell>
          <cell r="H2233" t="str">
            <v>Cartridge Hydraulic Filter</v>
          </cell>
        </row>
        <row r="2234">
          <cell r="G2234" t="str">
            <v>LK223D</v>
          </cell>
          <cell r="H2234" t="str">
            <v>Detroit Diesel Engine Maintenance Kit</v>
          </cell>
        </row>
        <row r="2235">
          <cell r="G2235" t="str">
            <v>LK338C</v>
          </cell>
          <cell r="H2235" t="str">
            <v>Cummins Engine Maintenance Kit</v>
          </cell>
        </row>
        <row r="2236">
          <cell r="G2236" t="str">
            <v>LP2237</v>
          </cell>
          <cell r="H2236" t="str">
            <v>Cartridge Oil Filter</v>
          </cell>
        </row>
        <row r="2237">
          <cell r="G2237" t="str">
            <v>LP2299</v>
          </cell>
          <cell r="H2237" t="str">
            <v>Cartridge Oil Filter</v>
          </cell>
        </row>
        <row r="2238">
          <cell r="G2238" t="str">
            <v>G473</v>
          </cell>
          <cell r="H2238" t="str">
            <v>In-Line Fuel Filter</v>
          </cell>
        </row>
        <row r="2239">
          <cell r="G2239" t="str">
            <v>G6332</v>
          </cell>
          <cell r="H2239" t="str">
            <v>In-Line Fuel Filter</v>
          </cell>
        </row>
        <row r="2240">
          <cell r="G2240" t="str">
            <v>G6527</v>
          </cell>
          <cell r="H2240" t="str">
            <v>In-Line Fuel Filter</v>
          </cell>
        </row>
        <row r="2241">
          <cell r="G2241" t="str">
            <v>OUTLET</v>
          </cell>
          <cell r="H2241" t="str">
            <v>Outlet Check Valve Assembly/500B, C, 750-C, CT</v>
          </cell>
        </row>
        <row r="2242">
          <cell r="G2242" t="str">
            <v>PACK</v>
          </cell>
          <cell r="H2242" t="str">
            <v>Hold Down Stud/750-2C, 3C, 970-C</v>
          </cell>
        </row>
        <row r="2243">
          <cell r="G2243">
            <v>200</v>
          </cell>
          <cell r="H2243" t="str">
            <v>Luber-finer model 200S diesel pak oil filter</v>
          </cell>
        </row>
        <row r="2244">
          <cell r="G2244" t="str">
            <v>4069</v>
          </cell>
          <cell r="H2244" t="str">
            <v>Gasket, Replaces Cummins 164159</v>
          </cell>
        </row>
        <row r="2245">
          <cell r="G2245" t="str">
            <v>AF368</v>
          </cell>
          <cell r="H2245" t="str">
            <v>Round Air Filter</v>
          </cell>
        </row>
        <row r="2246">
          <cell r="G2246" t="str">
            <v>P969</v>
          </cell>
          <cell r="H2246" t="str">
            <v>Cartridge Oil Filter</v>
          </cell>
        </row>
        <row r="2247">
          <cell r="G2247" t="str">
            <v>AF3595</v>
          </cell>
          <cell r="H2247" t="str">
            <v>Rigid Panel Air Filter</v>
          </cell>
        </row>
        <row r="2248">
          <cell r="G2248" t="str">
            <v>AF4038</v>
          </cell>
          <cell r="H2248" t="str">
            <v>Flexible Panel Air Filter</v>
          </cell>
        </row>
        <row r="2249">
          <cell r="G2249" t="str">
            <v>AF3145</v>
          </cell>
          <cell r="H2249" t="str">
            <v>Flexible Panel Air Filter</v>
          </cell>
        </row>
        <row r="2250">
          <cell r="G2250" t="str">
            <v>P131</v>
          </cell>
          <cell r="H2250" t="str">
            <v>Cartridge Oil Filter</v>
          </cell>
        </row>
        <row r="2251">
          <cell r="G2251" t="str">
            <v>T189</v>
          </cell>
          <cell r="H2251" t="str">
            <v>Transmission Filter Kit</v>
          </cell>
        </row>
        <row r="2252">
          <cell r="G2252" t="str">
            <v>AF3982</v>
          </cell>
          <cell r="H2252" t="str">
            <v>Flexible Panel Air Filter</v>
          </cell>
        </row>
        <row r="2253">
          <cell r="G2253" t="str">
            <v>L3419F</v>
          </cell>
          <cell r="H2253" t="str">
            <v>Cartridge Fuel Filter</v>
          </cell>
        </row>
        <row r="2254">
          <cell r="G2254" t="str">
            <v>AF4020</v>
          </cell>
          <cell r="H2254" t="str">
            <v>Rigid Panel Air Filter</v>
          </cell>
        </row>
        <row r="2255">
          <cell r="G2255" t="str">
            <v>CAF1904P</v>
          </cell>
          <cell r="H2255" t="str">
            <v>Cabin Air Filter</v>
          </cell>
        </row>
        <row r="2256">
          <cell r="G2256" t="str">
            <v>LAF1715</v>
          </cell>
          <cell r="H2256" t="str">
            <v>Round Air Filter</v>
          </cell>
        </row>
        <row r="2257">
          <cell r="G2257" t="str">
            <v>LFP2286G</v>
          </cell>
          <cell r="H2257" t="str">
            <v>Extended Life Spin-on Oil Filter</v>
          </cell>
        </row>
        <row r="2258">
          <cell r="G2258" t="str">
            <v>G246</v>
          </cell>
          <cell r="H2258" t="str">
            <v>In-Line Fuel Filter</v>
          </cell>
        </row>
        <row r="2259">
          <cell r="G2259" t="str">
            <v>T147</v>
          </cell>
          <cell r="H2259" t="str">
            <v>Transmission Filter Kit</v>
          </cell>
        </row>
        <row r="2260">
          <cell r="G2260" t="str">
            <v>LAF2530</v>
          </cell>
          <cell r="H2260" t="str">
            <v>Disposible Housing Air Filter</v>
          </cell>
        </row>
        <row r="2261">
          <cell r="G2261" t="str">
            <v>LP970-10</v>
          </cell>
          <cell r="H2261" t="str">
            <v>Cartridge Oil Filter</v>
          </cell>
        </row>
        <row r="2262">
          <cell r="G2262" t="str">
            <v>LH4911</v>
          </cell>
          <cell r="H2262" t="str">
            <v>Cartridge Hydraulic Filter</v>
          </cell>
        </row>
        <row r="2263">
          <cell r="G2263" t="str">
            <v>LH8498</v>
          </cell>
          <cell r="H2263" t="str">
            <v>Cartridge Hydraulic Filter</v>
          </cell>
        </row>
        <row r="2264">
          <cell r="G2264" t="str">
            <v>AF5263</v>
          </cell>
          <cell r="H2264" t="str">
            <v>Air Filter</v>
          </cell>
        </row>
        <row r="2265">
          <cell r="G2265" t="str">
            <v>G650</v>
          </cell>
          <cell r="H2265" t="str">
            <v>In-Line Fuel Filter</v>
          </cell>
        </row>
        <row r="2266">
          <cell r="G2266" t="str">
            <v>CAF1798</v>
          </cell>
          <cell r="H2266" t="str">
            <v>Cabin Air Filter</v>
          </cell>
        </row>
        <row r="2267">
          <cell r="G2267" t="str">
            <v>LAF1909</v>
          </cell>
          <cell r="H2267" t="str">
            <v>Round Air Filter</v>
          </cell>
        </row>
        <row r="2268">
          <cell r="G2268" t="str">
            <v>LFH8460</v>
          </cell>
          <cell r="H2268" t="str">
            <v>Spin-on Hydraulic Filter</v>
          </cell>
        </row>
        <row r="2269">
          <cell r="G2269" t="str">
            <v>P1025</v>
          </cell>
          <cell r="H2269" t="str">
            <v>Cartridge Oil Filter</v>
          </cell>
        </row>
        <row r="2270">
          <cell r="G2270" t="str">
            <v>PC194</v>
          </cell>
          <cell r="H2270" t="str">
            <v>PCV Valve</v>
          </cell>
        </row>
        <row r="2271">
          <cell r="G2271" t="str">
            <v>CAF7770</v>
          </cell>
          <cell r="H2271" t="str">
            <v>Cabin Air Filter (Carbon)</v>
          </cell>
        </row>
        <row r="2272">
          <cell r="G2272" t="str">
            <v>LAF1952</v>
          </cell>
          <cell r="H2272" t="str">
            <v>HD Metal-End Inner Air Filter</v>
          </cell>
        </row>
        <row r="2273">
          <cell r="G2273" t="str">
            <v>P973</v>
          </cell>
          <cell r="H2273" t="str">
            <v>Cartridge Oil Filter</v>
          </cell>
        </row>
        <row r="2274">
          <cell r="G2274" t="str">
            <v>LAF8959</v>
          </cell>
          <cell r="H2274" t="str">
            <v>HD Metal-End Air Filter</v>
          </cell>
        </row>
        <row r="2275">
          <cell r="G2275" t="str">
            <v>LAF8494MXM</v>
          </cell>
          <cell r="H2275" t="str">
            <v xml:space="preserve">Nano Tech Air Filter HD Metal-End </v>
          </cell>
        </row>
        <row r="2276">
          <cell r="G2276" t="str">
            <v>T176A</v>
          </cell>
          <cell r="H2276" t="str">
            <v>Transmission Filter Kit</v>
          </cell>
        </row>
        <row r="2277">
          <cell r="G2277" t="str">
            <v>LAF1812</v>
          </cell>
          <cell r="H2277" t="str">
            <v>HD Round Air Filter with Attached Boot</v>
          </cell>
        </row>
        <row r="2278">
          <cell r="G2278" t="str">
            <v>LAF937</v>
          </cell>
          <cell r="H2278" t="str">
            <v>HD Metal-End Inner Air Filter</v>
          </cell>
        </row>
        <row r="2279">
          <cell r="G2279" t="str">
            <v>LH11034</v>
          </cell>
          <cell r="H2279" t="str">
            <v>Industrial Cartridge Hydraulic Filter</v>
          </cell>
        </row>
        <row r="2280">
          <cell r="G2280" t="str">
            <v>T732</v>
          </cell>
          <cell r="H2280" t="str">
            <v>Transmission Filter Kit</v>
          </cell>
        </row>
        <row r="2281">
          <cell r="G2281" t="str">
            <v>CAF1812P</v>
          </cell>
          <cell r="H2281" t="str">
            <v>Cabin Air filter</v>
          </cell>
        </row>
        <row r="2282">
          <cell r="G2282" t="str">
            <v>LAF22045</v>
          </cell>
          <cell r="H2282" t="str">
            <v>Oval Air Filter</v>
          </cell>
        </row>
        <row r="2283">
          <cell r="G2283" t="str">
            <v>LH9556</v>
          </cell>
          <cell r="H2283" t="str">
            <v>Cartridge Hydraulic Filter</v>
          </cell>
        </row>
        <row r="2284">
          <cell r="G2284" t="str">
            <v>LAF8274</v>
          </cell>
          <cell r="H2284" t="str">
            <v>Panel Air Filter Metal Framed</v>
          </cell>
        </row>
        <row r="2285">
          <cell r="G2285" t="str">
            <v>LAF863</v>
          </cell>
          <cell r="H2285" t="str">
            <v>HD Metal-End Air Filter</v>
          </cell>
        </row>
        <row r="2286">
          <cell r="G2286" t="str">
            <v>LAF8828</v>
          </cell>
          <cell r="H2286" t="str">
            <v>HD Metal-End Air Filter-Inner</v>
          </cell>
        </row>
        <row r="2287">
          <cell r="G2287" t="str">
            <v>T156A</v>
          </cell>
          <cell r="H2287" t="str">
            <v>Transmission Filter Kit</v>
          </cell>
        </row>
        <row r="2288">
          <cell r="G2288" t="str">
            <v>AF7866</v>
          </cell>
          <cell r="H2288" t="str">
            <v>Rigid Panel Air Filter</v>
          </cell>
        </row>
        <row r="2289">
          <cell r="G2289" t="str">
            <v>LAF1870</v>
          </cell>
          <cell r="H2289" t="str">
            <v>Flexible Panel Air Filter</v>
          </cell>
        </row>
        <row r="2290">
          <cell r="G2290" t="str">
            <v>LAF3709</v>
          </cell>
          <cell r="H2290" t="str">
            <v>Round Air Filter</v>
          </cell>
        </row>
        <row r="2291">
          <cell r="G2291" t="str">
            <v>LAF3918</v>
          </cell>
          <cell r="H2291" t="str">
            <v>HD Metal-End Air Filter</v>
          </cell>
        </row>
        <row r="2292">
          <cell r="G2292" t="str">
            <v>LAF8779</v>
          </cell>
          <cell r="H2292" t="str">
            <v>Panel Air Filter Metal Framed</v>
          </cell>
        </row>
        <row r="2293">
          <cell r="G2293" t="str">
            <v>LAF9155MXM</v>
          </cell>
          <cell r="H2293" t="str">
            <v xml:space="preserve">Nano Tech Air Filter HD Metal-End </v>
          </cell>
        </row>
        <row r="2294">
          <cell r="G2294" t="str">
            <v>LFH4953</v>
          </cell>
          <cell r="H2294" t="str">
            <v>Spin-on Hydraulic Filter</v>
          </cell>
        </row>
        <row r="2295">
          <cell r="G2295" t="str">
            <v>LK143C</v>
          </cell>
          <cell r="H2295" t="str">
            <v>Cummins Engine Maintenance Kit</v>
          </cell>
        </row>
        <row r="2296">
          <cell r="G2296" t="str">
            <v>T724</v>
          </cell>
          <cell r="H2296" t="str">
            <v>Transmission Filter Kit</v>
          </cell>
        </row>
        <row r="2297">
          <cell r="G2297" t="str">
            <v>CAF1808C</v>
          </cell>
          <cell r="H2297" t="str">
            <v>Cabin Air Filter (Carbon)</v>
          </cell>
        </row>
        <row r="2298">
          <cell r="G2298" t="str">
            <v>AF332</v>
          </cell>
          <cell r="H2298" t="str">
            <v>Round Air Filter</v>
          </cell>
        </row>
        <row r="2299">
          <cell r="G2299">
            <v>920055</v>
          </cell>
          <cell r="H2299" t="str">
            <v>Lubercool II 55 Gallon Drum</v>
          </cell>
        </row>
        <row r="2300">
          <cell r="G2300" t="str">
            <v>G510</v>
          </cell>
          <cell r="H2300" t="str">
            <v>In-Line Fuel Filter</v>
          </cell>
        </row>
        <row r="2301">
          <cell r="G2301" t="str">
            <v>P3040</v>
          </cell>
          <cell r="H2301" t="str">
            <v>Cartridge Oil Filter</v>
          </cell>
        </row>
        <row r="2302">
          <cell r="G2302" t="str">
            <v>AF4012</v>
          </cell>
          <cell r="H2302" t="str">
            <v>Flexible Panel Air Filter</v>
          </cell>
        </row>
        <row r="2303">
          <cell r="G2303" t="str">
            <v>P846</v>
          </cell>
          <cell r="H2303" t="str">
            <v>Cartridge Oil Filter</v>
          </cell>
        </row>
        <row r="2304">
          <cell r="G2304" t="str">
            <v>AF7908</v>
          </cell>
          <cell r="H2304" t="str">
            <v>Flexible Panel Air Filter</v>
          </cell>
        </row>
        <row r="2305">
          <cell r="G2305" t="str">
            <v>AF1679</v>
          </cell>
          <cell r="H2305" t="str">
            <v>Flexible Panel Air Filter</v>
          </cell>
        </row>
        <row r="2306">
          <cell r="G2306" t="str">
            <v>CAF1802P</v>
          </cell>
          <cell r="H2306" t="str">
            <v>Cabin Air Filter</v>
          </cell>
        </row>
        <row r="2307">
          <cell r="G2307" t="str">
            <v>AF3128</v>
          </cell>
          <cell r="H2307" t="str">
            <v>Flexible Panel Air Filter</v>
          </cell>
        </row>
        <row r="2308">
          <cell r="G2308" t="str">
            <v>CAF1882P</v>
          </cell>
          <cell r="H2308" t="str">
            <v>Cabin Air Filter</v>
          </cell>
        </row>
        <row r="2309">
          <cell r="G2309" t="str">
            <v>caf1872p</v>
          </cell>
          <cell r="H2309" t="str">
            <v>Cabin Air Filter</v>
          </cell>
        </row>
        <row r="2310">
          <cell r="G2310" t="str">
            <v>LAF335</v>
          </cell>
          <cell r="H2310" t="str">
            <v>Round Inner Air Filter with Flanged Endcap</v>
          </cell>
        </row>
        <row r="2311">
          <cell r="G2311" t="str">
            <v>LFF8981</v>
          </cell>
          <cell r="H2311" t="str">
            <v>Spin-on Fuel Water Separator Filter</v>
          </cell>
        </row>
        <row r="2312">
          <cell r="G2312" t="str">
            <v>CAF7799</v>
          </cell>
          <cell r="H2312" t="str">
            <v>Cabin Air Filter (Carbon)</v>
          </cell>
        </row>
        <row r="2313">
          <cell r="G2313" t="str">
            <v>L22060F</v>
          </cell>
          <cell r="H2313" t="str">
            <v>Cartridge Fuel Filter</v>
          </cell>
        </row>
        <row r="2314">
          <cell r="G2314" t="str">
            <v>AF3914</v>
          </cell>
          <cell r="H2314" t="str">
            <v>Flexible Panel Air Filter</v>
          </cell>
        </row>
        <row r="2315">
          <cell r="G2315" t="str">
            <v>LAF8482</v>
          </cell>
          <cell r="H2315" t="str">
            <v>Round Inner Air Filter with Flanged Endcap</v>
          </cell>
        </row>
        <row r="2316">
          <cell r="G2316" t="str">
            <v>LAF506</v>
          </cell>
          <cell r="H2316" t="str">
            <v>Finned Vane Air Filter</v>
          </cell>
        </row>
        <row r="2317">
          <cell r="G2317" t="str">
            <v>AF206</v>
          </cell>
          <cell r="H2317" t="str">
            <v>Round Air Filter</v>
          </cell>
        </row>
        <row r="2318">
          <cell r="G2318" t="str">
            <v>LH8304</v>
          </cell>
          <cell r="H2318" t="str">
            <v>Cartridge Hydraulic Filter</v>
          </cell>
        </row>
        <row r="2319">
          <cell r="G2319" t="str">
            <v>LFH5896</v>
          </cell>
          <cell r="H2319" t="str">
            <v>Spin-on Hydraulic Filter</v>
          </cell>
        </row>
        <row r="2320">
          <cell r="G2320" t="str">
            <v>P3968</v>
          </cell>
          <cell r="H2320" t="str">
            <v>Cartridge Oil Filter</v>
          </cell>
        </row>
        <row r="2321">
          <cell r="G2321" t="str">
            <v>LAF8091</v>
          </cell>
          <cell r="H2321" t="str">
            <v>HD Metal-End Air Filter with Attached Lid</v>
          </cell>
        </row>
        <row r="2322">
          <cell r="G2322" t="str">
            <v>CAF1840C</v>
          </cell>
          <cell r="H2322" t="str">
            <v>Cabin Air Filter (Carbon)</v>
          </cell>
        </row>
        <row r="2323">
          <cell r="G2323" t="str">
            <v>LAF3901</v>
          </cell>
          <cell r="H2323" t="str">
            <v>Round Air Filter with Flanged Endcap</v>
          </cell>
        </row>
        <row r="2324">
          <cell r="G2324" t="str">
            <v>LAF1817</v>
          </cell>
          <cell r="H2324" t="str">
            <v>HD Metal-End Air Filter</v>
          </cell>
        </row>
        <row r="2325">
          <cell r="G2325" t="str">
            <v>LAF8736</v>
          </cell>
          <cell r="H2325" t="str">
            <v>Round Air Filter</v>
          </cell>
        </row>
        <row r="2326">
          <cell r="G2326" t="str">
            <v>LH4199</v>
          </cell>
          <cell r="H2326" t="str">
            <v>Cartridge Hydraulic Filter</v>
          </cell>
        </row>
        <row r="2327">
          <cell r="G2327" t="str">
            <v>LAF4306</v>
          </cell>
          <cell r="H2327" t="str">
            <v>HD Metal-End Air Filter</v>
          </cell>
        </row>
        <row r="2328">
          <cell r="G2328" t="str">
            <v>LAF8155</v>
          </cell>
          <cell r="H2328" t="str">
            <v>HD Round Air Filter with Attached Boot</v>
          </cell>
        </row>
        <row r="2329">
          <cell r="G2329" t="str">
            <v>LAF8889</v>
          </cell>
          <cell r="H2329" t="str">
            <v>Radial Seal Outer Air Filter</v>
          </cell>
        </row>
        <row r="2330">
          <cell r="G2330" t="str">
            <v>LAF5081</v>
          </cell>
          <cell r="H2330" t="str">
            <v>HD Metal-End Air Filter</v>
          </cell>
        </row>
        <row r="2331">
          <cell r="G2331" t="str">
            <v>LP229</v>
          </cell>
          <cell r="H2331" t="str">
            <v>Cartridge Oil Filter</v>
          </cell>
        </row>
        <row r="2332">
          <cell r="G2332" t="str">
            <v>T616</v>
          </cell>
          <cell r="H2332" t="str">
            <v>Transmission Filter Kit</v>
          </cell>
        </row>
        <row r="2333">
          <cell r="G2333" t="str">
            <v>AF604</v>
          </cell>
          <cell r="H2333" t="str">
            <v>Round Air Filter</v>
          </cell>
        </row>
        <row r="2334">
          <cell r="G2334" t="str">
            <v>LAF5837</v>
          </cell>
          <cell r="H2334" t="str">
            <v>Radial Seal Air Filter, Primary</v>
          </cell>
        </row>
        <row r="2335">
          <cell r="G2335" t="str">
            <v>LFF90011</v>
          </cell>
          <cell r="H2335" t="str">
            <v>Spin-on Fuel Filter</v>
          </cell>
        </row>
        <row r="2336">
          <cell r="G2336" t="str">
            <v>LH4247</v>
          </cell>
          <cell r="H2336" t="str">
            <v>Cartridge Hydraulic Filter</v>
          </cell>
        </row>
        <row r="2337">
          <cell r="G2337" t="str">
            <v>LAF1967</v>
          </cell>
          <cell r="H2337" t="str">
            <v>HD Metal-End Air Filter</v>
          </cell>
        </row>
        <row r="2338">
          <cell r="G2338" t="str">
            <v>LAF5725</v>
          </cell>
          <cell r="H2338" t="str">
            <v>Radial Seal Inner Air Filter</v>
          </cell>
        </row>
        <row r="2339">
          <cell r="G2339" t="str">
            <v>LAF5821</v>
          </cell>
          <cell r="H2339" t="str">
            <v>Rigid Panel Air Filter</v>
          </cell>
        </row>
        <row r="2340">
          <cell r="G2340" t="str">
            <v>LH4912</v>
          </cell>
          <cell r="H2340" t="str">
            <v>Cartridge Hydraulic Filter</v>
          </cell>
        </row>
        <row r="2341">
          <cell r="G2341" t="str">
            <v>LH8488</v>
          </cell>
          <cell r="H2341" t="str">
            <v>Hydraulic Cartridge Filter</v>
          </cell>
        </row>
        <row r="2342">
          <cell r="G2342" t="str">
            <v>LAF4149</v>
          </cell>
          <cell r="H2342" t="str">
            <v>HD Metal-End Air Filter</v>
          </cell>
        </row>
        <row r="2343">
          <cell r="G2343" t="str">
            <v>LP6028-5</v>
          </cell>
          <cell r="H2343" t="str">
            <v>Cartridge Oil Filter</v>
          </cell>
        </row>
        <row r="2344">
          <cell r="G2344" t="str">
            <v>L1874T</v>
          </cell>
          <cell r="H2344" t="str">
            <v>Sock Type Oil Filter</v>
          </cell>
        </row>
        <row r="2345">
          <cell r="G2345" t="str">
            <v>L9550FXL</v>
          </cell>
          <cell r="H2345" t="str">
            <v>Extended Life Cartridge Fuel Filter</v>
          </cell>
        </row>
        <row r="2346">
          <cell r="G2346" t="str">
            <v>LAF8084</v>
          </cell>
          <cell r="H2346" t="str">
            <v>HD Metal-End Air Filter with Attached Lid</v>
          </cell>
        </row>
        <row r="2347">
          <cell r="G2347" t="str">
            <v>LAF8190</v>
          </cell>
          <cell r="H2347" t="str">
            <v>Round Air Filter</v>
          </cell>
        </row>
        <row r="2348">
          <cell r="G2348" t="str">
            <v>LAF8764</v>
          </cell>
          <cell r="H2348" t="str">
            <v>Disposible Housing Air Filter</v>
          </cell>
        </row>
        <row r="2349">
          <cell r="G2349" t="str">
            <v>LAF8999</v>
          </cell>
          <cell r="H2349" t="str">
            <v>Cabin Air Filter</v>
          </cell>
        </row>
        <row r="2350">
          <cell r="G2350" t="str">
            <v>LK297M</v>
          </cell>
          <cell r="H2350" t="str">
            <v>Mack Engine Maintenance Kit</v>
          </cell>
        </row>
        <row r="2351">
          <cell r="G2351" t="str">
            <v>LP2220N</v>
          </cell>
          <cell r="H2351" t="str">
            <v>Cartridge Oil Filter</v>
          </cell>
        </row>
        <row r="2352">
          <cell r="G2352" t="str">
            <v>AF50A</v>
          </cell>
          <cell r="H2352" t="str">
            <v>Round Air Filter</v>
          </cell>
        </row>
        <row r="2353">
          <cell r="G2353" t="str">
            <v>LFF15-30</v>
          </cell>
          <cell r="H2353" t="str">
            <v>Fuel Dispensing Filter</v>
          </cell>
        </row>
        <row r="2354">
          <cell r="G2354" t="str">
            <v>500CT</v>
          </cell>
          <cell r="H2354" t="str">
            <v>Standard Upright 500-C Unit w/Imperial  Diesel Pack</v>
          </cell>
        </row>
        <row r="2355">
          <cell r="G2355" t="str">
            <v>AF918</v>
          </cell>
          <cell r="H2355" t="str">
            <v>Flexible Panel Air Filter</v>
          </cell>
        </row>
        <row r="2356">
          <cell r="G2356" t="str">
            <v>AF3993</v>
          </cell>
          <cell r="H2356" t="str">
            <v>Rigid Panel Air Filter</v>
          </cell>
        </row>
        <row r="2357">
          <cell r="G2357" t="str">
            <v>AF4021</v>
          </cell>
          <cell r="H2357" t="str">
            <v>Rigid Panel Air Filter</v>
          </cell>
        </row>
        <row r="2358">
          <cell r="G2358" t="str">
            <v>AF4022</v>
          </cell>
          <cell r="H2358" t="str">
            <v>Flexible Panel Air Filter</v>
          </cell>
        </row>
        <row r="2359">
          <cell r="G2359" t="str">
            <v>AF3935</v>
          </cell>
          <cell r="H2359" t="str">
            <v>Panel Air Irregular Shaped Filter</v>
          </cell>
        </row>
        <row r="2360">
          <cell r="G2360" t="str">
            <v>AF5192</v>
          </cell>
          <cell r="H2360" t="str">
            <v>Rigid Panel Air Filter</v>
          </cell>
        </row>
        <row r="2361">
          <cell r="G2361" t="str">
            <v>AF415</v>
          </cell>
          <cell r="H2361" t="str">
            <v>Round Panel Air Filter</v>
          </cell>
        </row>
        <row r="2362">
          <cell r="G2362" t="str">
            <v>G6630</v>
          </cell>
          <cell r="H2362" t="str">
            <v>In-Line Fuel Filter</v>
          </cell>
        </row>
        <row r="2363">
          <cell r="G2363" t="str">
            <v>LFP2255</v>
          </cell>
          <cell r="H2363" t="str">
            <v>Spin-on Oil Filter</v>
          </cell>
        </row>
        <row r="2364">
          <cell r="G2364" t="str">
            <v>PC139</v>
          </cell>
          <cell r="H2364" t="str">
            <v>PCV Valve</v>
          </cell>
        </row>
        <row r="2365">
          <cell r="G2365" t="str">
            <v>LFP2200K</v>
          </cell>
          <cell r="H2365" t="str">
            <v>Coalescer Fuel Filter and Mounting Base</v>
          </cell>
        </row>
        <row r="2366">
          <cell r="G2366" t="str">
            <v>AF773</v>
          </cell>
          <cell r="H2366" t="str">
            <v>Round Air Filter</v>
          </cell>
        </row>
        <row r="2367">
          <cell r="G2367" t="str">
            <v>LP815</v>
          </cell>
          <cell r="H2367" t="str">
            <v>Cartridge Oil Filter</v>
          </cell>
        </row>
        <row r="2368">
          <cell r="G2368" t="str">
            <v>PC761</v>
          </cell>
          <cell r="H2368" t="str">
            <v>PCV Valve</v>
          </cell>
        </row>
        <row r="2369">
          <cell r="G2369" t="str">
            <v>CAF1840P</v>
          </cell>
          <cell r="H2369" t="str">
            <v>Cabin Air Filter</v>
          </cell>
        </row>
        <row r="2370">
          <cell r="G2370" t="str">
            <v>AF1623</v>
          </cell>
          <cell r="H2370" t="str">
            <v>Flexible Panel Air Filter</v>
          </cell>
        </row>
        <row r="2371">
          <cell r="G2371" t="str">
            <v>CAF1896P</v>
          </cell>
          <cell r="H2371" t="str">
            <v>Cabin Air Filter</v>
          </cell>
        </row>
        <row r="2372">
          <cell r="G2372" t="str">
            <v>LAF5765</v>
          </cell>
          <cell r="H2372" t="str">
            <v>Radial Seal Outer Air Filter</v>
          </cell>
        </row>
        <row r="2373">
          <cell r="G2373" t="str">
            <v>P771A</v>
          </cell>
          <cell r="H2373" t="str">
            <v>Cartridge Oil Filter</v>
          </cell>
        </row>
        <row r="2374">
          <cell r="G2374" t="str">
            <v>AF5217</v>
          </cell>
          <cell r="H2374" t="str">
            <v>Rigid Panel Air Filter</v>
          </cell>
        </row>
        <row r="2375">
          <cell r="G2375" t="str">
            <v>AF2548</v>
          </cell>
          <cell r="H2375" t="str">
            <v>Flexible Panel Air Filter</v>
          </cell>
        </row>
        <row r="2376">
          <cell r="G2376" t="str">
            <v>LAF4503MXM</v>
          </cell>
          <cell r="H2376" t="str">
            <v>Nano Tech Radial Seal Air Filter</v>
          </cell>
        </row>
        <row r="2377">
          <cell r="G2377" t="str">
            <v>CAF1913C</v>
          </cell>
          <cell r="H2377" t="str">
            <v>Cabin Air Filter (Carbon)</v>
          </cell>
        </row>
        <row r="2378">
          <cell r="G2378" t="str">
            <v>LP1655</v>
          </cell>
          <cell r="H2378" t="str">
            <v>Cartridge Oil Filter</v>
          </cell>
        </row>
        <row r="2379">
          <cell r="G2379" t="str">
            <v>LAF8819</v>
          </cell>
          <cell r="H2379" t="str">
            <v>HD Metal-End Inner Air Filter</v>
          </cell>
        </row>
        <row r="2380">
          <cell r="G2380" t="str">
            <v>LAF1933</v>
          </cell>
          <cell r="H2380" t="str">
            <v>HD Metal-End Air Filter</v>
          </cell>
        </row>
        <row r="2381">
          <cell r="G2381" t="str">
            <v>LFH8268</v>
          </cell>
          <cell r="H2381" t="str">
            <v>Spin-on Hydraulic Filter</v>
          </cell>
        </row>
        <row r="2382">
          <cell r="G2382" t="str">
            <v>LH4928</v>
          </cell>
          <cell r="H2382" t="str">
            <v>Cartridge Hydraulic Filter</v>
          </cell>
        </row>
        <row r="2383">
          <cell r="G2383" t="str">
            <v>T193</v>
          </cell>
          <cell r="H2383" t="str">
            <v>Transmission Filter Kit</v>
          </cell>
        </row>
        <row r="2384">
          <cell r="G2384" t="str">
            <v>LAF5852</v>
          </cell>
          <cell r="H2384" t="str">
            <v>Finned Vane Air Filter</v>
          </cell>
        </row>
        <row r="2385">
          <cell r="G2385" t="str">
            <v>LH4992</v>
          </cell>
          <cell r="H2385" t="str">
            <v>Cartridge Hydraulic Filter</v>
          </cell>
        </row>
        <row r="2386">
          <cell r="G2386" t="str">
            <v>LAF1796</v>
          </cell>
          <cell r="H2386" t="str">
            <v>Metal-End Air Filter with Closed Top End Cap</v>
          </cell>
        </row>
        <row r="2387">
          <cell r="G2387" t="str">
            <v>LH4901</v>
          </cell>
          <cell r="H2387" t="str">
            <v>Cartridge Hydraulic Filter</v>
          </cell>
        </row>
        <row r="2388">
          <cell r="G2388" t="str">
            <v>LAF1998</v>
          </cell>
          <cell r="H2388" t="str">
            <v>Screw On Breather Air Filter</v>
          </cell>
        </row>
        <row r="2389">
          <cell r="G2389" t="str">
            <v>LAF8810</v>
          </cell>
          <cell r="H2389" t="str">
            <v>Disposible Housing Air Filter</v>
          </cell>
        </row>
        <row r="2390">
          <cell r="G2390" t="str">
            <v>LAF8112</v>
          </cell>
          <cell r="H2390" t="str">
            <v>Radial Seal Outer Air Filter</v>
          </cell>
        </row>
        <row r="2391">
          <cell r="G2391" t="str">
            <v>L663F</v>
          </cell>
          <cell r="H2391" t="str">
            <v>Cartridge Fuel Filter</v>
          </cell>
        </row>
        <row r="2392">
          <cell r="G2392" t="str">
            <v>LAF1971</v>
          </cell>
          <cell r="H2392" t="str">
            <v>HD Metal-End Air Filter-Inner</v>
          </cell>
        </row>
        <row r="2393">
          <cell r="G2393" t="str">
            <v>LAF909</v>
          </cell>
          <cell r="H2393" t="str">
            <v>Tube Type Air Filter</v>
          </cell>
        </row>
        <row r="2394">
          <cell r="G2394" t="str">
            <v>P3972</v>
          </cell>
          <cell r="H2394" t="str">
            <v>Cartridge Oil Filter</v>
          </cell>
        </row>
        <row r="2395">
          <cell r="G2395" t="str">
            <v>LAF2543</v>
          </cell>
          <cell r="H2395" t="str">
            <v>HD Metal-End Air Filter</v>
          </cell>
        </row>
        <row r="2396">
          <cell r="G2396" t="str">
            <v>AF7966</v>
          </cell>
          <cell r="H2396" t="str">
            <v>Rigid Panel Air Filter</v>
          </cell>
        </row>
        <row r="2397">
          <cell r="G2397" t="str">
            <v>LAF4272</v>
          </cell>
          <cell r="H2397" t="str">
            <v>Round Air Filter</v>
          </cell>
        </row>
        <row r="2398">
          <cell r="G2398" t="str">
            <v>LAF8218</v>
          </cell>
          <cell r="H2398" t="str">
            <v>HD Metal-End Inner Air Filter</v>
          </cell>
        </row>
        <row r="2399">
          <cell r="G2399" t="str">
            <v>LH4994</v>
          </cell>
          <cell r="H2399" t="str">
            <v>Cartridge Hydraulic Filter</v>
          </cell>
        </row>
        <row r="2400">
          <cell r="G2400" t="str">
            <v>LAF1482</v>
          </cell>
          <cell r="H2400" t="str">
            <v>Air Filter</v>
          </cell>
        </row>
        <row r="2401">
          <cell r="G2401" t="str">
            <v>LAF3785</v>
          </cell>
          <cell r="H2401" t="str">
            <v>Metal-End Air Filter with Closed Top End Cap</v>
          </cell>
        </row>
        <row r="2402">
          <cell r="G2402" t="str">
            <v>LAF528</v>
          </cell>
          <cell r="H2402" t="str">
            <v>Rigid Panel Air Filter</v>
          </cell>
        </row>
        <row r="2403">
          <cell r="G2403" t="str">
            <v>LAF8171</v>
          </cell>
          <cell r="H2403" t="str">
            <v>Metal-End Air Filter with Closed Top End Cap</v>
          </cell>
        </row>
        <row r="2404">
          <cell r="G2404" t="str">
            <v>LAF8515</v>
          </cell>
          <cell r="H2404" t="str">
            <v>HD Round Finned Air Filter with Attached Lid</v>
          </cell>
        </row>
        <row r="2405">
          <cell r="G2405" t="str">
            <v>LAF8838</v>
          </cell>
          <cell r="H2405" t="str">
            <v>Radial Seal Outer Air Filter</v>
          </cell>
        </row>
        <row r="2406">
          <cell r="G2406" t="str">
            <v>LH5007</v>
          </cell>
          <cell r="H2406" t="str">
            <v>Cartridge Hydraulic Filter</v>
          </cell>
        </row>
        <row r="2407">
          <cell r="G2407" t="str">
            <v>LH5008</v>
          </cell>
          <cell r="H2407" t="str">
            <v>Cartridge Hydraulic Filter</v>
          </cell>
        </row>
        <row r="2408">
          <cell r="G2408" t="str">
            <v>LH95282V</v>
          </cell>
          <cell r="H2408" t="str">
            <v>Cartridge Hydraulic Filter</v>
          </cell>
        </row>
        <row r="2409">
          <cell r="G2409" t="str">
            <v>LK208C</v>
          </cell>
          <cell r="H2409" t="str">
            <v>Cummins Engine Maintenance Kit</v>
          </cell>
        </row>
        <row r="2410">
          <cell r="G2410" t="str">
            <v>G6328</v>
          </cell>
          <cell r="H2410" t="str">
            <v>In-Line Fuel Filter</v>
          </cell>
        </row>
        <row r="2411">
          <cell r="G2411" t="str">
            <v>LAF431</v>
          </cell>
          <cell r="H2411" t="str">
            <v>HD Metal-End Air Filter</v>
          </cell>
        </row>
        <row r="2412">
          <cell r="G2412" t="str">
            <v>G4760</v>
          </cell>
          <cell r="H2412" t="str">
            <v>In-Line Fuel Filter</v>
          </cell>
        </row>
        <row r="2413">
          <cell r="G2413" t="str">
            <v>G242</v>
          </cell>
          <cell r="H2413" t="str">
            <v>In-Line Fuel Filter</v>
          </cell>
        </row>
        <row r="2414">
          <cell r="G2414" t="str">
            <v>AF2786</v>
          </cell>
          <cell r="H2414" t="str">
            <v>Flexible Panel Air Filter</v>
          </cell>
        </row>
        <row r="2415">
          <cell r="G2415" t="str">
            <v>CAF7795</v>
          </cell>
          <cell r="H2415" t="str">
            <v>Cabin Air Filter (Carbon)</v>
          </cell>
        </row>
        <row r="2416">
          <cell r="G2416" t="str">
            <v>FP589F</v>
          </cell>
          <cell r="H2416" t="str">
            <v>Spin-on Fuel Filter</v>
          </cell>
        </row>
        <row r="2417">
          <cell r="G2417" t="str">
            <v>AF7894</v>
          </cell>
          <cell r="H2417" t="str">
            <v>Rigid Panel Air Filter</v>
          </cell>
        </row>
        <row r="2418">
          <cell r="G2418" t="str">
            <v>AF4014</v>
          </cell>
          <cell r="H2418" t="str">
            <v>Rigid Panel Air Filter</v>
          </cell>
        </row>
        <row r="2419">
          <cell r="G2419" t="str">
            <v>P829</v>
          </cell>
          <cell r="H2419" t="str">
            <v>Cartridge Oil Filter</v>
          </cell>
        </row>
        <row r="2420">
          <cell r="G2420" t="str">
            <v>AF4007</v>
          </cell>
          <cell r="H2420" t="str">
            <v>Flexible Panel Air Filter</v>
          </cell>
        </row>
        <row r="2421">
          <cell r="G2421" t="str">
            <v>LFF9003</v>
          </cell>
          <cell r="H2421" t="str">
            <v>Bowl Style Fuel Water Separator Filter</v>
          </cell>
        </row>
        <row r="2422">
          <cell r="G2422" t="str">
            <v>CAF1870P</v>
          </cell>
          <cell r="H2422" t="str">
            <v>Cabin Air Filter</v>
          </cell>
        </row>
        <row r="2423">
          <cell r="G2423" t="str">
            <v>LAF1717</v>
          </cell>
          <cell r="H2423" t="str">
            <v>Round Air Filter</v>
          </cell>
        </row>
        <row r="2424">
          <cell r="G2424" t="str">
            <v>LFF3507</v>
          </cell>
          <cell r="H2424" t="str">
            <v>Cartridge Fuel Filter</v>
          </cell>
        </row>
        <row r="2425">
          <cell r="G2425" t="str">
            <v>P2224</v>
          </cell>
          <cell r="H2425" t="str">
            <v>Cartridge Oil Filter</v>
          </cell>
        </row>
        <row r="2426">
          <cell r="G2426" t="str">
            <v>AF1643</v>
          </cell>
          <cell r="H2426" t="str">
            <v>Cone Shaped Conical Air Filter</v>
          </cell>
        </row>
        <row r="2427">
          <cell r="G2427" t="str">
            <v>LAF8603</v>
          </cell>
          <cell r="H2427" t="str">
            <v>HD Round Finned Air Filter with Attached Lid</v>
          </cell>
        </row>
        <row r="2428">
          <cell r="G2428" t="str">
            <v>AF3589</v>
          </cell>
          <cell r="H2428" t="str">
            <v>Flexible Panel Air Filter</v>
          </cell>
        </row>
        <row r="2429">
          <cell r="G2429" t="str">
            <v>P961</v>
          </cell>
          <cell r="H2429" t="str">
            <v>Cartridge Oil Filter</v>
          </cell>
        </row>
        <row r="2430">
          <cell r="G2430" t="str">
            <v>G6351</v>
          </cell>
          <cell r="H2430" t="str">
            <v>In-Line Fuel Filter</v>
          </cell>
        </row>
        <row r="2431">
          <cell r="G2431" t="str">
            <v>AF3217</v>
          </cell>
          <cell r="H2431" t="str">
            <v>Flexible Panel Air Filter</v>
          </cell>
        </row>
        <row r="2432">
          <cell r="G2432" t="str">
            <v>LFF762</v>
          </cell>
          <cell r="H2432" t="str">
            <v>Spin-on Fuel Filter</v>
          </cell>
        </row>
        <row r="2433">
          <cell r="G2433" t="str">
            <v>AF277</v>
          </cell>
          <cell r="H2433" t="str">
            <v>Round Air Filter</v>
          </cell>
        </row>
        <row r="2434">
          <cell r="G2434" t="str">
            <v>AF148</v>
          </cell>
          <cell r="H2434" t="str">
            <v>Round Air Filter</v>
          </cell>
        </row>
        <row r="2435">
          <cell r="G2435" t="str">
            <v>AF5213</v>
          </cell>
          <cell r="H2435" t="str">
            <v>Panel Air Filter</v>
          </cell>
        </row>
        <row r="2436">
          <cell r="G2436" t="str">
            <v>LAF1936</v>
          </cell>
          <cell r="H2436" t="str">
            <v>HD Metal-End Air Filter</v>
          </cell>
        </row>
        <row r="2437">
          <cell r="G2437" t="str">
            <v>AF121</v>
          </cell>
          <cell r="H2437" t="str">
            <v>Round Air Filter</v>
          </cell>
        </row>
        <row r="2438">
          <cell r="G2438" t="str">
            <v>AF7992</v>
          </cell>
          <cell r="H2438" t="str">
            <v>Rigid Panel Air Filter</v>
          </cell>
        </row>
        <row r="2439">
          <cell r="G2439" t="str">
            <v>L43F</v>
          </cell>
          <cell r="H2439" t="str">
            <v>Cartridge Fuel Filter</v>
          </cell>
        </row>
        <row r="2440">
          <cell r="G2440" t="str">
            <v>LAF7530</v>
          </cell>
          <cell r="H2440" t="str">
            <v>Round Inner Air Filter with Flanged Endcap</v>
          </cell>
        </row>
        <row r="2441">
          <cell r="G2441" t="str">
            <v>P828</v>
          </cell>
          <cell r="H2441" t="str">
            <v>Cartridge Oil Filter</v>
          </cell>
        </row>
        <row r="2442">
          <cell r="G2442" t="str">
            <v>LAF1712</v>
          </cell>
          <cell r="H2442" t="str">
            <v>HD Metal-End Air Filter</v>
          </cell>
        </row>
        <row r="2443">
          <cell r="G2443" t="str">
            <v>L23F</v>
          </cell>
          <cell r="H2443" t="str">
            <v>Cartridge Fuel Filter</v>
          </cell>
        </row>
        <row r="2444">
          <cell r="G2444" t="str">
            <v>LMB6926</v>
          </cell>
          <cell r="H2444" t="str">
            <v xml:space="preserve">Spin-on Fuel Conversion Kit for Perkins and Caterpillar engines. Use with LFF6925 fuel filter. </v>
          </cell>
        </row>
        <row r="2445">
          <cell r="G2445" t="str">
            <v>T621</v>
          </cell>
          <cell r="H2445" t="str">
            <v>Transmission Filter Kit</v>
          </cell>
        </row>
        <row r="2446">
          <cell r="G2446" t="str">
            <v>AF115</v>
          </cell>
          <cell r="H2446" t="str">
            <v>Round Air Filter</v>
          </cell>
        </row>
        <row r="2447">
          <cell r="G2447" t="str">
            <v>CAF1811P</v>
          </cell>
          <cell r="H2447" t="str">
            <v>Cabin Air Filter</v>
          </cell>
        </row>
        <row r="2448">
          <cell r="G2448" t="str">
            <v>LAF8816</v>
          </cell>
          <cell r="H2448" t="str">
            <v>Round Inner Air Filter</v>
          </cell>
        </row>
        <row r="2449">
          <cell r="G2449" t="str">
            <v>LAF1859</v>
          </cell>
          <cell r="H2449" t="str">
            <v>HD Round Finned Air Filter with Attached Lid</v>
          </cell>
        </row>
        <row r="2450">
          <cell r="G2450" t="str">
            <v>PC265</v>
          </cell>
          <cell r="H2450" t="str">
            <v>PCV Valve</v>
          </cell>
        </row>
        <row r="2451">
          <cell r="G2451" t="str">
            <v>CAF1790</v>
          </cell>
          <cell r="H2451" t="str">
            <v>Cabin Air Filter</v>
          </cell>
        </row>
        <row r="2452">
          <cell r="G2452" t="str">
            <v>LFP8244</v>
          </cell>
          <cell r="H2452" t="str">
            <v>Spin-on Oil Filter</v>
          </cell>
        </row>
        <row r="2453">
          <cell r="G2453" t="str">
            <v>LH8784G</v>
          </cell>
          <cell r="H2453" t="str">
            <v>Cartridge Hydraulic Filter</v>
          </cell>
        </row>
        <row r="2454">
          <cell r="G2454" t="str">
            <v>AF3076</v>
          </cell>
          <cell r="H2454" t="str">
            <v>Rigid Panel Air Filter</v>
          </cell>
        </row>
        <row r="2455">
          <cell r="G2455" t="str">
            <v>T876</v>
          </cell>
          <cell r="H2455" t="str">
            <v>Transmission Filter Kit</v>
          </cell>
        </row>
        <row r="2456">
          <cell r="G2456" t="str">
            <v>LFP3791</v>
          </cell>
          <cell r="H2456" t="str">
            <v>Spin-on Oil Filter</v>
          </cell>
        </row>
        <row r="2457">
          <cell r="G2457" t="str">
            <v>T165A</v>
          </cell>
          <cell r="H2457" t="str">
            <v>Transmission Filter Kit</v>
          </cell>
        </row>
        <row r="2458">
          <cell r="G2458" t="str">
            <v>LAF8822</v>
          </cell>
          <cell r="H2458" t="str">
            <v>HD Round Finned Air Filter with Attached Lid</v>
          </cell>
        </row>
        <row r="2459">
          <cell r="G2459" t="str">
            <v>AF5249</v>
          </cell>
          <cell r="H2459" t="str">
            <v>Air Filter</v>
          </cell>
        </row>
        <row r="2460">
          <cell r="G2460" t="str">
            <v>AF971</v>
          </cell>
          <cell r="H2460" t="str">
            <v>Flexible Panel Air Filter</v>
          </cell>
        </row>
        <row r="2461">
          <cell r="G2461" t="str">
            <v>CAF1729</v>
          </cell>
          <cell r="H2461" t="str">
            <v>Cabin Air Filter</v>
          </cell>
        </row>
        <row r="2462">
          <cell r="G2462" t="str">
            <v>L7661F</v>
          </cell>
          <cell r="H2462" t="str">
            <v>Cartridge Fuel Filter</v>
          </cell>
        </row>
        <row r="2463">
          <cell r="G2463" t="str">
            <v>LAF8639</v>
          </cell>
          <cell r="H2463" t="str">
            <v>Finned Vane Air Filter</v>
          </cell>
        </row>
        <row r="2464">
          <cell r="G2464" t="str">
            <v>AF322</v>
          </cell>
          <cell r="H2464" t="str">
            <v>Flexible Panel Air Filter</v>
          </cell>
        </row>
        <row r="2465">
          <cell r="G2465" t="str">
            <v>G483</v>
          </cell>
          <cell r="H2465" t="str">
            <v>In-Line Fuel Filter</v>
          </cell>
        </row>
        <row r="2466">
          <cell r="G2466" t="str">
            <v>LAF2540</v>
          </cell>
          <cell r="H2466" t="str">
            <v>HD Metal-End Air Filter</v>
          </cell>
        </row>
        <row r="2467">
          <cell r="G2467" t="str">
            <v>LAF8133</v>
          </cell>
          <cell r="H2467" t="str">
            <v>HD Metal-End Air Filter</v>
          </cell>
        </row>
        <row r="2468">
          <cell r="G2468" t="str">
            <v>LAF6662</v>
          </cell>
          <cell r="H2468" t="str">
            <v>HD Metal-End Air Filter with Attached Lid</v>
          </cell>
        </row>
        <row r="2469">
          <cell r="G2469" t="str">
            <v>LH11009V</v>
          </cell>
          <cell r="H2469" t="str">
            <v>Industrial Cartridge Hydraulic Filter</v>
          </cell>
        </row>
        <row r="2470">
          <cell r="G2470" t="str">
            <v>CAF7767</v>
          </cell>
          <cell r="H2470" t="str">
            <v>Cabin Air Filter (Carbon)</v>
          </cell>
        </row>
        <row r="2471">
          <cell r="G2471" t="str">
            <v>G6342</v>
          </cell>
          <cell r="H2471" t="str">
            <v>In-Line Fuel Filter</v>
          </cell>
        </row>
        <row r="2472">
          <cell r="G2472" t="str">
            <v>LAF6412</v>
          </cell>
          <cell r="H2472" t="str">
            <v>HD Round Finned Air Filter with Attached Lid</v>
          </cell>
        </row>
        <row r="2473">
          <cell r="G2473" t="str">
            <v>LAF8830</v>
          </cell>
          <cell r="H2473" t="str">
            <v>HD Round Finned Air Filter with Attached Lid</v>
          </cell>
        </row>
        <row r="2474">
          <cell r="G2474" t="str">
            <v>PH7025</v>
          </cell>
          <cell r="H2474" t="str">
            <v>Spin-on Oil Filter</v>
          </cell>
        </row>
        <row r="2475">
          <cell r="G2475" t="str">
            <v>T692</v>
          </cell>
          <cell r="H2475" t="str">
            <v>Transmission Filter Kit</v>
          </cell>
        </row>
        <row r="2476">
          <cell r="G2476" t="str">
            <v>G6598</v>
          </cell>
          <cell r="H2476" t="str">
            <v>In-Line Fuel Filter</v>
          </cell>
        </row>
        <row r="2477">
          <cell r="G2477" t="str">
            <v>LAF1736</v>
          </cell>
          <cell r="H2477" t="str">
            <v>HD Round Air Filter with Attached Lid</v>
          </cell>
        </row>
        <row r="2478">
          <cell r="G2478" t="str">
            <v>LAF1866</v>
          </cell>
          <cell r="H2478" t="str">
            <v>Finned Vane Air Filter</v>
          </cell>
        </row>
        <row r="2479">
          <cell r="G2479" t="str">
            <v>LAF4156</v>
          </cell>
          <cell r="H2479" t="str">
            <v>HD Metal-End Inner Air Filter</v>
          </cell>
        </row>
        <row r="2480">
          <cell r="G2480" t="str">
            <v>PH7014</v>
          </cell>
          <cell r="H2480" t="str">
            <v>Spin-on Oil Filter</v>
          </cell>
        </row>
        <row r="2481">
          <cell r="G2481" t="str">
            <v>T155</v>
          </cell>
          <cell r="H2481" t="str">
            <v>Transmission Filter Kit</v>
          </cell>
        </row>
        <row r="2482">
          <cell r="G2482" t="str">
            <v>AF14</v>
          </cell>
          <cell r="H2482" t="str">
            <v>Round Air Filter</v>
          </cell>
        </row>
        <row r="2483">
          <cell r="G2483" t="str">
            <v>AF663</v>
          </cell>
          <cell r="H2483" t="str">
            <v>Round Air Filter</v>
          </cell>
        </row>
        <row r="2484">
          <cell r="G2484" t="str">
            <v>L8188F</v>
          </cell>
          <cell r="H2484" t="str">
            <v>Cartridge Fuel Filter</v>
          </cell>
        </row>
        <row r="2485">
          <cell r="G2485" t="str">
            <v>LAF1012HD</v>
          </cell>
          <cell r="H2485" t="str">
            <v>Round Air Filter</v>
          </cell>
        </row>
        <row r="2486">
          <cell r="G2486" t="str">
            <v>LAF1903</v>
          </cell>
          <cell r="H2486" t="str">
            <v>Round Plastisol Air Filter</v>
          </cell>
        </row>
        <row r="2487">
          <cell r="G2487" t="str">
            <v>LK374T</v>
          </cell>
          <cell r="H2487" t="str">
            <v>Maintenance Kit</v>
          </cell>
        </row>
        <row r="2488">
          <cell r="G2488" t="str">
            <v>AF3105</v>
          </cell>
          <cell r="H2488" t="str">
            <v>Flexible Panel Air Filter</v>
          </cell>
        </row>
        <row r="2489">
          <cell r="G2489" t="str">
            <v>AF402</v>
          </cell>
          <cell r="H2489" t="str">
            <v>Air Filter</v>
          </cell>
        </row>
        <row r="2490">
          <cell r="G2490" t="str">
            <v>CAF1861P</v>
          </cell>
          <cell r="H2490" t="str">
            <v>Cabin Air Filter</v>
          </cell>
        </row>
        <row r="2491">
          <cell r="G2491" t="str">
            <v>G2957</v>
          </cell>
          <cell r="H2491" t="str">
            <v>In-Line Fuel Filter</v>
          </cell>
        </row>
        <row r="2492">
          <cell r="G2492" t="str">
            <v>L5845F</v>
          </cell>
          <cell r="H2492" t="str">
            <v>Cartridge Fuel Filter</v>
          </cell>
        </row>
        <row r="2493">
          <cell r="G2493" t="str">
            <v>LAF1815</v>
          </cell>
          <cell r="H2493" t="str">
            <v>HD Metal-End Air Filter</v>
          </cell>
        </row>
        <row r="2494">
          <cell r="G2494" t="str">
            <v>LAF1857</v>
          </cell>
          <cell r="H2494" t="str">
            <v>Finned Vane Air Filter</v>
          </cell>
        </row>
        <row r="2495">
          <cell r="G2495" t="str">
            <v>LAF8731</v>
          </cell>
          <cell r="H2495" t="str">
            <v>Radial Seal Inner Air Filter</v>
          </cell>
        </row>
        <row r="2496">
          <cell r="G2496" t="str">
            <v>LFF8813</v>
          </cell>
          <cell r="H2496" t="str">
            <v>Spin-on Fuel Filter</v>
          </cell>
        </row>
        <row r="2497">
          <cell r="G2497" t="str">
            <v>LFH8596</v>
          </cell>
          <cell r="H2497" t="str">
            <v>Spin-on Hydraulic Filter</v>
          </cell>
        </row>
        <row r="2498">
          <cell r="G2498" t="str">
            <v>LFH8758</v>
          </cell>
          <cell r="H2498" t="str">
            <v>Spin-on Hydraulic Filter</v>
          </cell>
        </row>
        <row r="2499">
          <cell r="G2499" t="str">
            <v>LH22123</v>
          </cell>
          <cell r="H2499" t="str">
            <v>Industrial Cartridge Hydraulic Filter</v>
          </cell>
        </row>
        <row r="2500">
          <cell r="G2500" t="str">
            <v>LK298D</v>
          </cell>
          <cell r="H2500" t="str">
            <v>Detroit Diesel Engine Maintenance Kit</v>
          </cell>
        </row>
        <row r="2501">
          <cell r="G2501" t="str">
            <v>LP5912</v>
          </cell>
          <cell r="H2501" t="str">
            <v>Cartridge Oil Filter</v>
          </cell>
        </row>
        <row r="2502">
          <cell r="G2502" t="str">
            <v>LP8720</v>
          </cell>
          <cell r="H2502" t="str">
            <v>Cartridge Oil Filter</v>
          </cell>
        </row>
        <row r="2503">
          <cell r="G2503" t="str">
            <v>CAF1701</v>
          </cell>
          <cell r="H2503" t="str">
            <v>Cabin Air Filter</v>
          </cell>
        </row>
        <row r="2504">
          <cell r="G2504" t="str">
            <v>AF389</v>
          </cell>
          <cell r="H2504" t="str">
            <v>Flexible Media Air Filter</v>
          </cell>
        </row>
        <row r="2505">
          <cell r="G2505">
            <v>750</v>
          </cell>
          <cell r="H2505" t="str">
            <v>Cover w/1 Plug Hole, 750-C, CT, 3C</v>
          </cell>
        </row>
        <row r="2506">
          <cell r="G2506" t="str">
            <v>DRAIN</v>
          </cell>
          <cell r="H2506" t="str">
            <v>Drain Cock, Standard w/o Hose Nipple/500-B, C, 750-B, C</v>
          </cell>
        </row>
        <row r="2507">
          <cell r="G2507" t="str">
            <v>AF1111</v>
          </cell>
          <cell r="H2507" t="str">
            <v>Flexible Panel Air Filter</v>
          </cell>
        </row>
        <row r="2508">
          <cell r="G2508" t="str">
            <v>G6380</v>
          </cell>
          <cell r="H2508" t="str">
            <v>In-Line Fuel Filter</v>
          </cell>
        </row>
        <row r="2509">
          <cell r="G2509" t="str">
            <v>CAF1839P</v>
          </cell>
          <cell r="H2509" t="str">
            <v>Cabin Air Filter</v>
          </cell>
        </row>
        <row r="2510">
          <cell r="G2510" t="str">
            <v>AF4027</v>
          </cell>
          <cell r="H2510" t="str">
            <v>Rigid Panel Air Filter</v>
          </cell>
        </row>
        <row r="2511">
          <cell r="G2511" t="str">
            <v>PH2009</v>
          </cell>
          <cell r="H2511" t="str">
            <v>Spin-on Oil Filter</v>
          </cell>
        </row>
        <row r="2512">
          <cell r="G2512" t="str">
            <v>CAF1862P</v>
          </cell>
          <cell r="H2512" t="str">
            <v>Cabin Air Filter</v>
          </cell>
        </row>
        <row r="2513">
          <cell r="G2513" t="str">
            <v>CAF1880P</v>
          </cell>
          <cell r="H2513" t="str">
            <v>Cabin Air Filter</v>
          </cell>
        </row>
        <row r="2514">
          <cell r="G2514" t="str">
            <v>AF1688</v>
          </cell>
          <cell r="H2514" t="str">
            <v>Flexible Panel Air Filter</v>
          </cell>
        </row>
        <row r="2515">
          <cell r="G2515" t="str">
            <v>CAF1779</v>
          </cell>
          <cell r="H2515" t="str">
            <v>Cabin Air Filter</v>
          </cell>
        </row>
        <row r="2516">
          <cell r="G2516" t="str">
            <v>AF4897</v>
          </cell>
          <cell r="H2516" t="str">
            <v>Flexible Panel Air Filter</v>
          </cell>
        </row>
        <row r="2517">
          <cell r="G2517" t="str">
            <v>P838</v>
          </cell>
          <cell r="H2517" t="str">
            <v>Cartridge Oil Filter</v>
          </cell>
        </row>
        <row r="2518">
          <cell r="G2518" t="str">
            <v>AF4042</v>
          </cell>
          <cell r="H2518" t="str">
            <v>Panel Air Irregular Shaped Filter</v>
          </cell>
        </row>
        <row r="2519">
          <cell r="G2519" t="str">
            <v>AF7971</v>
          </cell>
          <cell r="H2519" t="str">
            <v>Flexible Panel Air Filter</v>
          </cell>
        </row>
        <row r="2520">
          <cell r="G2520" t="str">
            <v>CAF7792</v>
          </cell>
          <cell r="H2520" t="str">
            <v>Cabin Air Filter (Carbon)</v>
          </cell>
        </row>
        <row r="2521">
          <cell r="G2521" t="str">
            <v>CAF1877C</v>
          </cell>
          <cell r="H2521" t="str">
            <v>Cabin Air Filter (Carbon)</v>
          </cell>
        </row>
        <row r="2522">
          <cell r="G2522" t="str">
            <v>PC285</v>
          </cell>
          <cell r="H2522" t="str">
            <v>PCV Valve</v>
          </cell>
        </row>
        <row r="2523">
          <cell r="G2523" t="str">
            <v>AF4009</v>
          </cell>
          <cell r="H2523" t="str">
            <v>Rigid Panel Air Filter</v>
          </cell>
        </row>
        <row r="2524">
          <cell r="G2524" t="str">
            <v>P178</v>
          </cell>
          <cell r="H2524" t="str">
            <v>Cartridge Oil Filter</v>
          </cell>
        </row>
        <row r="2525">
          <cell r="G2525" t="str">
            <v>CAF1749</v>
          </cell>
          <cell r="H2525" t="str">
            <v>Cabin Air Filter</v>
          </cell>
        </row>
        <row r="2526">
          <cell r="G2526" t="str">
            <v>LFH4961</v>
          </cell>
          <cell r="H2526" t="str">
            <v>Spin-on Hydraulic Filter</v>
          </cell>
        </row>
        <row r="2527">
          <cell r="G2527" t="str">
            <v>CAF1824P</v>
          </cell>
          <cell r="H2527" t="str">
            <v>Cabin Air Filter</v>
          </cell>
        </row>
        <row r="2528">
          <cell r="G2528" t="str">
            <v>AF3906</v>
          </cell>
          <cell r="H2528" t="str">
            <v>Flexible Panel Air Filter</v>
          </cell>
        </row>
        <row r="2529">
          <cell r="G2529" t="str">
            <v>AF603</v>
          </cell>
          <cell r="H2529" t="str">
            <v>Oval Air Filter</v>
          </cell>
        </row>
        <row r="2530">
          <cell r="G2530" t="str">
            <v>AF7842</v>
          </cell>
          <cell r="H2530" t="str">
            <v>Rigid Panel Air Filter</v>
          </cell>
        </row>
        <row r="2531">
          <cell r="G2531" t="str">
            <v>LAF45</v>
          </cell>
          <cell r="H2531" t="str">
            <v>HD Metal-End Air Filter</v>
          </cell>
        </row>
        <row r="2532">
          <cell r="G2532" t="str">
            <v>LAF8625</v>
          </cell>
          <cell r="H2532" t="str">
            <v>Round Air Filter</v>
          </cell>
        </row>
        <row r="2533">
          <cell r="G2533" t="str">
            <v>LH4918</v>
          </cell>
          <cell r="H2533" t="str">
            <v>Cartridge Hydraulic Filter</v>
          </cell>
        </row>
        <row r="2534">
          <cell r="G2534" t="str">
            <v>CAF1944P</v>
          </cell>
          <cell r="H2534" t="str">
            <v>Cabin Air Filter</v>
          </cell>
        </row>
        <row r="2535">
          <cell r="G2535" t="str">
            <v>AF3927</v>
          </cell>
          <cell r="H2535" t="str">
            <v>Air Filter</v>
          </cell>
        </row>
        <row r="2536">
          <cell r="G2536" t="str">
            <v>G6340</v>
          </cell>
          <cell r="H2536" t="str">
            <v>In-Line Fuel Filter</v>
          </cell>
        </row>
        <row r="2537">
          <cell r="G2537" t="str">
            <v>LAF1802</v>
          </cell>
          <cell r="H2537" t="str">
            <v>Cone Shaped Conical Air Filter</v>
          </cell>
        </row>
        <row r="2538">
          <cell r="G2538" t="str">
            <v>LFF1005</v>
          </cell>
          <cell r="H2538" t="str">
            <v>Spin-on Fuel Filter</v>
          </cell>
        </row>
        <row r="2539">
          <cell r="G2539" t="str">
            <v>LH9403V</v>
          </cell>
          <cell r="H2539" t="str">
            <v>Industrial Cartridge Hydraulic Filter</v>
          </cell>
        </row>
        <row r="2540">
          <cell r="G2540" t="str">
            <v>CAF1841P</v>
          </cell>
          <cell r="H2540" t="str">
            <v>Cabin Air Filter</v>
          </cell>
        </row>
        <row r="2541">
          <cell r="G2541" t="str">
            <v>LAF46</v>
          </cell>
          <cell r="H2541" t="str">
            <v>Round Inner Air Filter with Flanged Endcap</v>
          </cell>
        </row>
        <row r="2542">
          <cell r="G2542" t="str">
            <v>LFH7551</v>
          </cell>
          <cell r="H2542" t="str">
            <v>Spin-on Hydraulic Filter</v>
          </cell>
        </row>
        <row r="2543">
          <cell r="G2543" t="str">
            <v>LAF8599</v>
          </cell>
          <cell r="H2543" t="str">
            <v>Round Air Filter</v>
          </cell>
        </row>
        <row r="2544">
          <cell r="G2544" t="str">
            <v>PC272</v>
          </cell>
          <cell r="H2544" t="str">
            <v>PCV Valve</v>
          </cell>
        </row>
        <row r="2545">
          <cell r="G2545" t="str">
            <v>AF7837</v>
          </cell>
          <cell r="H2545" t="str">
            <v>Rigid Panel Air Filter</v>
          </cell>
        </row>
        <row r="2546">
          <cell r="G2546" t="str">
            <v>AF8267</v>
          </cell>
          <cell r="H2546" t="str">
            <v>Flexible Panel Air Filter</v>
          </cell>
        </row>
        <row r="2547">
          <cell r="G2547" t="str">
            <v>CAF1744</v>
          </cell>
          <cell r="H2547" t="str">
            <v>Cabin Air Filter</v>
          </cell>
        </row>
        <row r="2548">
          <cell r="G2548" t="str">
            <v>LAF24</v>
          </cell>
          <cell r="H2548" t="str">
            <v>Tube Type Air Filter</v>
          </cell>
        </row>
        <row r="2549">
          <cell r="G2549" t="str">
            <v>LFH4951</v>
          </cell>
          <cell r="H2549" t="str">
            <v>Spin-on Hydraulic Filter</v>
          </cell>
        </row>
        <row r="2550">
          <cell r="G2550" t="str">
            <v>LP712</v>
          </cell>
          <cell r="H2550" t="str">
            <v>Cartridge Oil Filter</v>
          </cell>
        </row>
        <row r="2551">
          <cell r="G2551" t="str">
            <v>LH4264</v>
          </cell>
          <cell r="H2551" t="str">
            <v>Cartridge Hydraulic Filter</v>
          </cell>
        </row>
        <row r="2552">
          <cell r="G2552" t="str">
            <v>LAF8301</v>
          </cell>
          <cell r="H2552" t="str">
            <v>Disposible Housing Air Filter</v>
          </cell>
        </row>
        <row r="2553">
          <cell r="G2553" t="str">
            <v>LAF8619</v>
          </cell>
          <cell r="H2553" t="str">
            <v>Finned Vane Air Filter</v>
          </cell>
        </row>
        <row r="2554">
          <cell r="G2554" t="str">
            <v>AF74A</v>
          </cell>
          <cell r="H2554" t="str">
            <v>Round Air Filter</v>
          </cell>
        </row>
        <row r="2555">
          <cell r="G2555" t="str">
            <v>LAF5343</v>
          </cell>
          <cell r="H2555" t="str">
            <v>Panel Air Filter Metal Framed</v>
          </cell>
        </row>
        <row r="2556">
          <cell r="G2556" t="str">
            <v>LAF8039</v>
          </cell>
          <cell r="H2556" t="str">
            <v>HD Metal-End Air Filter with Attached Lid</v>
          </cell>
        </row>
        <row r="2557">
          <cell r="G2557" t="str">
            <v>LAF5298</v>
          </cell>
          <cell r="H2557" t="str">
            <v>Corrugated Media Air Filter</v>
          </cell>
        </row>
        <row r="2558">
          <cell r="G2558" t="str">
            <v>LAF8421</v>
          </cell>
          <cell r="H2558" t="str">
            <v>Oval Air Filter</v>
          </cell>
        </row>
        <row r="2559">
          <cell r="G2559" t="str">
            <v>L1168F</v>
          </cell>
          <cell r="H2559" t="str">
            <v>Cartridge Fuel Filter</v>
          </cell>
        </row>
        <row r="2560">
          <cell r="G2560" t="str">
            <v>LAF1887</v>
          </cell>
          <cell r="H2560" t="str">
            <v>HD Round Air Filter with Attached Boot</v>
          </cell>
        </row>
        <row r="2561">
          <cell r="G2561" t="str">
            <v>L8262F</v>
          </cell>
          <cell r="H2561" t="str">
            <v>Cartridge Fuel Filter</v>
          </cell>
        </row>
        <row r="2562">
          <cell r="G2562" t="str">
            <v>LAF1878MXM</v>
          </cell>
          <cell r="H2562" t="str">
            <v>Nano Tech HD Metal-End Air Filter Outer</v>
          </cell>
        </row>
        <row r="2563">
          <cell r="G2563" t="str">
            <v>LAF262</v>
          </cell>
          <cell r="H2563" t="str">
            <v>HD Metal-End Air Filter</v>
          </cell>
        </row>
        <row r="2564">
          <cell r="G2564" t="str">
            <v>LAF3657</v>
          </cell>
          <cell r="H2564" t="str">
            <v>HD Metal-End Inner Air Filter</v>
          </cell>
        </row>
        <row r="2565">
          <cell r="G2565" t="str">
            <v>AF7871</v>
          </cell>
          <cell r="H2565" t="str">
            <v>Flexible Panel Air Filter</v>
          </cell>
        </row>
        <row r="2566">
          <cell r="G2566" t="str">
            <v>LAF3233FR</v>
          </cell>
          <cell r="H2566" t="str">
            <v>Corrugated Media Air Filter</v>
          </cell>
        </row>
        <row r="2567">
          <cell r="G2567" t="str">
            <v>LAF8339</v>
          </cell>
          <cell r="H2567" t="str">
            <v>HD Metal-End Inner Air Filter</v>
          </cell>
        </row>
        <row r="2568">
          <cell r="G2568" t="str">
            <v>LAF2484</v>
          </cell>
          <cell r="H2568" t="str">
            <v>HD Metal-End Air Filter</v>
          </cell>
        </row>
        <row r="2569">
          <cell r="G2569" t="str">
            <v>LAF3902</v>
          </cell>
          <cell r="H2569" t="str">
            <v>Round Inner Air Filter with Flanged Endcap</v>
          </cell>
        </row>
        <row r="2570">
          <cell r="G2570" t="str">
            <v>LAF8617</v>
          </cell>
          <cell r="H2570" t="str">
            <v>HD Metal-End Air Filter</v>
          </cell>
        </row>
        <row r="2571">
          <cell r="G2571" t="str">
            <v>P7027</v>
          </cell>
          <cell r="H2571" t="str">
            <v>Cartridge Oil Filter</v>
          </cell>
        </row>
        <row r="2572">
          <cell r="G2572" t="str">
            <v>LAF1777</v>
          </cell>
          <cell r="H2572" t="str">
            <v>Round Inner Air Filter</v>
          </cell>
        </row>
        <row r="2573">
          <cell r="G2573" t="str">
            <v>LAF1955</v>
          </cell>
          <cell r="H2573" t="str">
            <v>HD Metal-End Air Filter</v>
          </cell>
        </row>
        <row r="2574">
          <cell r="G2574" t="str">
            <v>LAF3953</v>
          </cell>
          <cell r="H2574" t="str">
            <v>HD Metal-End Air Filter</v>
          </cell>
        </row>
        <row r="2575">
          <cell r="G2575" t="str">
            <v>LAF4312</v>
          </cell>
          <cell r="H2575" t="str">
            <v>HD Metal-End Air Filter with Attached Lid</v>
          </cell>
        </row>
        <row r="2576">
          <cell r="G2576" t="str">
            <v>LAF8354</v>
          </cell>
          <cell r="H2576" t="str">
            <v>HD Metal-End Air Filter-Inner</v>
          </cell>
        </row>
        <row r="2577">
          <cell r="G2577" t="str">
            <v>LK3M</v>
          </cell>
          <cell r="H2577" t="str">
            <v>Mack Engine Maintenance Kit</v>
          </cell>
        </row>
        <row r="2578">
          <cell r="G2578" t="str">
            <v>LP92HD</v>
          </cell>
          <cell r="H2578" t="str">
            <v>Cartridge Oil Filter</v>
          </cell>
        </row>
        <row r="2579">
          <cell r="G2579" t="str">
            <v>CAF1828P</v>
          </cell>
          <cell r="H2579" t="str">
            <v>Cabin Air Filter</v>
          </cell>
        </row>
        <row r="2580">
          <cell r="G2580" t="str">
            <v>LAF1749</v>
          </cell>
          <cell r="H2580" t="str">
            <v>HD Metal-End Air Filter</v>
          </cell>
        </row>
        <row r="2581">
          <cell r="G2581" t="str">
            <v>LAF22049</v>
          </cell>
          <cell r="H2581" t="str">
            <v>Oval Air Filter</v>
          </cell>
        </row>
        <row r="2582">
          <cell r="G2582" t="str">
            <v>LAF3119</v>
          </cell>
          <cell r="H2582" t="str">
            <v>HD Metal-End Air Filter</v>
          </cell>
        </row>
        <row r="2583">
          <cell r="G2583" t="str">
            <v>LAF3402</v>
          </cell>
          <cell r="H2583" t="str">
            <v>HD Metal-End Air Filter</v>
          </cell>
        </row>
        <row r="2584">
          <cell r="G2584" t="str">
            <v>LAF8238</v>
          </cell>
          <cell r="H2584" t="str">
            <v>HD Metal-End Inner Air Filter</v>
          </cell>
        </row>
        <row r="2585">
          <cell r="G2585" t="str">
            <v>LAF8802</v>
          </cell>
          <cell r="H2585" t="str">
            <v>Finned Vane Air Filter With Attached Lid</v>
          </cell>
        </row>
        <row r="2586">
          <cell r="G2586" t="str">
            <v>G6633</v>
          </cell>
          <cell r="H2586" t="str">
            <v>In-Line Fuel Filter</v>
          </cell>
        </row>
        <row r="2587">
          <cell r="G2587" t="str">
            <v>L899BSP</v>
          </cell>
          <cell r="H2587" t="str">
            <v>Racor INRK-21057; Glass bowl w/Sensor used on LFF5824B and LF3579.</v>
          </cell>
        </row>
        <row r="2588">
          <cell r="G2588" t="str">
            <v>LAF1729</v>
          </cell>
          <cell r="H2588" t="str">
            <v>HD Metal-End Air Filter</v>
          </cell>
        </row>
        <row r="2589">
          <cell r="G2589" t="str">
            <v>LAF1773</v>
          </cell>
          <cell r="H2589" t="str">
            <v>HD Metal-End Air Filter</v>
          </cell>
        </row>
        <row r="2590">
          <cell r="G2590" t="str">
            <v>LAF1953MXM</v>
          </cell>
          <cell r="H2590" t="str">
            <v>Nano Tech HD Metal-End Air Filter Outer</v>
          </cell>
        </row>
        <row r="2591">
          <cell r="G2591" t="str">
            <v>LAF2736</v>
          </cell>
          <cell r="H2591" t="str">
            <v>HD Metal-End Inner Air Filter</v>
          </cell>
        </row>
        <row r="2592">
          <cell r="G2592" t="str">
            <v>LAF2753</v>
          </cell>
          <cell r="H2592" t="str">
            <v>Oval Air Filter</v>
          </cell>
        </row>
        <row r="2593">
          <cell r="G2593" t="str">
            <v>LAF41</v>
          </cell>
          <cell r="H2593" t="str">
            <v>HD Metal-End Air Filter</v>
          </cell>
        </row>
        <row r="2594">
          <cell r="G2594" t="str">
            <v>LAF4162</v>
          </cell>
          <cell r="H2594" t="str">
            <v>Disposible Housing Air Filter</v>
          </cell>
        </row>
        <row r="2595">
          <cell r="G2595" t="str">
            <v>LAF5785</v>
          </cell>
          <cell r="H2595" t="str">
            <v>HD Round Finned Air Filter with Attached Lid</v>
          </cell>
        </row>
        <row r="2596">
          <cell r="G2596" t="str">
            <v>LAF8429</v>
          </cell>
          <cell r="H2596" t="str">
            <v>Flexible Panel Air Filter</v>
          </cell>
        </row>
        <row r="2597">
          <cell r="G2597" t="str">
            <v>LAF8829</v>
          </cell>
          <cell r="H2597" t="str">
            <v>HD Round Finned Air Filter with Attached Lid</v>
          </cell>
        </row>
        <row r="2598">
          <cell r="G2598" t="str">
            <v>LP155</v>
          </cell>
          <cell r="H2598" t="str">
            <v>Cartridge Oil Filter</v>
          </cell>
        </row>
        <row r="2599">
          <cell r="G2599" t="str">
            <v>LP4458</v>
          </cell>
          <cell r="H2599" t="str">
            <v>Cartridge Hydraulic Filter</v>
          </cell>
        </row>
        <row r="2600">
          <cell r="G2600" t="str">
            <v>T544</v>
          </cell>
          <cell r="H2600" t="str">
            <v>Transmission Filter Kit</v>
          </cell>
        </row>
        <row r="2601">
          <cell r="G2601" t="str">
            <v>P119</v>
          </cell>
          <cell r="H2601" t="str">
            <v>Cartridge Oil Filter</v>
          </cell>
        </row>
        <row r="2602">
          <cell r="G2602">
            <v>700</v>
          </cell>
          <cell r="H2602" t="str">
            <v>Oliver K-5507, M-5507, 1K-5507, 1M-5507, 100125A; Oliver, Waukesha</v>
          </cell>
        </row>
        <row r="2603">
          <cell r="G2603">
            <v>500</v>
          </cell>
          <cell r="H2603" t="str">
            <v>Cover w/3 Plug Holes for Horizontal Mount/500-C</v>
          </cell>
        </row>
        <row r="2604">
          <cell r="G2604">
            <v>750</v>
          </cell>
          <cell r="H2604" t="str">
            <v>Cover w/3 Plug Holes for Horizontal Mount/750-C</v>
          </cell>
        </row>
        <row r="2605">
          <cell r="G2605" t="str">
            <v>LFH8417G</v>
          </cell>
          <cell r="H2605" t="str">
            <v>Spin-on Hydraulic Filter</v>
          </cell>
        </row>
        <row r="2606">
          <cell r="G2606" t="str">
            <v>G6394</v>
          </cell>
          <cell r="H2606" t="str">
            <v>In-Line Fuel Filter</v>
          </cell>
        </row>
        <row r="2607">
          <cell r="G2607" t="str">
            <v>LFH5721</v>
          </cell>
          <cell r="H2607" t="str">
            <v>Spin-on Hydraulic Filter</v>
          </cell>
        </row>
        <row r="2608">
          <cell r="G2608" t="str">
            <v>AF4033</v>
          </cell>
          <cell r="H2608" t="str">
            <v>Rigid Panel Air Filter</v>
          </cell>
        </row>
        <row r="2609">
          <cell r="G2609" t="str">
            <v>AF7999</v>
          </cell>
          <cell r="H2609" t="str">
            <v>Flexible Panel Air Filter</v>
          </cell>
        </row>
        <row r="2610">
          <cell r="G2610" t="str">
            <v>LFP5925</v>
          </cell>
          <cell r="H2610" t="str">
            <v>Spin-on Oil Filter</v>
          </cell>
        </row>
        <row r="2611">
          <cell r="G2611" t="str">
            <v>AF4028</v>
          </cell>
          <cell r="H2611" t="str">
            <v>Rigid Panel Air Filter</v>
          </cell>
        </row>
        <row r="2612">
          <cell r="G2612" t="str">
            <v>AF7911</v>
          </cell>
          <cell r="H2612" t="str">
            <v>Rigid Panel Air Filter</v>
          </cell>
        </row>
        <row r="2613">
          <cell r="G2613" t="str">
            <v>PC217</v>
          </cell>
          <cell r="H2613" t="str">
            <v>PCV Valve</v>
          </cell>
        </row>
        <row r="2614">
          <cell r="G2614" t="str">
            <v>CAF1708</v>
          </cell>
          <cell r="H2614" t="str">
            <v>Cabin Air Filter</v>
          </cell>
        </row>
        <row r="2615">
          <cell r="G2615" t="str">
            <v>AF3965</v>
          </cell>
          <cell r="H2615" t="str">
            <v>Panel Air Irregular Shaped Filter</v>
          </cell>
        </row>
        <row r="2616">
          <cell r="G2616" t="str">
            <v>AF411</v>
          </cell>
          <cell r="H2616" t="str">
            <v>Round Air Filter</v>
          </cell>
        </row>
        <row r="2617">
          <cell r="G2617" t="str">
            <v>LAF1818</v>
          </cell>
          <cell r="H2617" t="str">
            <v>HD Round Air Filter with Attached Boot</v>
          </cell>
        </row>
        <row r="2618">
          <cell r="G2618" t="str">
            <v>PH2992</v>
          </cell>
          <cell r="H2618" t="str">
            <v>Spin-on Oil Filter</v>
          </cell>
        </row>
        <row r="2619">
          <cell r="G2619" t="str">
            <v>CAF1789</v>
          </cell>
          <cell r="H2619" t="str">
            <v>Cabin Air Filter</v>
          </cell>
        </row>
        <row r="2620">
          <cell r="G2620" t="str">
            <v>L5944F</v>
          </cell>
          <cell r="H2620" t="str">
            <v>Cartridge Fuel Filter</v>
          </cell>
        </row>
        <row r="2621">
          <cell r="G2621" t="str">
            <v>LAF9086MXM</v>
          </cell>
          <cell r="H2621" t="str">
            <v xml:space="preserve">Nano Tech Air Filter HD Metal-End </v>
          </cell>
        </row>
        <row r="2622">
          <cell r="G2622" t="str">
            <v>LAF5518</v>
          </cell>
          <cell r="H2622" t="str">
            <v>HD Round Air Filter with Attached Boot</v>
          </cell>
        </row>
        <row r="2623">
          <cell r="G2623" t="str">
            <v>CAF7796</v>
          </cell>
          <cell r="H2623" t="str">
            <v>Cabin Air Filter (Carbon)</v>
          </cell>
        </row>
        <row r="2624">
          <cell r="G2624" t="str">
            <v>LP2214</v>
          </cell>
          <cell r="H2624" t="str">
            <v>Cartridge Oil Filter</v>
          </cell>
        </row>
        <row r="2625">
          <cell r="G2625" t="str">
            <v>LAF5526</v>
          </cell>
          <cell r="H2625" t="str">
            <v>HD Metal-End Inner Air Filter</v>
          </cell>
        </row>
        <row r="2626">
          <cell r="G2626" t="str">
            <v>AF5699</v>
          </cell>
          <cell r="H2626" t="str">
            <v>Air Filter</v>
          </cell>
        </row>
        <row r="2627">
          <cell r="G2627" t="str">
            <v>P106</v>
          </cell>
          <cell r="H2627" t="str">
            <v>Cartridge Oil Filter</v>
          </cell>
        </row>
        <row r="2628">
          <cell r="G2628" t="str">
            <v>P830</v>
          </cell>
          <cell r="H2628" t="str">
            <v>Cartridge Oil Filter</v>
          </cell>
        </row>
        <row r="2629">
          <cell r="G2629" t="str">
            <v>LH5181V</v>
          </cell>
          <cell r="H2629" t="str">
            <v>Industrial Cartridge Hydraulic Filter</v>
          </cell>
        </row>
        <row r="2630">
          <cell r="G2630" t="str">
            <v>AF7997</v>
          </cell>
          <cell r="H2630" t="str">
            <v>Flexible Panel Air Filter</v>
          </cell>
        </row>
        <row r="2631">
          <cell r="G2631" t="str">
            <v>CAF1829P</v>
          </cell>
          <cell r="H2631" t="str">
            <v>Cabin Air Filter</v>
          </cell>
        </row>
        <row r="2632">
          <cell r="G2632" t="str">
            <v>LAF8767</v>
          </cell>
          <cell r="H2632" t="str">
            <v>HD Round Air Filter with Attached Boot</v>
          </cell>
        </row>
        <row r="2633">
          <cell r="G2633" t="str">
            <v>LAF1136</v>
          </cell>
          <cell r="H2633" t="str">
            <v>Round Inner Air Filter</v>
          </cell>
        </row>
        <row r="2634">
          <cell r="G2634" t="str">
            <v>P935</v>
          </cell>
          <cell r="H2634" t="str">
            <v>Cartridge Oil Filter</v>
          </cell>
        </row>
        <row r="2635">
          <cell r="G2635" t="str">
            <v>LAF8663</v>
          </cell>
          <cell r="H2635" t="str">
            <v>HD Metal-End Inner Air Filter</v>
          </cell>
        </row>
        <row r="2636">
          <cell r="G2636" t="str">
            <v>CAF1821P</v>
          </cell>
          <cell r="H2636" t="str">
            <v>Cabin Air Filter</v>
          </cell>
        </row>
        <row r="2637">
          <cell r="G2637" t="str">
            <v>PC190</v>
          </cell>
          <cell r="H2637" t="str">
            <v>PCV Valve</v>
          </cell>
        </row>
        <row r="2638">
          <cell r="G2638" t="str">
            <v>LAF3865</v>
          </cell>
          <cell r="H2638" t="str">
            <v>Radial Seal Inner Air Filter</v>
          </cell>
        </row>
        <row r="2639">
          <cell r="G2639" t="str">
            <v>LAF1806</v>
          </cell>
          <cell r="H2639" t="str">
            <v>Metal-End Air Filter with Closed Top End Cap</v>
          </cell>
        </row>
        <row r="2640">
          <cell r="G2640" t="str">
            <v>LAF3702</v>
          </cell>
          <cell r="H2640" t="str">
            <v>HD Round Air Filter with Attached Lid</v>
          </cell>
        </row>
        <row r="2641">
          <cell r="G2641" t="str">
            <v>LAF9541</v>
          </cell>
          <cell r="H2641" t="str">
            <v>Disposible Housing Air Filter</v>
          </cell>
        </row>
        <row r="2642">
          <cell r="G2642" t="str">
            <v>CAF7742</v>
          </cell>
          <cell r="H2642" t="str">
            <v>Cabin Air Filter (Carbon)</v>
          </cell>
        </row>
        <row r="2643">
          <cell r="G2643" t="str">
            <v>LH11024V</v>
          </cell>
          <cell r="H2643" t="str">
            <v>Industrial Cartridge Hydraulic Filter</v>
          </cell>
        </row>
        <row r="2644">
          <cell r="G2644" t="str">
            <v>LAF1481</v>
          </cell>
          <cell r="H2644" t="str">
            <v>HD Metal-End Air Filter</v>
          </cell>
        </row>
        <row r="2645">
          <cell r="G2645" t="str">
            <v>LAF22024</v>
          </cell>
          <cell r="H2645" t="str">
            <v>Oval Air Filter</v>
          </cell>
        </row>
        <row r="2646">
          <cell r="G2646" t="str">
            <v>LAF5799</v>
          </cell>
          <cell r="H2646" t="str">
            <v>Flexible Panel Air Filter</v>
          </cell>
        </row>
        <row r="2647">
          <cell r="G2647" t="str">
            <v>LK253M</v>
          </cell>
          <cell r="H2647" t="str">
            <v>Mack Engine Maintenance Kit</v>
          </cell>
        </row>
        <row r="2648">
          <cell r="G2648" t="str">
            <v>CAF1793</v>
          </cell>
          <cell r="H2648" t="str">
            <v>Cabin Air Filter</v>
          </cell>
        </row>
        <row r="2649">
          <cell r="G2649" t="str">
            <v>CAF1808P</v>
          </cell>
          <cell r="H2649" t="str">
            <v>Cabin Air Filter</v>
          </cell>
        </row>
        <row r="2650">
          <cell r="G2650" t="str">
            <v>LP2302</v>
          </cell>
          <cell r="H2650" t="str">
            <v>Cartridge Hydraulic Filter</v>
          </cell>
        </row>
        <row r="2651">
          <cell r="G2651" t="str">
            <v>PC420</v>
          </cell>
          <cell r="H2651" t="str">
            <v>PCV Valve</v>
          </cell>
        </row>
        <row r="2652">
          <cell r="G2652" t="str">
            <v>PC775</v>
          </cell>
          <cell r="H2652" t="str">
            <v>PCV Valve</v>
          </cell>
        </row>
        <row r="2653">
          <cell r="G2653" t="str">
            <v>LFH4472</v>
          </cell>
          <cell r="H2653" t="str">
            <v>Spin-on Hydraulic Filter</v>
          </cell>
        </row>
        <row r="2654">
          <cell r="G2654" t="str">
            <v>LFP5853</v>
          </cell>
          <cell r="H2654" t="str">
            <v>Spin-on Oil Filter</v>
          </cell>
        </row>
        <row r="2655">
          <cell r="G2655" t="str">
            <v>CAF1746</v>
          </cell>
          <cell r="H2655" t="str">
            <v>Cabin Air Filter</v>
          </cell>
        </row>
        <row r="2656">
          <cell r="G2656" t="str">
            <v>G2977</v>
          </cell>
          <cell r="H2656" t="str">
            <v>In-Line Fuel Filter</v>
          </cell>
        </row>
        <row r="2657">
          <cell r="G2657" t="str">
            <v>LAF8363</v>
          </cell>
          <cell r="H2657" t="str">
            <v>Panel Air Filter Metal Framed</v>
          </cell>
        </row>
        <row r="2658">
          <cell r="G2658" t="str">
            <v>LAF9237</v>
          </cell>
          <cell r="H2658" t="str">
            <v>HD Metal-End Air Filter with Attached Lid</v>
          </cell>
        </row>
        <row r="2659">
          <cell r="G2659" t="str">
            <v>LFP2270</v>
          </cell>
          <cell r="H2659" t="str">
            <v>Spin-on Oil Filter</v>
          </cell>
        </row>
        <row r="2660">
          <cell r="G2660" t="str">
            <v>LFP8230</v>
          </cell>
          <cell r="H2660" t="str">
            <v>Spin-on Oil Filter</v>
          </cell>
        </row>
        <row r="2661">
          <cell r="G2661" t="str">
            <v>AF1445</v>
          </cell>
          <cell r="H2661" t="str">
            <v>Tube Type Air Filter</v>
          </cell>
        </row>
        <row r="2662">
          <cell r="G2662" t="str">
            <v>CAF1732</v>
          </cell>
          <cell r="H2662" t="str">
            <v>Cabin Air Filter</v>
          </cell>
        </row>
        <row r="2663">
          <cell r="G2663" t="str">
            <v>CAF1836P</v>
          </cell>
          <cell r="H2663" t="str">
            <v>Cabin Air Filter</v>
          </cell>
        </row>
        <row r="2664">
          <cell r="G2664" t="str">
            <v>LAF1212</v>
          </cell>
          <cell r="H2664" t="str">
            <v>Tube Type Air Filter</v>
          </cell>
        </row>
        <row r="2665">
          <cell r="G2665" t="str">
            <v>LAF1767</v>
          </cell>
          <cell r="H2665" t="str">
            <v>HD Metal-End Inner Air Filter</v>
          </cell>
        </row>
        <row r="2666">
          <cell r="G2666" t="str">
            <v>LAF8878</v>
          </cell>
          <cell r="H2666" t="str">
            <v>Radial Seal Outer Air Filter</v>
          </cell>
        </row>
        <row r="2667">
          <cell r="G2667" t="str">
            <v>LAF9297</v>
          </cell>
          <cell r="H2667" t="str">
            <v>Metal-End Air Filter with Closed Top End Cap</v>
          </cell>
        </row>
        <row r="2668">
          <cell r="G2668" t="str">
            <v>LFP55</v>
          </cell>
          <cell r="H2668" t="str">
            <v>Spin-on Oil Filter</v>
          </cell>
        </row>
        <row r="2669">
          <cell r="G2669" t="str">
            <v>LH5003</v>
          </cell>
          <cell r="H2669" t="str">
            <v>Cartridge Hydraulic Filter</v>
          </cell>
        </row>
        <row r="2670">
          <cell r="G2670" t="str">
            <v>LP8993</v>
          </cell>
          <cell r="H2670" t="str">
            <v>Cartridge Oil Filter</v>
          </cell>
        </row>
        <row r="2671">
          <cell r="G2671" t="str">
            <v>T878</v>
          </cell>
          <cell r="H2671" t="str">
            <v>Transmission Filter Kit</v>
          </cell>
        </row>
        <row r="2672">
          <cell r="G2672" t="str">
            <v>G472</v>
          </cell>
          <cell r="H2672" t="str">
            <v>In-Line Fuel Filter</v>
          </cell>
        </row>
        <row r="2673">
          <cell r="G2673" t="str">
            <v>LAF2183A</v>
          </cell>
          <cell r="H2673" t="str">
            <v>HD Metal-End Air Filter</v>
          </cell>
        </row>
        <row r="2674">
          <cell r="G2674" t="str">
            <v>LAF22090</v>
          </cell>
          <cell r="H2674" t="str">
            <v>HD Metal-End Air Filter</v>
          </cell>
        </row>
        <row r="2675">
          <cell r="G2675" t="str">
            <v>LAF2517</v>
          </cell>
          <cell r="H2675" t="str">
            <v>Round Inner Air Filter</v>
          </cell>
        </row>
        <row r="2676">
          <cell r="G2676" t="str">
            <v>LAF264</v>
          </cell>
          <cell r="H2676" t="str">
            <v>HD Metal-End Air Filter</v>
          </cell>
        </row>
        <row r="2677">
          <cell r="G2677" t="str">
            <v>LAF268</v>
          </cell>
          <cell r="H2677" t="str">
            <v>HD Metal-End Air Filter</v>
          </cell>
        </row>
        <row r="2678">
          <cell r="G2678" t="str">
            <v>LAF4445</v>
          </cell>
          <cell r="H2678" t="str">
            <v>HD Metal-End Air Filter with Attached Lid</v>
          </cell>
        </row>
        <row r="2679">
          <cell r="G2679" t="str">
            <v>LAF6769MXM</v>
          </cell>
          <cell r="H2679" t="str">
            <v xml:space="preserve">Nano Tech Air Filter HD Metal-End </v>
          </cell>
        </row>
        <row r="2680">
          <cell r="G2680" t="str">
            <v>LAF8560</v>
          </cell>
          <cell r="H2680" t="str">
            <v>HD Metal-End Air Filter-Inner</v>
          </cell>
        </row>
        <row r="2681">
          <cell r="G2681" t="str">
            <v>LK182C</v>
          </cell>
          <cell r="H2681" t="str">
            <v>Cummins Engine Maintenance Kit</v>
          </cell>
        </row>
        <row r="2682">
          <cell r="G2682" t="str">
            <v>LP38</v>
          </cell>
          <cell r="H2682" t="str">
            <v>Cartridge Oil Filter</v>
          </cell>
        </row>
        <row r="2683">
          <cell r="G2683" t="str">
            <v>AF1097</v>
          </cell>
          <cell r="H2683" t="str">
            <v>Flexible Panel Air Filter</v>
          </cell>
        </row>
        <row r="2684">
          <cell r="G2684" t="str">
            <v>AF16</v>
          </cell>
          <cell r="H2684" t="str">
            <v>Foam Pad</v>
          </cell>
        </row>
        <row r="2685">
          <cell r="G2685" t="str">
            <v>AF812</v>
          </cell>
          <cell r="H2685" t="str">
            <v>Round Air Filter</v>
          </cell>
        </row>
        <row r="2686">
          <cell r="G2686" t="str">
            <v>CAF7798</v>
          </cell>
          <cell r="H2686" t="str">
            <v>Cabin Air Filter (Carbon)</v>
          </cell>
        </row>
        <row r="2687">
          <cell r="G2687" t="str">
            <v>G2930</v>
          </cell>
          <cell r="H2687" t="str">
            <v>Fuel Filter</v>
          </cell>
        </row>
        <row r="2688">
          <cell r="G2688" t="str">
            <v>G6347</v>
          </cell>
          <cell r="H2688" t="str">
            <v>Fuel Filter</v>
          </cell>
        </row>
        <row r="2689">
          <cell r="G2689" t="str">
            <v>G7</v>
          </cell>
          <cell r="H2689" t="str">
            <v>In-Line Fuel Filter</v>
          </cell>
        </row>
        <row r="2690">
          <cell r="G2690" t="str">
            <v>L1148F</v>
          </cell>
          <cell r="H2690" t="str">
            <v>Fuel Water Seperator Element Filter</v>
          </cell>
        </row>
        <row r="2691">
          <cell r="G2691" t="str">
            <v>L3563F</v>
          </cell>
          <cell r="H2691" t="str">
            <v>Cartridge Fuel Filter</v>
          </cell>
        </row>
        <row r="2692">
          <cell r="G2692" t="str">
            <v>LAF1865</v>
          </cell>
          <cell r="H2692" t="str">
            <v>HD Metal-End Air Filter</v>
          </cell>
        </row>
        <row r="2693">
          <cell r="G2693" t="str">
            <v>LAF1905</v>
          </cell>
          <cell r="H2693" t="str">
            <v>HD Metal-End Air Filter</v>
          </cell>
        </row>
        <row r="2694">
          <cell r="G2694" t="str">
            <v>LAF1996</v>
          </cell>
          <cell r="H2694" t="str">
            <v>HD Metal-End Inner Air Filter</v>
          </cell>
        </row>
        <row r="2695">
          <cell r="G2695" t="str">
            <v>LAF221</v>
          </cell>
          <cell r="H2695" t="str">
            <v>Round Air Filter</v>
          </cell>
        </row>
        <row r="2696">
          <cell r="G2696" t="str">
            <v>LAF5863</v>
          </cell>
          <cell r="H2696" t="str">
            <v>HD Metal-End Air Filter with Attached Lid</v>
          </cell>
        </row>
        <row r="2697">
          <cell r="G2697" t="str">
            <v>LAF8633</v>
          </cell>
          <cell r="H2697" t="str">
            <v>HD Metal-End Air Filter</v>
          </cell>
        </row>
        <row r="2698">
          <cell r="G2698" t="str">
            <v>LFF12D</v>
          </cell>
          <cell r="H2698" t="str">
            <v>Fuel Dispensing Filter</v>
          </cell>
        </row>
        <row r="2699">
          <cell r="G2699" t="str">
            <v>LFH1701</v>
          </cell>
          <cell r="H2699" t="str">
            <v>Spin-on Hydraulic Filter</v>
          </cell>
        </row>
        <row r="2700">
          <cell r="G2700" t="str">
            <v>LH11006V</v>
          </cell>
          <cell r="H2700" t="str">
            <v>Industrial Cartridge Hydraulic Filter</v>
          </cell>
        </row>
        <row r="2701">
          <cell r="G2701" t="str">
            <v>LH11011V</v>
          </cell>
          <cell r="H2701" t="str">
            <v>Industrial Cartridge Hydraulic Filter</v>
          </cell>
        </row>
        <row r="2702">
          <cell r="G2702" t="str">
            <v>LH4250</v>
          </cell>
          <cell r="H2702" t="str">
            <v>Cartridge Hydraulic Filter</v>
          </cell>
        </row>
        <row r="2703">
          <cell r="G2703" t="str">
            <v>LH5751</v>
          </cell>
          <cell r="H2703" t="str">
            <v>Cartridge Hydraulic Filter</v>
          </cell>
        </row>
        <row r="2704">
          <cell r="G2704" t="str">
            <v>LH95305V</v>
          </cell>
          <cell r="H2704" t="str">
            <v>Cartridge Hydraulic Filter</v>
          </cell>
        </row>
        <row r="2705">
          <cell r="G2705" t="str">
            <v>LK228C</v>
          </cell>
          <cell r="H2705" t="str">
            <v>Cummins Engine Maintenance Kit</v>
          </cell>
        </row>
        <row r="2706">
          <cell r="G2706" t="str">
            <v>LK345CA</v>
          </cell>
          <cell r="H2706" t="str">
            <v>Caterpillar Engine Maintenance Kit</v>
          </cell>
        </row>
        <row r="2707">
          <cell r="G2707" t="str">
            <v>LK56CA</v>
          </cell>
          <cell r="H2707" t="str">
            <v>Caterpillar Engine Maintenance Kit</v>
          </cell>
        </row>
        <row r="2708">
          <cell r="G2708" t="str">
            <v>LP2272</v>
          </cell>
          <cell r="H2708" t="str">
            <v>Cartridge Oil Filter</v>
          </cell>
        </row>
        <row r="2709">
          <cell r="G2709" t="str">
            <v>LFF4102D</v>
          </cell>
          <cell r="H2709" t="str">
            <v>Spin-on Fuel Filter</v>
          </cell>
        </row>
        <row r="2710">
          <cell r="G2710" t="str">
            <v>LAF8689</v>
          </cell>
          <cell r="H2710" t="str">
            <v>Radial Seal Inner Air Filter</v>
          </cell>
        </row>
        <row r="2711">
          <cell r="G2711" t="str">
            <v>LAF8658</v>
          </cell>
          <cell r="H2711" t="str">
            <v>HD Metal-End Air Filter</v>
          </cell>
        </row>
        <row r="2712">
          <cell r="G2712" t="str">
            <v>P819</v>
          </cell>
          <cell r="H2712" t="str">
            <v>Cartridge Oil Filter</v>
          </cell>
        </row>
        <row r="2713">
          <cell r="G2713">
            <v>500</v>
          </cell>
          <cell r="H2713" t="str">
            <v>Luber-finer 500 Series refining pak (standard), recommended for filtering non-detergent, straight mineral oil, synthetic oils, hydraulic fluids, fuel oils, etc.</v>
          </cell>
        </row>
        <row r="2714">
          <cell r="G2714" t="str">
            <v>750-C</v>
          </cell>
          <cell r="H2714" t="str">
            <v>Refining Unit For Fuel Filtration w/Filter Pack/750-C, CT</v>
          </cell>
        </row>
        <row r="2715">
          <cell r="G2715" t="str">
            <v>BAGGED</v>
          </cell>
          <cell r="H2715" t="str">
            <v>No. 4 Orifice Opening size is .062 ; Flow rate is .6 GPM</v>
          </cell>
        </row>
        <row r="2716">
          <cell r="G2716" t="str">
            <v>LAF8820</v>
          </cell>
          <cell r="H2716" t="str">
            <v>Round Air Filter</v>
          </cell>
        </row>
        <row r="2717">
          <cell r="G2717" t="str">
            <v>PH8935</v>
          </cell>
          <cell r="H2717" t="str">
            <v>Spin-on Oil Filter</v>
          </cell>
        </row>
        <row r="2718">
          <cell r="G2718" t="str">
            <v>CAF1757</v>
          </cell>
          <cell r="H2718" t="str">
            <v>Cabin Air Filter</v>
          </cell>
        </row>
        <row r="2719">
          <cell r="G2719" t="str">
            <v>AF9098</v>
          </cell>
          <cell r="H2719" t="str">
            <v>Radial Seal Outer Air Filter</v>
          </cell>
        </row>
        <row r="2720">
          <cell r="G2720" t="str">
            <v>AF1279</v>
          </cell>
          <cell r="H2720" t="str">
            <v>Flexible Panel Air Filter</v>
          </cell>
        </row>
        <row r="2721">
          <cell r="G2721" t="str">
            <v>AF7892</v>
          </cell>
          <cell r="H2721" t="str">
            <v>Rigid Panel Air Filter</v>
          </cell>
        </row>
        <row r="2722">
          <cell r="G2722" t="str">
            <v>AF7998</v>
          </cell>
          <cell r="H2722" t="str">
            <v>Rigid Panel Air Filter</v>
          </cell>
        </row>
        <row r="2723">
          <cell r="G2723" t="str">
            <v>AF331</v>
          </cell>
          <cell r="H2723" t="str">
            <v>Round Air Filter</v>
          </cell>
        </row>
        <row r="2724">
          <cell r="G2724" t="str">
            <v>AF7919</v>
          </cell>
          <cell r="H2724" t="str">
            <v>Rigid Panel Air Filter</v>
          </cell>
        </row>
        <row r="2725">
          <cell r="G2725" t="str">
            <v>LP2277</v>
          </cell>
          <cell r="H2725" t="str">
            <v>Cartridge Oil Filter</v>
          </cell>
        </row>
        <row r="2726">
          <cell r="G2726" t="str">
            <v>PC434</v>
          </cell>
          <cell r="H2726" t="str">
            <v>PCV Valve</v>
          </cell>
        </row>
        <row r="2727">
          <cell r="G2727" t="str">
            <v>AF7982</v>
          </cell>
          <cell r="H2727" t="str">
            <v>Rigid Panel Air Filter</v>
          </cell>
        </row>
        <row r="2728">
          <cell r="G2728" t="str">
            <v>G6511</v>
          </cell>
          <cell r="H2728" t="str">
            <v>In-Line Fuel Filter</v>
          </cell>
        </row>
        <row r="2729">
          <cell r="G2729" t="str">
            <v>AF3998</v>
          </cell>
          <cell r="H2729" t="str">
            <v>Panel Air Irregular Shaped Filter</v>
          </cell>
        </row>
        <row r="2730">
          <cell r="G2730" t="str">
            <v>AF7920</v>
          </cell>
          <cell r="H2730" t="str">
            <v>Rigid Panel Air Filter</v>
          </cell>
        </row>
        <row r="2731">
          <cell r="G2731" t="str">
            <v>CAF1801P</v>
          </cell>
          <cell r="H2731" t="str">
            <v>Cabin Air Filter</v>
          </cell>
        </row>
        <row r="2732">
          <cell r="G2732" t="str">
            <v>AF2780</v>
          </cell>
          <cell r="H2732" t="str">
            <v>Flexible Panel Air Filter</v>
          </cell>
        </row>
        <row r="2733">
          <cell r="G2733" t="str">
            <v>AF7985</v>
          </cell>
          <cell r="H2733" t="str">
            <v>Flexible Panel Air Filter</v>
          </cell>
        </row>
        <row r="2734">
          <cell r="G2734" t="str">
            <v>CAF1756</v>
          </cell>
          <cell r="H2734" t="str">
            <v>Cabin Air Filter</v>
          </cell>
        </row>
        <row r="2735">
          <cell r="G2735" t="str">
            <v>P8198</v>
          </cell>
          <cell r="H2735" t="str">
            <v>Cartridge Oil Filter</v>
          </cell>
        </row>
        <row r="2736">
          <cell r="G2736" t="str">
            <v>AF7910</v>
          </cell>
          <cell r="H2736" t="str">
            <v>Flexible Panel Air Filter</v>
          </cell>
        </row>
        <row r="2737">
          <cell r="G2737" t="str">
            <v>AF7825</v>
          </cell>
          <cell r="H2737" t="str">
            <v>Round Panel Air Filter</v>
          </cell>
        </row>
        <row r="2738">
          <cell r="G2738" t="str">
            <v>AF4051</v>
          </cell>
          <cell r="H2738" t="str">
            <v>Panel Air Irregular Shaped Filter</v>
          </cell>
        </row>
        <row r="2739">
          <cell r="G2739" t="str">
            <v>AF2340</v>
          </cell>
          <cell r="H2739" t="str">
            <v>Flexible Panel Air Filter</v>
          </cell>
        </row>
        <row r="2740">
          <cell r="G2740" t="str">
            <v>P825</v>
          </cell>
          <cell r="H2740" t="str">
            <v>Cartridge Oil Filter</v>
          </cell>
        </row>
        <row r="2741">
          <cell r="G2741" t="str">
            <v>AF4011</v>
          </cell>
          <cell r="H2741" t="str">
            <v>Flexible Panel Air Filter</v>
          </cell>
        </row>
        <row r="2742">
          <cell r="G2742" t="str">
            <v>AF3908</v>
          </cell>
          <cell r="H2742" t="str">
            <v>Panel Air Irregular Shaped Filter</v>
          </cell>
        </row>
        <row r="2743">
          <cell r="G2743" t="str">
            <v>AF4035</v>
          </cell>
          <cell r="H2743" t="str">
            <v>Rigid Panel Air Filter</v>
          </cell>
        </row>
        <row r="2744">
          <cell r="G2744" t="str">
            <v>LFP3200C</v>
          </cell>
          <cell r="H2744" t="str">
            <v>Spin-on Fuel Filter</v>
          </cell>
        </row>
        <row r="2745">
          <cell r="G2745" t="str">
            <v>AF7912</v>
          </cell>
          <cell r="H2745" t="str">
            <v>Flexible Panel Air Filter</v>
          </cell>
        </row>
        <row r="2746">
          <cell r="G2746" t="str">
            <v>AF3611</v>
          </cell>
          <cell r="H2746" t="str">
            <v>Air Filter</v>
          </cell>
        </row>
        <row r="2747">
          <cell r="G2747" t="str">
            <v>AF7973</v>
          </cell>
          <cell r="H2747" t="str">
            <v>Flexible Panel Air Filter</v>
          </cell>
        </row>
        <row r="2748">
          <cell r="G2748" t="str">
            <v>LAF8144</v>
          </cell>
          <cell r="H2748" t="str">
            <v>Radial Seal Outer Air Filter</v>
          </cell>
        </row>
        <row r="2749">
          <cell r="G2749" t="str">
            <v>P8445</v>
          </cell>
          <cell r="H2749" t="str">
            <v>Cartridge Oil Filter</v>
          </cell>
        </row>
        <row r="2750">
          <cell r="G2750" t="str">
            <v>AF5857</v>
          </cell>
          <cell r="H2750" t="str">
            <v>Rigid Panel Air Filter</v>
          </cell>
        </row>
        <row r="2751">
          <cell r="G2751" t="str">
            <v>L274F-1</v>
          </cell>
          <cell r="H2751" t="str">
            <v>Sock Type Fuel Filter</v>
          </cell>
        </row>
        <row r="2752">
          <cell r="G2752" t="str">
            <v>PC339</v>
          </cell>
          <cell r="H2752" t="str">
            <v>PCV Valve</v>
          </cell>
        </row>
        <row r="2753">
          <cell r="G2753" t="str">
            <v>LFP2257</v>
          </cell>
          <cell r="H2753" t="str">
            <v>Spin-on Oil Filter</v>
          </cell>
        </row>
        <row r="2754">
          <cell r="G2754" t="str">
            <v>AF4010</v>
          </cell>
          <cell r="H2754" t="str">
            <v>Rigid Panel Air Filter</v>
          </cell>
        </row>
        <row r="2755">
          <cell r="G2755" t="str">
            <v>G145</v>
          </cell>
          <cell r="H2755" t="str">
            <v>In-Line Fuel Filter</v>
          </cell>
        </row>
        <row r="2756">
          <cell r="G2756" t="str">
            <v>AF261</v>
          </cell>
          <cell r="H2756" t="str">
            <v>Round Air Filter</v>
          </cell>
        </row>
        <row r="2757">
          <cell r="G2757" t="str">
            <v>AF355</v>
          </cell>
          <cell r="H2757" t="str">
            <v>Flexible Panel Air Filter</v>
          </cell>
        </row>
        <row r="2758">
          <cell r="G2758" t="str">
            <v>LAF4759</v>
          </cell>
          <cell r="H2758" t="str">
            <v>HD Metal-End Air Filter</v>
          </cell>
        </row>
        <row r="2759">
          <cell r="G2759" t="str">
            <v>LAF1755</v>
          </cell>
          <cell r="H2759" t="str">
            <v>HD Metal-End Air Filter</v>
          </cell>
        </row>
        <row r="2760">
          <cell r="G2760" t="str">
            <v>CAF7779</v>
          </cell>
          <cell r="H2760" t="str">
            <v>Cabin Air Filter (Carbon)</v>
          </cell>
        </row>
        <row r="2761">
          <cell r="G2761" t="str">
            <v>AF8191</v>
          </cell>
          <cell r="H2761" t="str">
            <v>Flexible Panel Air Filter</v>
          </cell>
        </row>
        <row r="2762">
          <cell r="G2762" t="str">
            <v>CAF1835P</v>
          </cell>
          <cell r="H2762" t="str">
            <v>Cabin Air Filter</v>
          </cell>
        </row>
        <row r="2763">
          <cell r="G2763" t="str">
            <v>LH4246</v>
          </cell>
          <cell r="H2763" t="str">
            <v>Cartridge Hydraulic Filter</v>
          </cell>
        </row>
        <row r="2764">
          <cell r="G2764" t="str">
            <v>AF1622</v>
          </cell>
          <cell r="H2764" t="str">
            <v>Flexible Panel Air Filter</v>
          </cell>
        </row>
        <row r="2765">
          <cell r="G2765" t="str">
            <v>PC304</v>
          </cell>
          <cell r="H2765" t="str">
            <v>PCV Valve</v>
          </cell>
        </row>
        <row r="2766">
          <cell r="G2766" t="str">
            <v>G6599</v>
          </cell>
          <cell r="H2766" t="str">
            <v>In-Line Fuel Filter</v>
          </cell>
        </row>
        <row r="2767">
          <cell r="G2767" t="str">
            <v>AF5227</v>
          </cell>
          <cell r="H2767" t="str">
            <v>Rigid Panel Air Filter</v>
          </cell>
        </row>
        <row r="2768">
          <cell r="G2768" t="str">
            <v>G6391</v>
          </cell>
          <cell r="H2768" t="str">
            <v>Fuel Filter</v>
          </cell>
        </row>
        <row r="2769">
          <cell r="G2769" t="str">
            <v>LAF910</v>
          </cell>
          <cell r="H2769" t="str">
            <v>Round Air Filter</v>
          </cell>
        </row>
        <row r="2770">
          <cell r="G2770" t="str">
            <v>LAF1759</v>
          </cell>
          <cell r="H2770" t="str">
            <v>HD Metal-End Air Filter</v>
          </cell>
        </row>
        <row r="2771">
          <cell r="G2771" t="str">
            <v>G6531</v>
          </cell>
          <cell r="H2771" t="str">
            <v>In-Line Fuel Filter</v>
          </cell>
        </row>
        <row r="2772">
          <cell r="G2772" t="str">
            <v>LAF1871</v>
          </cell>
          <cell r="H2772" t="str">
            <v>Flexible Panel Air Filter</v>
          </cell>
        </row>
        <row r="2773">
          <cell r="G2773" t="str">
            <v>AF7865</v>
          </cell>
          <cell r="H2773" t="str">
            <v>Flexible Panel Air Filter</v>
          </cell>
        </row>
        <row r="2774">
          <cell r="G2774" t="str">
            <v>LFF9772</v>
          </cell>
          <cell r="H2774" t="str">
            <v>Spin-on Fuel Water Separator Filter</v>
          </cell>
        </row>
        <row r="2775">
          <cell r="G2775" t="str">
            <v>CAF1716</v>
          </cell>
          <cell r="H2775" t="str">
            <v>Cabin Air Filter</v>
          </cell>
        </row>
        <row r="2776">
          <cell r="G2776" t="str">
            <v>LAF8118</v>
          </cell>
          <cell r="H2776" t="str">
            <v>Finned Vane Air Filter</v>
          </cell>
        </row>
        <row r="2777">
          <cell r="G2777" t="str">
            <v>G6627</v>
          </cell>
          <cell r="H2777" t="str">
            <v>In-Line Fuel Filter</v>
          </cell>
        </row>
        <row r="2778">
          <cell r="G2778" t="str">
            <v>LAF8072</v>
          </cell>
          <cell r="H2778" t="str">
            <v>HD Metal-End Air Filter with Attached Lid</v>
          </cell>
        </row>
        <row r="2779">
          <cell r="G2779" t="str">
            <v>LAF8119</v>
          </cell>
          <cell r="H2779" t="str">
            <v>HD Metal-End Air Filter-Inner</v>
          </cell>
        </row>
        <row r="2780">
          <cell r="G2780" t="str">
            <v>AF5099</v>
          </cell>
          <cell r="H2780" t="str">
            <v>Rigid Panel Air Filter</v>
          </cell>
        </row>
        <row r="2781">
          <cell r="G2781" t="str">
            <v>LAF337</v>
          </cell>
          <cell r="H2781" t="str">
            <v>HD Metal-End Air Filter with Attached Lid</v>
          </cell>
        </row>
        <row r="2782">
          <cell r="G2782" t="str">
            <v>CAF7762</v>
          </cell>
          <cell r="H2782" t="str">
            <v>Cabin Air Filter (Carbon)</v>
          </cell>
        </row>
        <row r="2783">
          <cell r="G2783" t="str">
            <v>LAF9387</v>
          </cell>
          <cell r="H2783" t="str">
            <v>Radial Seal Inner Air Filter</v>
          </cell>
        </row>
        <row r="2784">
          <cell r="G2784" t="str">
            <v>LFH6201</v>
          </cell>
          <cell r="H2784" t="str">
            <v>Spin-on Hydraulic Filter</v>
          </cell>
        </row>
        <row r="2785">
          <cell r="G2785" t="str">
            <v>LH4235</v>
          </cell>
          <cell r="H2785" t="str">
            <v>Cartridge Hydraulic Filter</v>
          </cell>
        </row>
        <row r="2786">
          <cell r="G2786" t="str">
            <v>AF3939</v>
          </cell>
          <cell r="H2786" t="str">
            <v>Rigid Panel Air Filter</v>
          </cell>
        </row>
        <row r="2787">
          <cell r="G2787" t="str">
            <v>AF7904</v>
          </cell>
          <cell r="H2787" t="str">
            <v>Air Filter</v>
          </cell>
        </row>
        <row r="2788">
          <cell r="G2788" t="str">
            <v>LFP8452</v>
          </cell>
          <cell r="H2788" t="str">
            <v>Spin-on Oil Filter</v>
          </cell>
        </row>
        <row r="2789">
          <cell r="G2789" t="str">
            <v>LH4226</v>
          </cell>
          <cell r="H2789" t="str">
            <v>Cartridge Hydraulic Filter</v>
          </cell>
        </row>
        <row r="2790">
          <cell r="G2790" t="str">
            <v>CAF1750</v>
          </cell>
          <cell r="H2790" t="str">
            <v>Cabin Air Filter</v>
          </cell>
        </row>
        <row r="2791">
          <cell r="G2791" t="str">
            <v>LAF22013</v>
          </cell>
          <cell r="H2791" t="str">
            <v>Finned Vane Air Filter</v>
          </cell>
        </row>
        <row r="2792">
          <cell r="G2792" t="str">
            <v>LAF3661</v>
          </cell>
          <cell r="H2792" t="str">
            <v>Disposible Housing Air Filter</v>
          </cell>
        </row>
        <row r="2793">
          <cell r="G2793" t="str">
            <v>LAF8547</v>
          </cell>
          <cell r="H2793" t="str">
            <v>HD Metal-End Inner Air Filter</v>
          </cell>
        </row>
        <row r="2794">
          <cell r="G2794" t="str">
            <v>LAF8656</v>
          </cell>
          <cell r="H2794" t="str">
            <v>HD Metal-End Air Filter</v>
          </cell>
        </row>
        <row r="2795">
          <cell r="G2795" t="str">
            <v>CAF7782</v>
          </cell>
          <cell r="H2795" t="str">
            <v>Cabin Air Filter (Carbon)</v>
          </cell>
        </row>
        <row r="2796">
          <cell r="G2796" t="str">
            <v>LAF4173</v>
          </cell>
          <cell r="H2796" t="str">
            <v>HD Metal-End Inner Air Filter</v>
          </cell>
        </row>
        <row r="2797">
          <cell r="G2797" t="str">
            <v>LAF4347</v>
          </cell>
          <cell r="H2797" t="str">
            <v>Finned Vane Air Filter</v>
          </cell>
        </row>
        <row r="2798">
          <cell r="G2798" t="str">
            <v>LFP8224</v>
          </cell>
          <cell r="H2798" t="str">
            <v>Spin-on Oil Filter</v>
          </cell>
        </row>
        <row r="2799">
          <cell r="G2799" t="str">
            <v>LK262CA</v>
          </cell>
          <cell r="H2799" t="str">
            <v>Caterpillar Engine Maintenance Kit</v>
          </cell>
        </row>
        <row r="2800">
          <cell r="G2800" t="str">
            <v>CAF1705</v>
          </cell>
          <cell r="H2800" t="str">
            <v>Cabin Air Filter</v>
          </cell>
        </row>
        <row r="2801">
          <cell r="G2801" t="str">
            <v>CAF7713</v>
          </cell>
          <cell r="H2801" t="str">
            <v>Cabin Air Filter (Carbon)</v>
          </cell>
        </row>
        <row r="2802">
          <cell r="G2802" t="str">
            <v>CAF7739</v>
          </cell>
          <cell r="H2802" t="str">
            <v>Cabin Air Filter (Carbon)</v>
          </cell>
        </row>
        <row r="2803">
          <cell r="G2803" t="str">
            <v>CAF7783</v>
          </cell>
          <cell r="H2803" t="str">
            <v>Cabin Air Filter (Carbon)</v>
          </cell>
        </row>
        <row r="2804">
          <cell r="G2804" t="str">
            <v>LAF519D</v>
          </cell>
          <cell r="H2804" t="str">
            <v>Rigid Panel Air Filter</v>
          </cell>
        </row>
        <row r="2805">
          <cell r="G2805" t="str">
            <v>LAF8622</v>
          </cell>
          <cell r="H2805" t="str">
            <v>Round Inner Air Filter</v>
          </cell>
        </row>
        <row r="2806">
          <cell r="G2806" t="str">
            <v>LH4949</v>
          </cell>
          <cell r="H2806" t="str">
            <v>Cartridge Hydraulic Filter</v>
          </cell>
        </row>
        <row r="2807">
          <cell r="G2807" t="str">
            <v>LK317C</v>
          </cell>
          <cell r="H2807" t="str">
            <v>Cummins Engine Maintenance Kit</v>
          </cell>
        </row>
        <row r="2808">
          <cell r="G2808" t="str">
            <v>PC273</v>
          </cell>
          <cell r="H2808" t="str">
            <v>PCV Valve</v>
          </cell>
        </row>
        <row r="2809">
          <cell r="G2809" t="str">
            <v>T187</v>
          </cell>
          <cell r="H2809" t="str">
            <v>Transmission Filter Kit</v>
          </cell>
        </row>
        <row r="2810">
          <cell r="G2810" t="str">
            <v>AF233</v>
          </cell>
          <cell r="H2810" t="str">
            <v>Special Round Construction</v>
          </cell>
        </row>
        <row r="2811">
          <cell r="G2811" t="str">
            <v>AF836</v>
          </cell>
          <cell r="H2811" t="str">
            <v>Round Air Filter</v>
          </cell>
        </row>
        <row r="2812">
          <cell r="G2812" t="str">
            <v>CAF1934P</v>
          </cell>
          <cell r="H2812" t="str">
            <v>Cabin Air Filter</v>
          </cell>
        </row>
        <row r="2813">
          <cell r="G2813" t="str">
            <v>G6547</v>
          </cell>
          <cell r="H2813" t="str">
            <v>In-Line Fuel Filter</v>
          </cell>
        </row>
        <row r="2814">
          <cell r="G2814" t="str">
            <v>L8254F</v>
          </cell>
          <cell r="H2814" t="str">
            <v>Cartridge Fuel Filter</v>
          </cell>
        </row>
        <row r="2815">
          <cell r="G2815" t="str">
            <v>LAF2604</v>
          </cell>
          <cell r="H2815" t="str">
            <v>Finned Vane Air Filter</v>
          </cell>
        </row>
        <row r="2816">
          <cell r="G2816" t="str">
            <v>LAF4490</v>
          </cell>
          <cell r="H2816" t="str">
            <v>Metal-End Air Filter with Closed Top End Cap</v>
          </cell>
        </row>
        <row r="2817">
          <cell r="G2817" t="str">
            <v>LAF8226</v>
          </cell>
          <cell r="H2817" t="str">
            <v>HD Metal-End Inner Air Filter</v>
          </cell>
        </row>
        <row r="2818">
          <cell r="G2818" t="str">
            <v>LAF8426</v>
          </cell>
          <cell r="H2818" t="str">
            <v>Finned Vane Air Filter</v>
          </cell>
        </row>
        <row r="2819">
          <cell r="G2819" t="str">
            <v>LAF8607</v>
          </cell>
          <cell r="H2819" t="str">
            <v>HD Round Air Filter with Attached Boot</v>
          </cell>
        </row>
        <row r="2820">
          <cell r="G2820" t="str">
            <v>LAF8954</v>
          </cell>
          <cell r="H2820" t="str">
            <v>HD Metal-End Air Filter</v>
          </cell>
        </row>
        <row r="2821">
          <cell r="G2821" t="str">
            <v>LFH4201</v>
          </cell>
          <cell r="H2821" t="str">
            <v>Spin-on Hydraulic Filter</v>
          </cell>
        </row>
        <row r="2822">
          <cell r="G2822" t="str">
            <v>LH4396</v>
          </cell>
          <cell r="H2822" t="str">
            <v>Cartridge Hydraulic Filter</v>
          </cell>
        </row>
        <row r="2823">
          <cell r="G2823" t="str">
            <v>AF127</v>
          </cell>
          <cell r="H2823" t="str">
            <v>Round Air Filter</v>
          </cell>
        </row>
        <row r="2824">
          <cell r="G2824" t="str">
            <v>AF2975</v>
          </cell>
          <cell r="H2824" t="str">
            <v>Radial Seal Air Filter</v>
          </cell>
        </row>
        <row r="2825">
          <cell r="G2825" t="str">
            <v>AF405</v>
          </cell>
          <cell r="H2825" t="str">
            <v>Flexible Panel Air Filter</v>
          </cell>
        </row>
        <row r="2826">
          <cell r="G2826" t="str">
            <v>AF8309</v>
          </cell>
          <cell r="H2826" t="str">
            <v>Flexible Panel Air Filter</v>
          </cell>
        </row>
        <row r="2827">
          <cell r="G2827" t="str">
            <v>AF96</v>
          </cell>
          <cell r="H2827" t="str">
            <v>Air Filter</v>
          </cell>
        </row>
        <row r="2828">
          <cell r="G2828" t="str">
            <v>CAF1822P</v>
          </cell>
          <cell r="H2828" t="str">
            <v>Cabin Air Filter</v>
          </cell>
        </row>
        <row r="2829">
          <cell r="G2829" t="str">
            <v>CAF7711</v>
          </cell>
          <cell r="H2829" t="str">
            <v>Cabin Air Filter (Carbon)</v>
          </cell>
        </row>
        <row r="2830">
          <cell r="G2830" t="str">
            <v>G251</v>
          </cell>
          <cell r="H2830" t="str">
            <v>Fuel Filter</v>
          </cell>
        </row>
        <row r="2831">
          <cell r="G2831" t="str">
            <v>G6357</v>
          </cell>
          <cell r="H2831" t="str">
            <v>In-Line Fuel Filter</v>
          </cell>
        </row>
        <row r="2832">
          <cell r="G2832" t="str">
            <v>G6574</v>
          </cell>
          <cell r="H2832" t="str">
            <v>Fuel Filter</v>
          </cell>
        </row>
        <row r="2833">
          <cell r="G2833" t="str">
            <v>L3542F</v>
          </cell>
          <cell r="H2833" t="str">
            <v>Cartridge Fuel Filter</v>
          </cell>
        </row>
        <row r="2834">
          <cell r="G2834" t="str">
            <v>LAF1226</v>
          </cell>
          <cell r="H2834" t="str">
            <v>Tube Type Air Filter</v>
          </cell>
        </row>
        <row r="2835">
          <cell r="G2835" t="str">
            <v>LAF1779</v>
          </cell>
          <cell r="H2835" t="str">
            <v>Round Inner Air Filter</v>
          </cell>
        </row>
        <row r="2836">
          <cell r="G2836" t="str">
            <v>LAF1973</v>
          </cell>
          <cell r="H2836" t="str">
            <v>Round Air Filter</v>
          </cell>
        </row>
        <row r="2837">
          <cell r="G2837" t="str">
            <v>LAF2625</v>
          </cell>
          <cell r="H2837" t="str">
            <v>HD Metal-End Inner Air Filter</v>
          </cell>
        </row>
        <row r="2838">
          <cell r="G2838" t="str">
            <v>LAF8182</v>
          </cell>
          <cell r="H2838" t="str">
            <v>HD Metal-End Air Filter</v>
          </cell>
        </row>
        <row r="2839">
          <cell r="G2839" t="str">
            <v>LAF9029</v>
          </cell>
          <cell r="H2839" t="str">
            <v>HD Metal-End Air Filter</v>
          </cell>
        </row>
        <row r="2840">
          <cell r="G2840" t="str">
            <v>LFF3416</v>
          </cell>
          <cell r="H2840" t="str">
            <v>Spin-on Fuel Filter</v>
          </cell>
        </row>
        <row r="2841">
          <cell r="G2841" t="str">
            <v>LH4236</v>
          </cell>
          <cell r="H2841" t="str">
            <v>Cartridge Hydraulic Filter</v>
          </cell>
        </row>
        <row r="2842">
          <cell r="G2842" t="str">
            <v>LK199D</v>
          </cell>
          <cell r="H2842" t="str">
            <v>Detroit Diesel Engine Maintenance Kit</v>
          </cell>
        </row>
        <row r="2843">
          <cell r="G2843" t="str">
            <v>LK21C</v>
          </cell>
          <cell r="H2843" t="str">
            <v>Cummins Engine Maintenance Kit</v>
          </cell>
        </row>
        <row r="2844">
          <cell r="G2844" t="str">
            <v>T133</v>
          </cell>
          <cell r="H2844" t="str">
            <v>Transmission Filter Kit</v>
          </cell>
        </row>
        <row r="2845">
          <cell r="G2845" t="str">
            <v>T192</v>
          </cell>
          <cell r="H2845" t="str">
            <v>Transmission Filter Kit</v>
          </cell>
        </row>
        <row r="2846">
          <cell r="G2846" t="str">
            <v>T531</v>
          </cell>
          <cell r="H2846" t="str">
            <v>Transmission Filter Kit</v>
          </cell>
        </row>
        <row r="2847">
          <cell r="G2847" t="str">
            <v>T542</v>
          </cell>
          <cell r="H2847" t="str">
            <v>Transmission Filter Kit</v>
          </cell>
        </row>
        <row r="2848">
          <cell r="G2848" t="str">
            <v>T645</v>
          </cell>
          <cell r="H2848" t="str">
            <v xml:space="preserve">Magnetic in-line transmission Filter </v>
          </cell>
        </row>
        <row r="2849">
          <cell r="G2849" t="str">
            <v>T764</v>
          </cell>
          <cell r="H2849" t="str">
            <v>Cartridge Transmission Filter Kit</v>
          </cell>
        </row>
        <row r="2850">
          <cell r="G2850" t="str">
            <v>AF5986</v>
          </cell>
          <cell r="H2850" t="str">
            <v>Flexible Panel Air Filter</v>
          </cell>
        </row>
        <row r="2851">
          <cell r="G2851" t="str">
            <v>LH4924</v>
          </cell>
          <cell r="H2851" t="str">
            <v>Cartridge Hydraulic Filter</v>
          </cell>
        </row>
        <row r="2852">
          <cell r="G2852" t="str">
            <v>L5087F</v>
          </cell>
          <cell r="H2852" t="str">
            <v>Cartridge Fuel Filter</v>
          </cell>
        </row>
        <row r="2853">
          <cell r="G2853" t="str">
            <v>LAF1468</v>
          </cell>
          <cell r="H2853" t="str">
            <v>Rigid Panel Air Filter</v>
          </cell>
        </row>
        <row r="2854">
          <cell r="G2854" t="str">
            <v>LAF240HD</v>
          </cell>
          <cell r="H2854" t="str">
            <v>HD Round Air Filter with non-woven Batt Media</v>
          </cell>
        </row>
        <row r="2855">
          <cell r="G2855" t="str">
            <v>LAF3742</v>
          </cell>
          <cell r="H2855" t="str">
            <v>Finned Vane Air Filter</v>
          </cell>
        </row>
        <row r="2856">
          <cell r="G2856">
            <v>156</v>
          </cell>
          <cell r="H2856" t="str">
            <v>Spin-on Oil Filter</v>
          </cell>
        </row>
        <row r="2857">
          <cell r="G2857">
            <v>159</v>
          </cell>
          <cell r="H2857" t="str">
            <v>Spin-on Oil Filter</v>
          </cell>
        </row>
        <row r="2858">
          <cell r="G2858">
            <v>1586</v>
          </cell>
          <cell r="H2858" t="str">
            <v>Seal Washer, Aluminum/500-B, C, 750-B, C, F-120, F-155</v>
          </cell>
        </row>
        <row r="2859">
          <cell r="G2859">
            <v>3564</v>
          </cell>
          <cell r="H2859" t="str">
            <v>Replacement Clamp Screw For A 3566 Ring</v>
          </cell>
        </row>
        <row r="2860">
          <cell r="G2860" t="str">
            <v>4084</v>
          </cell>
          <cell r="H2860" t="str">
            <v>Air Filter Restriction Gauge; Dash Mount</v>
          </cell>
        </row>
        <row r="2861">
          <cell r="G2861" t="str">
            <v>CAF1837C</v>
          </cell>
          <cell r="H2861" t="str">
            <v>Cabin Air Filter (Carbon)</v>
          </cell>
        </row>
        <row r="2862">
          <cell r="G2862" t="str">
            <v>CAF24002XL</v>
          </cell>
          <cell r="H2862" t="str">
            <v>Cabin Air Filter (Carbon) Extreme Clean</v>
          </cell>
        </row>
        <row r="2863">
          <cell r="G2863" t="str">
            <v>LAF8977</v>
          </cell>
          <cell r="H2863" t="str">
            <v>HD Metal-End Air Filter with Attached Lid</v>
          </cell>
        </row>
        <row r="2864">
          <cell r="G2864" t="str">
            <v>G244</v>
          </cell>
          <cell r="H2864" t="str">
            <v>In-Line Fuel Filter</v>
          </cell>
        </row>
        <row r="2865">
          <cell r="G2865" t="str">
            <v>AF129</v>
          </cell>
          <cell r="H2865" t="str">
            <v>Round Air Filter</v>
          </cell>
        </row>
        <row r="2866">
          <cell r="G2866" t="str">
            <v>LAF1964</v>
          </cell>
          <cell r="H2866" t="str">
            <v>Round Air Filter</v>
          </cell>
        </row>
        <row r="2867">
          <cell r="G2867" t="str">
            <v>AF7841</v>
          </cell>
          <cell r="H2867" t="str">
            <v>Rigid Panel Air Filter</v>
          </cell>
        </row>
        <row r="2868">
          <cell r="G2868" t="str">
            <v>AF3999</v>
          </cell>
          <cell r="H2868" t="str">
            <v>Flexible Panel Air Filter</v>
          </cell>
        </row>
        <row r="2869">
          <cell r="G2869" t="str">
            <v>AF3592</v>
          </cell>
          <cell r="H2869" t="str">
            <v>Rigid Panel Air Filter</v>
          </cell>
        </row>
        <row r="2870">
          <cell r="G2870" t="str">
            <v>AF4019</v>
          </cell>
          <cell r="H2870" t="str">
            <v>Rigid Panel Air Filter</v>
          </cell>
        </row>
        <row r="2871">
          <cell r="G2871" t="str">
            <v>AF4002</v>
          </cell>
          <cell r="H2871" t="str">
            <v>Rigid Panel Air Filter</v>
          </cell>
        </row>
        <row r="2872">
          <cell r="G2872" t="str">
            <v>AF3899</v>
          </cell>
          <cell r="H2872" t="str">
            <v>Rigid Panel Air Filter</v>
          </cell>
        </row>
        <row r="2873">
          <cell r="G2873" t="str">
            <v>CAF1774</v>
          </cell>
          <cell r="H2873" t="str">
            <v>Cabin Air Filter</v>
          </cell>
        </row>
        <row r="2874">
          <cell r="G2874" t="str">
            <v>CAF1830P</v>
          </cell>
          <cell r="H2874" t="str">
            <v>Cabin Air Filter</v>
          </cell>
        </row>
        <row r="2875">
          <cell r="G2875" t="str">
            <v>AF7917</v>
          </cell>
          <cell r="H2875" t="str">
            <v>Flexible Panel Air Filter</v>
          </cell>
        </row>
        <row r="2876">
          <cell r="G2876" t="str">
            <v>LP5564</v>
          </cell>
          <cell r="H2876" t="str">
            <v>Cartridge Oil Filter</v>
          </cell>
        </row>
        <row r="2877">
          <cell r="G2877" t="str">
            <v>CAF1883P</v>
          </cell>
          <cell r="H2877" t="str">
            <v>Cabin Air Filter</v>
          </cell>
        </row>
        <row r="2878">
          <cell r="G2878" t="str">
            <v>CAF1786</v>
          </cell>
          <cell r="H2878" t="str">
            <v>Cabin Air Filter</v>
          </cell>
        </row>
        <row r="2879">
          <cell r="G2879" t="str">
            <v>AF7965</v>
          </cell>
          <cell r="H2879" t="str">
            <v>Flexible Panel Air Filter</v>
          </cell>
        </row>
        <row r="2880">
          <cell r="G2880" t="str">
            <v>G6579</v>
          </cell>
          <cell r="H2880" t="str">
            <v>In-Line Fuel Filter</v>
          </cell>
        </row>
        <row r="2881">
          <cell r="G2881" t="str">
            <v>AF5246</v>
          </cell>
          <cell r="H2881" t="str">
            <v>Air Filter</v>
          </cell>
        </row>
        <row r="2882">
          <cell r="G2882" t="str">
            <v>AF4000</v>
          </cell>
          <cell r="H2882" t="str">
            <v>Flexible Panel Air Filter</v>
          </cell>
        </row>
        <row r="2883">
          <cell r="G2883" t="str">
            <v>P963</v>
          </cell>
          <cell r="H2883" t="str">
            <v>Cartridge Oil Filter</v>
          </cell>
        </row>
        <row r="2884">
          <cell r="G2884" t="str">
            <v>LFP959FHE</v>
          </cell>
          <cell r="H2884" t="str">
            <v>Spin-on Fuel Filter</v>
          </cell>
        </row>
        <row r="2885">
          <cell r="G2885" t="str">
            <v>PC774</v>
          </cell>
          <cell r="H2885" t="str">
            <v>PCV Valve</v>
          </cell>
        </row>
        <row r="2886">
          <cell r="G2886" t="str">
            <v>G6831</v>
          </cell>
          <cell r="H2886" t="str">
            <v>In-Line Fuel Filter</v>
          </cell>
        </row>
        <row r="2887">
          <cell r="G2887" t="str">
            <v>AF1058</v>
          </cell>
          <cell r="H2887" t="str">
            <v>Round Air Filter</v>
          </cell>
        </row>
        <row r="2888">
          <cell r="G2888" t="str">
            <v>AF7874</v>
          </cell>
          <cell r="H2888" t="str">
            <v>Cone Shaped Conical Air Filter</v>
          </cell>
        </row>
        <row r="2889">
          <cell r="G2889" t="str">
            <v>CAF7721</v>
          </cell>
          <cell r="H2889" t="str">
            <v>Cabin Air Filter (Carbon)</v>
          </cell>
        </row>
        <row r="2890">
          <cell r="G2890" t="str">
            <v>LP5922</v>
          </cell>
          <cell r="H2890" t="str">
            <v>Cartridge Oil Filter</v>
          </cell>
        </row>
        <row r="2891">
          <cell r="G2891" t="str">
            <v>CAF7791</v>
          </cell>
          <cell r="H2891" t="str">
            <v>Cabin Air Filter (Carbon)</v>
          </cell>
        </row>
        <row r="2892">
          <cell r="G2892" t="str">
            <v>PH2702</v>
          </cell>
          <cell r="H2892" t="str">
            <v>Spin-on Oil Filter</v>
          </cell>
        </row>
        <row r="2893">
          <cell r="G2893" t="str">
            <v>AF5230</v>
          </cell>
          <cell r="H2893" t="str">
            <v>Air Filter</v>
          </cell>
        </row>
        <row r="2894">
          <cell r="G2894" t="str">
            <v>PC84</v>
          </cell>
          <cell r="H2894" t="str">
            <v>PCV Valve</v>
          </cell>
        </row>
        <row r="2895">
          <cell r="G2895" t="str">
            <v>L9621F</v>
          </cell>
          <cell r="H2895" t="str">
            <v>Cartridge Fuel Filter</v>
          </cell>
        </row>
        <row r="2896">
          <cell r="G2896" t="str">
            <v>P824A</v>
          </cell>
          <cell r="H2896" t="str">
            <v>Cartridge Oil Filter</v>
          </cell>
        </row>
        <row r="2897">
          <cell r="G2897" t="str">
            <v>AF7948</v>
          </cell>
          <cell r="H2897" t="str">
            <v>Flexible Panel Air Filter</v>
          </cell>
        </row>
        <row r="2898">
          <cell r="G2898" t="str">
            <v>CAF1733</v>
          </cell>
          <cell r="H2898" t="str">
            <v>Cabin Air Filter</v>
          </cell>
        </row>
        <row r="2899">
          <cell r="G2899" t="str">
            <v>CAF1754</v>
          </cell>
          <cell r="H2899" t="str">
            <v>Cabin Air Filter</v>
          </cell>
        </row>
        <row r="2900">
          <cell r="G2900" t="str">
            <v>CAF1926P</v>
          </cell>
          <cell r="H2900" t="str">
            <v>Cabin Air Filter</v>
          </cell>
        </row>
        <row r="2901">
          <cell r="G2901" t="str">
            <v>PC144</v>
          </cell>
          <cell r="H2901" t="str">
            <v>PCV Valve</v>
          </cell>
        </row>
        <row r="2902">
          <cell r="G2902" t="str">
            <v>CAF1904C</v>
          </cell>
          <cell r="H2902" t="str">
            <v>Cabin Air Filter (Carbon)</v>
          </cell>
        </row>
        <row r="2903">
          <cell r="G2903" t="str">
            <v>CAF1712</v>
          </cell>
          <cell r="H2903" t="str">
            <v>Cabin Air Filter</v>
          </cell>
        </row>
        <row r="2904">
          <cell r="G2904" t="str">
            <v>AF3218</v>
          </cell>
          <cell r="H2904" t="str">
            <v>Panel Air Irregular Shaped Filter</v>
          </cell>
        </row>
        <row r="2905">
          <cell r="G2905" t="str">
            <v>AF3913</v>
          </cell>
          <cell r="H2905" t="str">
            <v>Panel Air Irregular Shaped Filter</v>
          </cell>
        </row>
        <row r="2906">
          <cell r="G2906" t="str">
            <v>G6530</v>
          </cell>
          <cell r="H2906" t="str">
            <v>In-Line Fuel Filter</v>
          </cell>
        </row>
        <row r="2907">
          <cell r="G2907" t="str">
            <v>LFP670G</v>
          </cell>
          <cell r="H2907" t="str">
            <v>Extended Life Spin-on Oil Filter</v>
          </cell>
        </row>
        <row r="2908">
          <cell r="G2908" t="str">
            <v>CAF1704</v>
          </cell>
          <cell r="H2908" t="str">
            <v>Cabin Air Filter</v>
          </cell>
        </row>
        <row r="2909">
          <cell r="G2909" t="str">
            <v>PC373</v>
          </cell>
          <cell r="H2909" t="str">
            <v>PCV Valve</v>
          </cell>
        </row>
        <row r="2910">
          <cell r="G2910" t="str">
            <v>LAF1710</v>
          </cell>
          <cell r="H2910" t="str">
            <v>HD Metal-End Air Filter</v>
          </cell>
        </row>
        <row r="2911">
          <cell r="G2911" t="str">
            <v>AF4050</v>
          </cell>
          <cell r="H2911" t="str">
            <v>Flexible Panel Air Filter</v>
          </cell>
        </row>
        <row r="2912">
          <cell r="G2912" t="str">
            <v>LAF1137</v>
          </cell>
          <cell r="H2912" t="str">
            <v>Metal-End Air Filter with Closed Top End Cap</v>
          </cell>
        </row>
        <row r="2913">
          <cell r="G2913" t="str">
            <v>LAF7531</v>
          </cell>
          <cell r="H2913" t="str">
            <v>HD Metal-End Air Filter</v>
          </cell>
        </row>
        <row r="2914">
          <cell r="G2914" t="str">
            <v>AF5586</v>
          </cell>
          <cell r="H2914" t="str">
            <v>Flexible Media Air Filter</v>
          </cell>
        </row>
        <row r="2915">
          <cell r="G2915" t="str">
            <v>CAF7789</v>
          </cell>
          <cell r="H2915" t="str">
            <v>Cabin Air Filter (Carbon)</v>
          </cell>
        </row>
        <row r="2916">
          <cell r="G2916" t="str">
            <v>CAF1894P</v>
          </cell>
          <cell r="H2916" t="str">
            <v>Cabin Air Filter</v>
          </cell>
        </row>
        <row r="2917">
          <cell r="G2917" t="str">
            <v>LAF6680</v>
          </cell>
          <cell r="H2917" t="str">
            <v>Panel Air Filter Metal Framed</v>
          </cell>
        </row>
        <row r="2918">
          <cell r="G2918" t="str">
            <v>AF97</v>
          </cell>
          <cell r="H2918" t="str">
            <v>Round Air Filter</v>
          </cell>
        </row>
        <row r="2919">
          <cell r="G2919" t="str">
            <v>G6647</v>
          </cell>
          <cell r="H2919" t="str">
            <v>In-Line Fuel Filter</v>
          </cell>
        </row>
        <row r="2920">
          <cell r="G2920" t="str">
            <v>CAF7764</v>
          </cell>
          <cell r="H2920" t="str">
            <v>Cabin Air Filter (Carbon)</v>
          </cell>
        </row>
        <row r="2921">
          <cell r="G2921" t="str">
            <v>LAF8407MXM</v>
          </cell>
          <cell r="H2921" t="str">
            <v xml:space="preserve">Nano Tech Air Filter HD Metal-End </v>
          </cell>
        </row>
        <row r="2922">
          <cell r="G2922" t="str">
            <v>G2988</v>
          </cell>
          <cell r="H2922" t="str">
            <v>Fuel Filter</v>
          </cell>
        </row>
        <row r="2923">
          <cell r="G2923" t="str">
            <v>AF26</v>
          </cell>
          <cell r="H2923" t="str">
            <v>Breather Filter</v>
          </cell>
        </row>
        <row r="2924">
          <cell r="G2924" t="str">
            <v>G6553</v>
          </cell>
          <cell r="H2924" t="str">
            <v>Fuel Filter</v>
          </cell>
        </row>
        <row r="2925">
          <cell r="G2925" t="str">
            <v>G6844</v>
          </cell>
          <cell r="H2925" t="str">
            <v>Fuel Filter</v>
          </cell>
        </row>
        <row r="2926">
          <cell r="G2926" t="str">
            <v>LAF8610</v>
          </cell>
          <cell r="H2926" t="str">
            <v>HD Metal-End Air Filter with Attached Lid</v>
          </cell>
        </row>
        <row r="2927">
          <cell r="G2927" t="str">
            <v>P988</v>
          </cell>
          <cell r="H2927" t="str">
            <v>Cartridge Oil Filter</v>
          </cell>
        </row>
        <row r="2928">
          <cell r="G2928" t="str">
            <v>AF378</v>
          </cell>
          <cell r="H2928" t="str">
            <v>Oval Air Filter</v>
          </cell>
        </row>
        <row r="2929">
          <cell r="G2929" t="str">
            <v>LH5571G</v>
          </cell>
          <cell r="H2929" t="str">
            <v>Cartridge Hydraulic Filter</v>
          </cell>
        </row>
        <row r="2930">
          <cell r="G2930" t="str">
            <v>AF137</v>
          </cell>
          <cell r="H2930" t="str">
            <v>Round Air Filter</v>
          </cell>
        </row>
        <row r="2931">
          <cell r="G2931" t="str">
            <v>LFF6354</v>
          </cell>
          <cell r="H2931" t="str">
            <v>Spin-on Fuel Filter</v>
          </cell>
        </row>
        <row r="2932">
          <cell r="G2932" t="str">
            <v>LFH5075</v>
          </cell>
          <cell r="H2932" t="str">
            <v>Spin-on Hydraulic Filter</v>
          </cell>
        </row>
        <row r="2933">
          <cell r="G2933" t="str">
            <v>LH4252</v>
          </cell>
          <cell r="H2933" t="str">
            <v>Cartridge Hydraulic Filter</v>
          </cell>
        </row>
        <row r="2934">
          <cell r="G2934" t="str">
            <v>CAF1711</v>
          </cell>
          <cell r="H2934" t="str">
            <v>Cabin Air Filter</v>
          </cell>
        </row>
        <row r="2935">
          <cell r="G2935" t="str">
            <v>AF7850</v>
          </cell>
          <cell r="H2935" t="str">
            <v>Rigid Panel Air Filter</v>
          </cell>
        </row>
        <row r="2936">
          <cell r="G2936" t="str">
            <v>G6397</v>
          </cell>
          <cell r="H2936" t="str">
            <v>In-Line Fuel Filter</v>
          </cell>
        </row>
        <row r="2937">
          <cell r="G2937" t="str">
            <v>G6634</v>
          </cell>
          <cell r="H2937" t="str">
            <v>In-Line Fuel Filter</v>
          </cell>
        </row>
        <row r="2938">
          <cell r="G2938" t="str">
            <v>LAF8818</v>
          </cell>
          <cell r="H2938" t="str">
            <v>HD Round Finned Air Filter with Attached Lid</v>
          </cell>
        </row>
        <row r="2939">
          <cell r="G2939" t="str">
            <v>LFH8535</v>
          </cell>
          <cell r="H2939" t="str">
            <v>Spin-on Hydraulic Filter</v>
          </cell>
        </row>
        <row r="2940">
          <cell r="G2940" t="str">
            <v>CAF1933P</v>
          </cell>
          <cell r="H2940" t="str">
            <v>Cabin Air Filter</v>
          </cell>
        </row>
        <row r="2941">
          <cell r="G2941" t="str">
            <v>L4367F</v>
          </cell>
          <cell r="H2941" t="str">
            <v>Cartridge Fuel Filter</v>
          </cell>
        </row>
        <row r="2942">
          <cell r="G2942" t="str">
            <v>LAF1711</v>
          </cell>
          <cell r="H2942" t="str">
            <v>Round Inner Air Filter</v>
          </cell>
        </row>
        <row r="2943">
          <cell r="G2943" t="str">
            <v>LH5840</v>
          </cell>
          <cell r="H2943" t="str">
            <v>Cartridge Hydraulic Filter</v>
          </cell>
        </row>
        <row r="2944">
          <cell r="G2944" t="str">
            <v>T168</v>
          </cell>
          <cell r="H2944" t="str">
            <v>Transmission Filter Kit</v>
          </cell>
        </row>
        <row r="2945">
          <cell r="G2945" t="str">
            <v>AF7876</v>
          </cell>
          <cell r="H2945" t="str">
            <v>Rigid Panel Air Filter</v>
          </cell>
        </row>
        <row r="2946">
          <cell r="G2946" t="str">
            <v>LAF3654</v>
          </cell>
          <cell r="H2946" t="str">
            <v>HD Metal-End Air Filter</v>
          </cell>
        </row>
        <row r="2947">
          <cell r="G2947" t="str">
            <v>LAF8589</v>
          </cell>
          <cell r="H2947" t="str">
            <v>HD Metal-End Air Filter-Inner</v>
          </cell>
        </row>
        <row r="2948">
          <cell r="G2948" t="str">
            <v>LFF3809</v>
          </cell>
          <cell r="H2948" t="str">
            <v>Spin-on Fuel Filter</v>
          </cell>
        </row>
        <row r="2949">
          <cell r="G2949" t="str">
            <v>LFH8875G</v>
          </cell>
          <cell r="H2949" t="str">
            <v>Spin-on Hydraulic Filter</v>
          </cell>
        </row>
        <row r="2950">
          <cell r="G2950" t="str">
            <v>AF3962</v>
          </cell>
          <cell r="H2950" t="str">
            <v>Radial Seal Outer Air Filter</v>
          </cell>
        </row>
        <row r="2951">
          <cell r="G2951" t="str">
            <v>AF4037</v>
          </cell>
          <cell r="H2951" t="str">
            <v>Rigid Panel Air Filter</v>
          </cell>
        </row>
        <row r="2952">
          <cell r="G2952" t="str">
            <v>LAF1763</v>
          </cell>
          <cell r="H2952" t="str">
            <v>HD Round Air Filter with Attached Lid</v>
          </cell>
        </row>
        <row r="2953">
          <cell r="G2953" t="str">
            <v>LAF1990</v>
          </cell>
          <cell r="H2953" t="str">
            <v>HD Metal-End Inner Air Filter</v>
          </cell>
        </row>
        <row r="2954">
          <cell r="G2954" t="str">
            <v>LAF3398</v>
          </cell>
          <cell r="H2954" t="str">
            <v>HD Metal-End Air Filter</v>
          </cell>
        </row>
        <row r="2955">
          <cell r="G2955" t="str">
            <v>LAF8577</v>
          </cell>
          <cell r="H2955" t="str">
            <v>HD Metal-End Air Filter</v>
          </cell>
        </row>
        <row r="2956">
          <cell r="G2956" t="str">
            <v>LK107M</v>
          </cell>
          <cell r="H2956" t="str">
            <v>Mack Engine Maintenance Kit</v>
          </cell>
        </row>
        <row r="2957">
          <cell r="G2957" t="str">
            <v>LP224</v>
          </cell>
          <cell r="H2957" t="str">
            <v>Cartridge Oil Filter</v>
          </cell>
        </row>
        <row r="2958">
          <cell r="G2958" t="str">
            <v>PC51</v>
          </cell>
          <cell r="H2958" t="str">
            <v>PCV Valve</v>
          </cell>
        </row>
        <row r="2959">
          <cell r="G2959" t="str">
            <v>LH11008V</v>
          </cell>
          <cell r="H2959" t="str">
            <v>Industrial Cartridge Hydraulic Filter</v>
          </cell>
        </row>
        <row r="2960">
          <cell r="G2960" t="str">
            <v>LP5899</v>
          </cell>
          <cell r="H2960" t="str">
            <v>Cartridge Oil Filter</v>
          </cell>
        </row>
        <row r="2961">
          <cell r="G2961" t="str">
            <v>AF662</v>
          </cell>
          <cell r="H2961" t="str">
            <v>Round Air Filter</v>
          </cell>
        </row>
        <row r="2962">
          <cell r="G2962" t="str">
            <v>L3576F</v>
          </cell>
          <cell r="H2962" t="str">
            <v>Cartridge Fuel Filter</v>
          </cell>
        </row>
        <row r="2963">
          <cell r="G2963" t="str">
            <v>LAF1843</v>
          </cell>
          <cell r="H2963" t="str">
            <v>HD Metal-End Air Filter</v>
          </cell>
        </row>
        <row r="2964">
          <cell r="G2964" t="str">
            <v>LAF5042</v>
          </cell>
          <cell r="H2964" t="str">
            <v>HD Round Finned Air Filter with Attached Lid</v>
          </cell>
        </row>
        <row r="2965">
          <cell r="G2965" t="str">
            <v>LAF6442</v>
          </cell>
          <cell r="H2965" t="str">
            <v>Metal-End Air Filter with Closed Top End Cap</v>
          </cell>
        </row>
        <row r="2966">
          <cell r="G2966" t="str">
            <v>LAF8604</v>
          </cell>
          <cell r="H2966" t="str">
            <v>HD Metal-End Air Filter with Attached Lid</v>
          </cell>
        </row>
        <row r="2967">
          <cell r="G2967" t="str">
            <v>LAF9089</v>
          </cell>
          <cell r="H2967" t="str">
            <v>Panel Air Filter Metal Framed</v>
          </cell>
        </row>
        <row r="2968">
          <cell r="G2968" t="str">
            <v>LFH4948</v>
          </cell>
          <cell r="H2968" t="str">
            <v>Spin-on Hydraulic Filter</v>
          </cell>
        </row>
        <row r="2969">
          <cell r="G2969" t="str">
            <v>AF5034</v>
          </cell>
          <cell r="H2969" t="str">
            <v>Air Filter</v>
          </cell>
        </row>
        <row r="2970">
          <cell r="G2970" t="str">
            <v>AF5848</v>
          </cell>
          <cell r="H2970" t="str">
            <v>Flexible Panel Air Filter</v>
          </cell>
        </row>
        <row r="2971">
          <cell r="G2971" t="str">
            <v>G6337</v>
          </cell>
          <cell r="H2971" t="str">
            <v>In-Line Fuel Filter</v>
          </cell>
        </row>
        <row r="2972">
          <cell r="G2972" t="str">
            <v>L267F</v>
          </cell>
          <cell r="H2972" t="str">
            <v>Cartridge Fuel Filter</v>
          </cell>
        </row>
        <row r="2973">
          <cell r="G2973" t="str">
            <v>LAF1898</v>
          </cell>
          <cell r="H2973" t="str">
            <v>HD Metal-End Inner Air Filter</v>
          </cell>
        </row>
        <row r="2974">
          <cell r="G2974" t="str">
            <v>LAF4607</v>
          </cell>
          <cell r="H2974" t="str">
            <v>HD Metal-End Air Filter</v>
          </cell>
        </row>
        <row r="2975">
          <cell r="G2975" t="str">
            <v>LAF8587</v>
          </cell>
          <cell r="H2975" t="str">
            <v>HD Metal-End Air Filter-Inner</v>
          </cell>
        </row>
        <row r="2976">
          <cell r="G2976" t="str">
            <v>LAF8839</v>
          </cell>
          <cell r="H2976" t="str">
            <v>Round Inner Air Filter</v>
          </cell>
        </row>
        <row r="2977">
          <cell r="G2977" t="str">
            <v>LFH4200</v>
          </cell>
          <cell r="H2977" t="str">
            <v>Spin-on Hydraulic Filter</v>
          </cell>
        </row>
        <row r="2978">
          <cell r="G2978" t="str">
            <v>LFH4635G</v>
          </cell>
          <cell r="H2978" t="str">
            <v>Spin-on Hydraulic Filter</v>
          </cell>
        </row>
        <row r="2979">
          <cell r="G2979" t="str">
            <v>LH5854</v>
          </cell>
          <cell r="H2979" t="str">
            <v>Cartridge Hydraulic Filter</v>
          </cell>
        </row>
        <row r="2980">
          <cell r="G2980" t="str">
            <v>LH95037V</v>
          </cell>
          <cell r="H2980" t="str">
            <v>Cartridge Hydraulic Filter</v>
          </cell>
        </row>
        <row r="2981">
          <cell r="G2981" t="str">
            <v>AF374</v>
          </cell>
          <cell r="H2981" t="str">
            <v>Special Configuration Air Filter</v>
          </cell>
        </row>
        <row r="2982">
          <cell r="G2982" t="str">
            <v>AF607</v>
          </cell>
          <cell r="H2982" t="str">
            <v>Round Air Filter</v>
          </cell>
        </row>
        <row r="2983">
          <cell r="G2983" t="str">
            <v>AF7960</v>
          </cell>
          <cell r="H2983" t="str">
            <v>Flexible Panel Air Filter</v>
          </cell>
        </row>
        <row r="2984">
          <cell r="G2984" t="str">
            <v>CAF1737</v>
          </cell>
          <cell r="H2984" t="str">
            <v>Cabin Air Filter</v>
          </cell>
        </row>
        <row r="2985">
          <cell r="G2985" t="str">
            <v>CAF1811C</v>
          </cell>
          <cell r="H2985" t="str">
            <v>Cabin Air Filter (Carbon)</v>
          </cell>
        </row>
        <row r="2986">
          <cell r="G2986" t="str">
            <v>CAF7793</v>
          </cell>
          <cell r="H2986" t="str">
            <v>Cabin Air Filter (Carbon)</v>
          </cell>
        </row>
        <row r="2987">
          <cell r="G2987" t="str">
            <v>G247</v>
          </cell>
          <cell r="H2987" t="str">
            <v>Fuel Filter</v>
          </cell>
        </row>
        <row r="2988">
          <cell r="G2988" t="str">
            <v>G2901</v>
          </cell>
          <cell r="H2988" t="str">
            <v>In-Line Fuel Filter</v>
          </cell>
        </row>
        <row r="2989">
          <cell r="G2989" t="str">
            <v>G2936</v>
          </cell>
          <cell r="H2989" t="str">
            <v>Fuel Filter</v>
          </cell>
        </row>
        <row r="2990">
          <cell r="G2990" t="str">
            <v>G2998</v>
          </cell>
          <cell r="H2990" t="str">
            <v>Fuel Filter</v>
          </cell>
        </row>
        <row r="2991">
          <cell r="G2991" t="str">
            <v>G441</v>
          </cell>
          <cell r="H2991" t="str">
            <v>Fuel Filter</v>
          </cell>
        </row>
        <row r="2992">
          <cell r="G2992" t="str">
            <v>G6399</v>
          </cell>
          <cell r="H2992" t="str">
            <v>In-Line Fuel Filter</v>
          </cell>
        </row>
        <row r="2993">
          <cell r="G2993" t="str">
            <v>G6526</v>
          </cell>
          <cell r="H2993" t="str">
            <v>In-Line Fuel Filter</v>
          </cell>
        </row>
        <row r="2994">
          <cell r="G2994" t="str">
            <v>G8271</v>
          </cell>
          <cell r="H2994" t="str">
            <v>In-Line Fuel Filter</v>
          </cell>
        </row>
        <row r="2995">
          <cell r="G2995" t="str">
            <v>L24A</v>
          </cell>
          <cell r="H2995" t="str">
            <v>Sock Type Oil Filter</v>
          </cell>
        </row>
        <row r="2996">
          <cell r="G2996" t="str">
            <v>L3892F</v>
          </cell>
          <cell r="H2996" t="str">
            <v>Snap-lock Fuel/Water Separator Filter</v>
          </cell>
        </row>
        <row r="2997">
          <cell r="G2997" t="str">
            <v>L91F</v>
          </cell>
          <cell r="H2997" t="str">
            <v>Cartridge Fuel Filter</v>
          </cell>
        </row>
        <row r="2998">
          <cell r="G2998" t="str">
            <v>LAF1464</v>
          </cell>
          <cell r="H2998" t="str">
            <v>Round Air Filter</v>
          </cell>
        </row>
        <row r="2999">
          <cell r="G2999" t="str">
            <v>LAF1479</v>
          </cell>
          <cell r="H2999" t="str">
            <v>Round Plastisol Air Filter</v>
          </cell>
        </row>
        <row r="3000">
          <cell r="G3000" t="str">
            <v>LAF1748</v>
          </cell>
          <cell r="H3000" t="str">
            <v>HD Metal-End Inner Air Filter</v>
          </cell>
        </row>
        <row r="3001">
          <cell r="G3001" t="str">
            <v>LAF1805</v>
          </cell>
          <cell r="H3001" t="str">
            <v>HD Metal-End Air Filter</v>
          </cell>
        </row>
        <row r="3002">
          <cell r="G3002" t="str">
            <v>LAF1825</v>
          </cell>
          <cell r="H3002" t="str">
            <v>Disposible Housing Air Filter</v>
          </cell>
        </row>
        <row r="3003">
          <cell r="G3003" t="str">
            <v>LAF22031</v>
          </cell>
          <cell r="H3003" t="str">
            <v>Flexible Panel Air Filter</v>
          </cell>
        </row>
        <row r="3004">
          <cell r="G3004" t="str">
            <v>LAF310</v>
          </cell>
          <cell r="H3004" t="str">
            <v>HD Metal-End Air Filter</v>
          </cell>
        </row>
        <row r="3005">
          <cell r="G3005" t="str">
            <v>LAF3344</v>
          </cell>
          <cell r="H3005" t="str">
            <v>HD Metal-End Air Filter</v>
          </cell>
        </row>
        <row r="3006">
          <cell r="G3006" t="str">
            <v>LAF398</v>
          </cell>
          <cell r="H3006" t="str">
            <v>HD Metal-End Air Filter</v>
          </cell>
        </row>
        <row r="3007">
          <cell r="G3007" t="str">
            <v>LAF4331</v>
          </cell>
          <cell r="H3007" t="str">
            <v>HD Metal-End Air Filter with Attached Lid</v>
          </cell>
        </row>
        <row r="3008">
          <cell r="G3008" t="str">
            <v>LAF5757</v>
          </cell>
          <cell r="H3008" t="str">
            <v>HD Metal-End Air Filter</v>
          </cell>
        </row>
        <row r="3009">
          <cell r="G3009" t="str">
            <v>LAF5798</v>
          </cell>
          <cell r="H3009" t="str">
            <v>Round Air Filter</v>
          </cell>
        </row>
        <row r="3010">
          <cell r="G3010" t="str">
            <v>LAF5831</v>
          </cell>
          <cell r="H3010" t="str">
            <v>Rigid Panel Air Filter</v>
          </cell>
        </row>
        <row r="3011">
          <cell r="G3011" t="str">
            <v>LAF75</v>
          </cell>
          <cell r="H3011" t="str">
            <v>HD Metal-End Air Filter</v>
          </cell>
        </row>
        <row r="3012">
          <cell r="G3012" t="str">
            <v>LAF7727</v>
          </cell>
          <cell r="H3012" t="str">
            <v>HD Metal-End Air Filter</v>
          </cell>
        </row>
        <row r="3013">
          <cell r="G3013" t="str">
            <v>LAF826</v>
          </cell>
          <cell r="H3013" t="str">
            <v>HD Metal-End Air Filter</v>
          </cell>
        </row>
        <row r="3014">
          <cell r="G3014" t="str">
            <v>LAF8529</v>
          </cell>
          <cell r="H3014" t="str">
            <v>HD Round Air Filter with Attached Boot</v>
          </cell>
        </row>
        <row r="3015">
          <cell r="G3015" t="str">
            <v>LAF8609</v>
          </cell>
          <cell r="H3015" t="str">
            <v>HD Metal-End Air Filter</v>
          </cell>
        </row>
        <row r="3016">
          <cell r="G3016" t="str">
            <v>LAF8629</v>
          </cell>
          <cell r="H3016" t="str">
            <v>HD Metal-End Air Filter with Attached Lid</v>
          </cell>
        </row>
        <row r="3017">
          <cell r="G3017" t="str">
            <v>LAF8666</v>
          </cell>
          <cell r="H3017" t="str">
            <v>HD Round Air Filter with Attached Boot</v>
          </cell>
        </row>
        <row r="3018">
          <cell r="G3018" t="str">
            <v>LAF8976</v>
          </cell>
          <cell r="H3018" t="str">
            <v>HD Round Finned Air Filter with Attached Lid</v>
          </cell>
        </row>
        <row r="3019">
          <cell r="G3019" t="str">
            <v>LAF9532</v>
          </cell>
          <cell r="H3019" t="str">
            <v>HD Metal-End Air Filter</v>
          </cell>
        </row>
        <row r="3020">
          <cell r="G3020" t="str">
            <v>LAF9685</v>
          </cell>
          <cell r="H3020" t="str">
            <v>HD Metal-End Air Filter</v>
          </cell>
        </row>
        <row r="3021">
          <cell r="G3021" t="str">
            <v>LFF3503</v>
          </cell>
          <cell r="H3021" t="str">
            <v>Cartridge Fuel Filter</v>
          </cell>
        </row>
        <row r="3022">
          <cell r="G3022" t="str">
            <v>LFF8258</v>
          </cell>
          <cell r="H3022" t="str">
            <v>Spin-on Fuel Filter</v>
          </cell>
        </row>
        <row r="3023">
          <cell r="G3023" t="str">
            <v>LFH22016</v>
          </cell>
          <cell r="H3023" t="str">
            <v>Spin-on Hydraulic Filter</v>
          </cell>
        </row>
        <row r="3024">
          <cell r="G3024" t="str">
            <v>LH11028</v>
          </cell>
          <cell r="H3024" t="str">
            <v>Industrial Cartridge Hydraulic Filter</v>
          </cell>
        </row>
        <row r="3025">
          <cell r="G3025" t="str">
            <v>LH22153</v>
          </cell>
          <cell r="H3025" t="str">
            <v>Cartridge Hydraulic Filter</v>
          </cell>
        </row>
        <row r="3026">
          <cell r="G3026" t="str">
            <v>LH4852</v>
          </cell>
          <cell r="H3026" t="str">
            <v>Cartridge Hydraulic Filter</v>
          </cell>
        </row>
        <row r="3027">
          <cell r="G3027" t="str">
            <v>LH4859V</v>
          </cell>
          <cell r="H3027" t="str">
            <v>Cartridge Hydraulic Filter</v>
          </cell>
        </row>
        <row r="3028">
          <cell r="G3028" t="str">
            <v>LH5006</v>
          </cell>
          <cell r="H3028" t="str">
            <v>Cartridge Hydraulic Filter</v>
          </cell>
        </row>
        <row r="3029">
          <cell r="G3029" t="str">
            <v>LH5020</v>
          </cell>
          <cell r="H3029" t="str">
            <v>Cartridge Hydraulic Filter</v>
          </cell>
        </row>
        <row r="3030">
          <cell r="G3030" t="str">
            <v>LH9304V</v>
          </cell>
          <cell r="H3030" t="str">
            <v>Cartridge Hydraulic Filter</v>
          </cell>
        </row>
        <row r="3031">
          <cell r="G3031" t="str">
            <v>LH9390V</v>
          </cell>
          <cell r="H3031" t="str">
            <v>Cartridge Hydraulic Filter</v>
          </cell>
        </row>
        <row r="3032">
          <cell r="G3032" t="str">
            <v>LH9681V</v>
          </cell>
          <cell r="H3032" t="str">
            <v>Industrial Hydraulic Filter</v>
          </cell>
        </row>
        <row r="3033">
          <cell r="G3033" t="str">
            <v>LK115I</v>
          </cell>
          <cell r="H3033" t="str">
            <v>International Engine Maintenance Kit</v>
          </cell>
        </row>
        <row r="3034">
          <cell r="G3034" t="str">
            <v>LK294CR</v>
          </cell>
          <cell r="H3034" t="str">
            <v>Carrier Transcold Engine Maintenance Kit</v>
          </cell>
        </row>
        <row r="3035">
          <cell r="G3035" t="str">
            <v>LK322DF</v>
          </cell>
          <cell r="H3035" t="str">
            <v>Thermo King Engine Maintenance Kit</v>
          </cell>
        </row>
        <row r="3036">
          <cell r="G3036" t="str">
            <v>LK342M</v>
          </cell>
          <cell r="H3036" t="str">
            <v>Mack Engine Maintenance Kit</v>
          </cell>
        </row>
        <row r="3037">
          <cell r="G3037" t="str">
            <v>LP1670</v>
          </cell>
          <cell r="H3037" t="str">
            <v>Cartridge Oil Filter</v>
          </cell>
        </row>
        <row r="3038">
          <cell r="G3038" t="str">
            <v>LP4414</v>
          </cell>
          <cell r="H3038" t="str">
            <v>Cartridge Oil Filter</v>
          </cell>
        </row>
        <row r="3039">
          <cell r="G3039" t="str">
            <v>LP4416</v>
          </cell>
          <cell r="H3039" t="str">
            <v>Cartridge Hydraulic Filter</v>
          </cell>
        </row>
        <row r="3040">
          <cell r="G3040" t="str">
            <v>RETAINING</v>
          </cell>
          <cell r="H3040" t="str">
            <v>Retaining Ring/F-120, 155, 170</v>
          </cell>
        </row>
        <row r="3041">
          <cell r="G3041" t="str">
            <v>750-C</v>
          </cell>
          <cell r="H3041" t="str">
            <v>Diesel Unit Universal Mount 750C</v>
          </cell>
        </row>
        <row r="3042">
          <cell r="G3042">
            <v>500</v>
          </cell>
          <cell r="H3042" t="str">
            <v>DIESEL PK 500</v>
          </cell>
        </row>
        <row r="3043">
          <cell r="G3043" t="str">
            <v>G485</v>
          </cell>
          <cell r="H3043" t="str">
            <v>In-Line Fuel Filter</v>
          </cell>
        </row>
        <row r="3044">
          <cell r="G3044" t="str">
            <v>LAF1904</v>
          </cell>
          <cell r="H3044" t="str">
            <v>HD Metal-End Air Filter</v>
          </cell>
        </row>
        <row r="3045">
          <cell r="G3045" t="str">
            <v>LAF1977</v>
          </cell>
          <cell r="H3045" t="str">
            <v>HD Metal-End Air Filter-Inner</v>
          </cell>
        </row>
        <row r="3046">
          <cell r="G3046" t="str">
            <v>LAF8627</v>
          </cell>
          <cell r="H3046" t="str">
            <v>Finned Vane Air Filter</v>
          </cell>
        </row>
        <row r="3047">
          <cell r="G3047" t="str">
            <v>AF7869</v>
          </cell>
          <cell r="H3047" t="str">
            <v>Rigid Panel Air Filter</v>
          </cell>
        </row>
        <row r="3048">
          <cell r="G3048" t="str">
            <v>LP5597</v>
          </cell>
          <cell r="H3048" t="str">
            <v>Cartridge Oil Filter</v>
          </cell>
        </row>
        <row r="3049">
          <cell r="G3049" t="str">
            <v>CAF1825P</v>
          </cell>
          <cell r="H3049" t="str">
            <v>Cabin Air Filter</v>
          </cell>
        </row>
        <row r="3050">
          <cell r="G3050" t="str">
            <v>AF3895</v>
          </cell>
          <cell r="H3050" t="str">
            <v>Flexible Panel Air Filter</v>
          </cell>
        </row>
        <row r="3051">
          <cell r="G3051" t="str">
            <v>PH787</v>
          </cell>
          <cell r="H3051" t="str">
            <v>Spin-on By-Pass Oil Filter</v>
          </cell>
        </row>
        <row r="3052">
          <cell r="G3052" t="str">
            <v>CAF1911P</v>
          </cell>
          <cell r="H3052" t="str">
            <v>Cabin Air Filter</v>
          </cell>
        </row>
        <row r="3053">
          <cell r="G3053" t="str">
            <v>CAF1721</v>
          </cell>
          <cell r="H3053" t="str">
            <v>Cabin Air Filter</v>
          </cell>
        </row>
        <row r="3054">
          <cell r="G3054" t="str">
            <v>AF7913</v>
          </cell>
          <cell r="H3054" t="str">
            <v>Flexible Panel Air Filter</v>
          </cell>
        </row>
        <row r="3055">
          <cell r="G3055" t="str">
            <v>AF7981</v>
          </cell>
          <cell r="H3055" t="str">
            <v>Radial Seal Air Filter</v>
          </cell>
        </row>
        <row r="3056">
          <cell r="G3056" t="str">
            <v>CAF1809P</v>
          </cell>
          <cell r="H3056" t="str">
            <v>Cabin Air Filter</v>
          </cell>
        </row>
        <row r="3057">
          <cell r="G3057" t="str">
            <v>AF7991</v>
          </cell>
          <cell r="H3057" t="str">
            <v>Round Panel Air Filter</v>
          </cell>
        </row>
        <row r="3058">
          <cell r="G3058" t="str">
            <v>AF3593</v>
          </cell>
          <cell r="H3058" t="str">
            <v>Flexible Panel Air Filter</v>
          </cell>
        </row>
        <row r="3059">
          <cell r="G3059" t="str">
            <v>AF3940</v>
          </cell>
          <cell r="H3059" t="str">
            <v>Special Round Construction</v>
          </cell>
        </row>
        <row r="3060">
          <cell r="G3060" t="str">
            <v>AF3096</v>
          </cell>
          <cell r="H3060" t="str">
            <v>Panel Air Irregular Shaped Filter</v>
          </cell>
        </row>
        <row r="3061">
          <cell r="G3061" t="str">
            <v>AF5191</v>
          </cell>
          <cell r="H3061" t="str">
            <v>Flexible Panel Air Filter</v>
          </cell>
        </row>
        <row r="3062">
          <cell r="G3062" t="str">
            <v>P834</v>
          </cell>
          <cell r="H3062" t="str">
            <v>Cartridge Oil Filter</v>
          </cell>
        </row>
        <row r="3063">
          <cell r="G3063" t="str">
            <v>AF351</v>
          </cell>
          <cell r="H3063" t="str">
            <v>Rigid Panel Air Filter</v>
          </cell>
        </row>
        <row r="3064">
          <cell r="G3064" t="str">
            <v>AF7836</v>
          </cell>
          <cell r="H3064" t="str">
            <v>Rigid Panel Air Filter</v>
          </cell>
        </row>
        <row r="3065">
          <cell r="G3065" t="str">
            <v>AF3598</v>
          </cell>
          <cell r="H3065" t="str">
            <v>Flexible Panel Air Filter</v>
          </cell>
        </row>
        <row r="3066">
          <cell r="G3066" t="str">
            <v>P2470</v>
          </cell>
          <cell r="H3066" t="str">
            <v>Cartridge Oil Filter</v>
          </cell>
        </row>
        <row r="3067">
          <cell r="G3067" t="str">
            <v>AF7880</v>
          </cell>
          <cell r="H3067" t="str">
            <v>Panel Air Irregular Shaped Filter</v>
          </cell>
        </row>
        <row r="3068">
          <cell r="G3068" t="str">
            <v>AF3977</v>
          </cell>
          <cell r="H3068" t="str">
            <v>Rigid Panel Air Filter</v>
          </cell>
        </row>
        <row r="3069">
          <cell r="G3069" t="str">
            <v>G6585</v>
          </cell>
          <cell r="H3069" t="str">
            <v>In-Line Fuel Filter</v>
          </cell>
        </row>
        <row r="3070">
          <cell r="G3070" t="str">
            <v>CAF1784</v>
          </cell>
          <cell r="H3070" t="str">
            <v>Cabin Air Filter</v>
          </cell>
        </row>
        <row r="3071">
          <cell r="G3071" t="str">
            <v>AF7918</v>
          </cell>
          <cell r="H3071" t="str">
            <v>Flexible Panel Air Filter</v>
          </cell>
        </row>
        <row r="3072">
          <cell r="G3072" t="str">
            <v>AF1630</v>
          </cell>
          <cell r="H3072" t="str">
            <v>Flexible Panel Air Filter</v>
          </cell>
        </row>
        <row r="3073">
          <cell r="G3073" t="str">
            <v>G1114</v>
          </cell>
          <cell r="H3073" t="str">
            <v>In-Line Fuel Filter</v>
          </cell>
        </row>
        <row r="3074">
          <cell r="G3074" t="str">
            <v>AF7849</v>
          </cell>
          <cell r="H3074" t="str">
            <v>Flexible Panel Air Filter</v>
          </cell>
        </row>
        <row r="3075">
          <cell r="G3075" t="str">
            <v>AF350</v>
          </cell>
          <cell r="H3075" t="str">
            <v>Round Air Filter</v>
          </cell>
        </row>
        <row r="3076">
          <cell r="G3076" t="str">
            <v>P845</v>
          </cell>
          <cell r="H3076" t="str">
            <v>Cartridge Oil Filter</v>
          </cell>
        </row>
        <row r="3077">
          <cell r="G3077" t="str">
            <v>L3519F</v>
          </cell>
          <cell r="H3077" t="str">
            <v>Cartridge Fuel Filter</v>
          </cell>
        </row>
        <row r="3078">
          <cell r="G3078" t="str">
            <v>G1056</v>
          </cell>
          <cell r="H3078" t="str">
            <v>In-Line Fuel Filter</v>
          </cell>
        </row>
        <row r="3079">
          <cell r="G3079" t="str">
            <v>PC287</v>
          </cell>
          <cell r="H3079" t="str">
            <v>PCV Valve</v>
          </cell>
        </row>
        <row r="3080">
          <cell r="G3080" t="str">
            <v>AF372</v>
          </cell>
          <cell r="H3080" t="str">
            <v>Rigid Panel Air Filter</v>
          </cell>
        </row>
        <row r="3081">
          <cell r="G3081" t="str">
            <v>PC228</v>
          </cell>
          <cell r="H3081" t="str">
            <v>PCV Valve</v>
          </cell>
        </row>
        <row r="3082">
          <cell r="G3082" t="str">
            <v>AF7954</v>
          </cell>
          <cell r="H3082" t="str">
            <v>Rigid Panel Air Filter</v>
          </cell>
        </row>
        <row r="3083">
          <cell r="G3083" t="str">
            <v>G6578</v>
          </cell>
          <cell r="H3083" t="str">
            <v>In-Line Fuel Filter</v>
          </cell>
        </row>
        <row r="3084">
          <cell r="G3084" t="str">
            <v>LAF1853</v>
          </cell>
          <cell r="H3084" t="str">
            <v>HD Metal-End Air Filter</v>
          </cell>
        </row>
        <row r="3085">
          <cell r="G3085" t="str">
            <v>AF307</v>
          </cell>
          <cell r="H3085" t="str">
            <v>Round Air Filter</v>
          </cell>
        </row>
        <row r="3086">
          <cell r="G3086" t="str">
            <v>L8924F</v>
          </cell>
          <cell r="H3086" t="str">
            <v>Cartridge Fuel Filter</v>
          </cell>
        </row>
        <row r="3087">
          <cell r="G3087" t="str">
            <v>T658</v>
          </cell>
          <cell r="H3087" t="str">
            <v>Transmission Filter Kit</v>
          </cell>
        </row>
        <row r="3088">
          <cell r="G3088" t="str">
            <v>AF3898</v>
          </cell>
          <cell r="H3088" t="str">
            <v>Special Round Construction</v>
          </cell>
        </row>
        <row r="3089">
          <cell r="G3089" t="str">
            <v>LP70V</v>
          </cell>
          <cell r="H3089" t="str">
            <v>Cartridge Oil Filter</v>
          </cell>
        </row>
        <row r="3090">
          <cell r="G3090" t="str">
            <v>CAF1791</v>
          </cell>
          <cell r="H3090" t="str">
            <v>Cabin Air Filter</v>
          </cell>
        </row>
        <row r="3091">
          <cell r="G3091" t="str">
            <v>PC87</v>
          </cell>
          <cell r="H3091" t="str">
            <v>PCV Valve</v>
          </cell>
        </row>
        <row r="3092">
          <cell r="G3092" t="str">
            <v>AF3989</v>
          </cell>
          <cell r="H3092" t="str">
            <v>Flexible Panel Air Filter</v>
          </cell>
        </row>
        <row r="3093">
          <cell r="G3093" t="str">
            <v>AF5694</v>
          </cell>
          <cell r="H3093" t="str">
            <v>Panel Air Irregular Shaped Filter</v>
          </cell>
        </row>
        <row r="3094">
          <cell r="G3094" t="str">
            <v>LFF8774</v>
          </cell>
          <cell r="H3094" t="str">
            <v>Spin-on Fuel Filter</v>
          </cell>
        </row>
        <row r="3095">
          <cell r="G3095" t="str">
            <v>CAF1771</v>
          </cell>
          <cell r="H3095" t="str">
            <v>Cabin Air Filter</v>
          </cell>
        </row>
        <row r="3096">
          <cell r="G3096" t="str">
            <v>AF5204</v>
          </cell>
          <cell r="H3096" t="str">
            <v>Rigid Panel Air Filter</v>
          </cell>
        </row>
        <row r="3097">
          <cell r="G3097" t="str">
            <v>G454</v>
          </cell>
          <cell r="H3097" t="str">
            <v>In-Line Fuel Filter</v>
          </cell>
        </row>
        <row r="3098">
          <cell r="G3098" t="str">
            <v>G2946</v>
          </cell>
          <cell r="H3098" t="str">
            <v>In-Line Fuel Filter</v>
          </cell>
        </row>
        <row r="3099">
          <cell r="G3099" t="str">
            <v>LFP8250</v>
          </cell>
          <cell r="H3099" t="str">
            <v>Spin-on Oil Filter</v>
          </cell>
        </row>
        <row r="3100">
          <cell r="G3100" t="str">
            <v>A340</v>
          </cell>
          <cell r="H3100" t="str">
            <v>Cartridge to Spin-on conversion kit. Contains adaptor lock plate and gaskets. Use LFP670 oil filter</v>
          </cell>
        </row>
        <row r="3101">
          <cell r="G3101" t="str">
            <v>CAF1833P</v>
          </cell>
          <cell r="H3101" t="str">
            <v>Cabin Air Filter</v>
          </cell>
        </row>
        <row r="3102">
          <cell r="G3102" t="str">
            <v>CAF1902C</v>
          </cell>
          <cell r="H3102" t="str">
            <v>Cabin Air Filter (Carbon)</v>
          </cell>
        </row>
        <row r="3103">
          <cell r="G3103" t="str">
            <v>LAF3655</v>
          </cell>
          <cell r="H3103" t="str">
            <v>HD Metal-End Air Filter</v>
          </cell>
        </row>
        <row r="3104">
          <cell r="G3104" t="str">
            <v>CAF1945P</v>
          </cell>
          <cell r="H3104" t="str">
            <v>Cabin Air Filter</v>
          </cell>
        </row>
        <row r="3105">
          <cell r="G3105" t="str">
            <v>PC2</v>
          </cell>
          <cell r="H3105" t="str">
            <v>PCV Valve</v>
          </cell>
        </row>
        <row r="3106">
          <cell r="G3106" t="str">
            <v>AF294</v>
          </cell>
          <cell r="H3106" t="str">
            <v>Flexible Panel Air Filter</v>
          </cell>
        </row>
        <row r="3107">
          <cell r="G3107" t="str">
            <v>LAF8768</v>
          </cell>
          <cell r="H3107" t="str">
            <v>Round Inner Air Filter</v>
          </cell>
        </row>
        <row r="3108">
          <cell r="G3108" t="str">
            <v>LFH8222</v>
          </cell>
          <cell r="H3108" t="str">
            <v>Spin-on Hydraulic Filter</v>
          </cell>
        </row>
        <row r="3109">
          <cell r="G3109" t="str">
            <v>P906</v>
          </cell>
          <cell r="H3109" t="str">
            <v>Cartridge Oil Filter</v>
          </cell>
        </row>
        <row r="3110">
          <cell r="G3110" t="str">
            <v>CAF1906P</v>
          </cell>
          <cell r="H3110" t="str">
            <v>Cabin Air Filter</v>
          </cell>
        </row>
        <row r="3111">
          <cell r="G3111" t="str">
            <v>G1062</v>
          </cell>
          <cell r="H3111" t="str">
            <v>In-Line Fuel Filter</v>
          </cell>
        </row>
        <row r="3112">
          <cell r="G3112" t="str">
            <v>G6537</v>
          </cell>
          <cell r="H3112" t="str">
            <v>In-Line Fuel Filter</v>
          </cell>
        </row>
        <row r="3113">
          <cell r="G3113" t="str">
            <v>L3548F</v>
          </cell>
          <cell r="H3113" t="str">
            <v>Cartridge Fuel Filter</v>
          </cell>
        </row>
        <row r="3114">
          <cell r="G3114" t="str">
            <v>LAF4631</v>
          </cell>
          <cell r="H3114" t="str">
            <v>HD Metal-End Air Filter</v>
          </cell>
        </row>
        <row r="3115">
          <cell r="G3115" t="str">
            <v>LAF8574</v>
          </cell>
          <cell r="H3115" t="str">
            <v>HD Metal-End Air Filter-Inner</v>
          </cell>
        </row>
        <row r="3116">
          <cell r="G3116" t="str">
            <v>LH9191</v>
          </cell>
          <cell r="H3116" t="str">
            <v>Cartridge Hydraulic Filter</v>
          </cell>
        </row>
        <row r="3117">
          <cell r="G3117" t="str">
            <v>AF600</v>
          </cell>
          <cell r="H3117" t="str">
            <v>Oval Air Filter</v>
          </cell>
        </row>
        <row r="3118">
          <cell r="G3118" t="str">
            <v>LAF9961</v>
          </cell>
          <cell r="H3118" t="str">
            <v>HD Metal-End Air Filter</v>
          </cell>
        </row>
        <row r="3119">
          <cell r="G3119" t="str">
            <v>G6361</v>
          </cell>
          <cell r="H3119" t="str">
            <v>In-Line Fuel Filter</v>
          </cell>
        </row>
        <row r="3120">
          <cell r="G3120" t="str">
            <v>LAF1766</v>
          </cell>
          <cell r="H3120" t="str">
            <v>Round Air Filter</v>
          </cell>
        </row>
        <row r="3121">
          <cell r="G3121" t="str">
            <v>LAF8970</v>
          </cell>
          <cell r="H3121" t="str">
            <v>HD Metal-End Air Filter</v>
          </cell>
        </row>
        <row r="3122">
          <cell r="G3122" t="str">
            <v>AF3960</v>
          </cell>
          <cell r="H3122" t="str">
            <v>Rigid Panel Air Filter</v>
          </cell>
        </row>
        <row r="3123">
          <cell r="G3123" t="str">
            <v>CAF1935P</v>
          </cell>
          <cell r="H3123" t="str">
            <v>Cabin Air Filter</v>
          </cell>
        </row>
        <row r="3124">
          <cell r="G3124" t="str">
            <v>LAF1012</v>
          </cell>
          <cell r="H3124" t="str">
            <v>Round Air Filter</v>
          </cell>
        </row>
        <row r="3125">
          <cell r="G3125" t="str">
            <v>AF1048</v>
          </cell>
          <cell r="H3125" t="str">
            <v>Round Air Filter</v>
          </cell>
        </row>
        <row r="3126">
          <cell r="G3126" t="str">
            <v>CAF1928P</v>
          </cell>
          <cell r="H3126" t="str">
            <v>Cabin Air Filter</v>
          </cell>
        </row>
        <row r="3127">
          <cell r="G3127" t="str">
            <v>LAF1640</v>
          </cell>
          <cell r="H3127" t="str">
            <v>Oval Air Filter</v>
          </cell>
        </row>
        <row r="3128">
          <cell r="G3128" t="str">
            <v>LAF1930</v>
          </cell>
          <cell r="H3128" t="str">
            <v>HD Metal-End Inner Air Filter</v>
          </cell>
        </row>
        <row r="3129">
          <cell r="G3129" t="str">
            <v>LAF1974</v>
          </cell>
          <cell r="H3129" t="str">
            <v>Round Air Filter</v>
          </cell>
        </row>
        <row r="3130">
          <cell r="G3130" t="str">
            <v>LFH4968</v>
          </cell>
          <cell r="H3130" t="str">
            <v>Spin-on Hydraulic Filter</v>
          </cell>
        </row>
        <row r="3131">
          <cell r="G3131" t="str">
            <v>LH4238</v>
          </cell>
          <cell r="H3131" t="str">
            <v>Cartridge Hydraulic Filter</v>
          </cell>
        </row>
        <row r="3132">
          <cell r="G3132" t="str">
            <v>LK1M</v>
          </cell>
          <cell r="H3132" t="str">
            <v>Mack Engine Maintenance Kit</v>
          </cell>
        </row>
        <row r="3133">
          <cell r="G3133" t="str">
            <v>LAF1882</v>
          </cell>
          <cell r="H3133" t="str">
            <v>HD Metal-End Air Filter</v>
          </cell>
        </row>
        <row r="3134">
          <cell r="G3134" t="str">
            <v>CAF1827P</v>
          </cell>
          <cell r="H3134" t="str">
            <v>Cabin Air Filter</v>
          </cell>
        </row>
        <row r="3135">
          <cell r="G3135" t="str">
            <v>LAF9111</v>
          </cell>
          <cell r="H3135" t="str">
            <v>Finned Vane Air Filter With Attached Lid</v>
          </cell>
        </row>
        <row r="3136">
          <cell r="G3136" t="str">
            <v>LFF6961</v>
          </cell>
          <cell r="H3136" t="str">
            <v>Spin-on Fuel Water Separator Filter</v>
          </cell>
        </row>
        <row r="3137">
          <cell r="G3137" t="str">
            <v>CAF1950P</v>
          </cell>
          <cell r="H3137" t="str">
            <v>Cabin Air Filter</v>
          </cell>
        </row>
        <row r="3138">
          <cell r="G3138" t="str">
            <v>LAF1940</v>
          </cell>
          <cell r="H3138" t="str">
            <v>HD Metal-End Inner Air Filter</v>
          </cell>
        </row>
        <row r="3139">
          <cell r="G3139" t="str">
            <v>LAF379</v>
          </cell>
          <cell r="H3139" t="str">
            <v>Round Inner Air Filter with Flanged Endcap</v>
          </cell>
        </row>
        <row r="3140">
          <cell r="G3140" t="str">
            <v>LAF575</v>
          </cell>
          <cell r="H3140" t="str">
            <v>HD Metal-End Air Filter</v>
          </cell>
        </row>
        <row r="3141">
          <cell r="G3141" t="str">
            <v>LFH4211</v>
          </cell>
          <cell r="H3141" t="str">
            <v>Spin-on Hydraulic Filter</v>
          </cell>
        </row>
        <row r="3142">
          <cell r="G3142" t="str">
            <v>LH4391</v>
          </cell>
          <cell r="H3142" t="str">
            <v>Cartridge Hydraulic Filter</v>
          </cell>
        </row>
        <row r="3143">
          <cell r="G3143" t="str">
            <v>LH4921</v>
          </cell>
          <cell r="H3143" t="str">
            <v>Cartridge Hydraulic Filter</v>
          </cell>
        </row>
        <row r="3144">
          <cell r="G3144" t="str">
            <v>LH4991</v>
          </cell>
          <cell r="H3144" t="str">
            <v>Cartridge Hydraulic Filter</v>
          </cell>
        </row>
        <row r="3145">
          <cell r="G3145" t="str">
            <v>AF254</v>
          </cell>
          <cell r="H3145" t="str">
            <v>Panel Air Filter</v>
          </cell>
        </row>
        <row r="3146">
          <cell r="G3146" t="str">
            <v>CAF1931C</v>
          </cell>
          <cell r="H3146" t="str">
            <v>Cabin Air Filter (Carbon)</v>
          </cell>
        </row>
        <row r="3147">
          <cell r="G3147" t="str">
            <v>CAF7708</v>
          </cell>
          <cell r="H3147" t="str">
            <v>Cabin Air Filter (Carbon)</v>
          </cell>
        </row>
        <row r="3148">
          <cell r="G3148" t="str">
            <v>G505</v>
          </cell>
          <cell r="H3148" t="str">
            <v>Fuel Filter</v>
          </cell>
        </row>
        <row r="3149">
          <cell r="G3149" t="str">
            <v>LAF1472</v>
          </cell>
          <cell r="H3149" t="str">
            <v>HD Metal-End Air Filter</v>
          </cell>
        </row>
        <row r="3150">
          <cell r="G3150" t="str">
            <v>LAF1957</v>
          </cell>
          <cell r="H3150" t="str">
            <v>Round Inner Air Filter with Flanged Endcap</v>
          </cell>
        </row>
        <row r="3151">
          <cell r="G3151" t="str">
            <v>LAF3754</v>
          </cell>
          <cell r="H3151" t="str">
            <v>Metal-End Air Filter with Closed Top End Cap</v>
          </cell>
        </row>
        <row r="3152">
          <cell r="G3152" t="str">
            <v>LAF4126</v>
          </cell>
          <cell r="H3152" t="str">
            <v>Panel Air Filter Metal Framed</v>
          </cell>
        </row>
        <row r="3153">
          <cell r="G3153" t="str">
            <v>LAF4501MXM</v>
          </cell>
          <cell r="H3153" t="str">
            <v>Nano Tech Radial Seal Air Filter</v>
          </cell>
        </row>
        <row r="3154">
          <cell r="G3154" t="str">
            <v>LAF8090</v>
          </cell>
          <cell r="H3154" t="str">
            <v>HD Metal-End Inner Air Filter</v>
          </cell>
        </row>
        <row r="3155">
          <cell r="G3155" t="str">
            <v>LAF8833</v>
          </cell>
          <cell r="H3155" t="str">
            <v>HD Metal-End Air Filter with Attached Lid</v>
          </cell>
        </row>
        <row r="3156">
          <cell r="G3156" t="str">
            <v>LAF9548</v>
          </cell>
          <cell r="H3156" t="str">
            <v>Radial Seal Inner Air Filter</v>
          </cell>
        </row>
        <row r="3157">
          <cell r="G3157" t="str">
            <v>LP5100</v>
          </cell>
          <cell r="H3157" t="str">
            <v>Cartridge Oil Filter</v>
          </cell>
        </row>
        <row r="3158">
          <cell r="G3158" t="str">
            <v>LP8232</v>
          </cell>
          <cell r="H3158" t="str">
            <v>Cartridge Hydraulic Filter</v>
          </cell>
        </row>
        <row r="3159">
          <cell r="G3159" t="str">
            <v>PC266</v>
          </cell>
          <cell r="H3159" t="str">
            <v>PCV Valve</v>
          </cell>
        </row>
        <row r="3160">
          <cell r="G3160" t="str">
            <v>AF3106</v>
          </cell>
          <cell r="H3160" t="str">
            <v>Rigid Panel Air Filter</v>
          </cell>
        </row>
        <row r="3161">
          <cell r="G3161" t="str">
            <v>CAF1891P</v>
          </cell>
          <cell r="H3161" t="str">
            <v>Cabin Air Filter</v>
          </cell>
        </row>
        <row r="3162">
          <cell r="G3162" t="str">
            <v>G2964</v>
          </cell>
          <cell r="H3162" t="str">
            <v>In-Line Fuel Filter</v>
          </cell>
        </row>
        <row r="3163">
          <cell r="G3163" t="str">
            <v>LAF1265</v>
          </cell>
          <cell r="H3163" t="str">
            <v>HD Metal-End Air Filter with Attached Lid</v>
          </cell>
        </row>
        <row r="3164">
          <cell r="G3164" t="str">
            <v>LAF225</v>
          </cell>
          <cell r="H3164" t="str">
            <v>Round Air Filter</v>
          </cell>
        </row>
        <row r="3165">
          <cell r="G3165" t="str">
            <v>LAF4169</v>
          </cell>
          <cell r="H3165" t="str">
            <v>Finned Vane Air Filter</v>
          </cell>
        </row>
        <row r="3166">
          <cell r="G3166" t="str">
            <v>LAF5889</v>
          </cell>
          <cell r="H3166" t="str">
            <v>HD Metal-End Air Filter with Attached Lid</v>
          </cell>
        </row>
        <row r="3167">
          <cell r="G3167" t="str">
            <v>LAF745</v>
          </cell>
          <cell r="H3167" t="str">
            <v>Round Inner Air Filter with Flanged Endcap</v>
          </cell>
        </row>
        <row r="3168">
          <cell r="G3168" t="str">
            <v>LAF8696</v>
          </cell>
          <cell r="H3168" t="str">
            <v>Rigid Panel Air Filter</v>
          </cell>
        </row>
        <row r="3169">
          <cell r="G3169" t="str">
            <v>LFH4432</v>
          </cell>
          <cell r="H3169" t="str">
            <v>Spin-on Hydraulic Filter</v>
          </cell>
        </row>
        <row r="3170">
          <cell r="G3170" t="str">
            <v>LFH8594</v>
          </cell>
          <cell r="H3170" t="str">
            <v>Spin-on Hydraulic Filter</v>
          </cell>
        </row>
        <row r="3171">
          <cell r="G3171" t="str">
            <v>P144</v>
          </cell>
          <cell r="H3171" t="str">
            <v>Cartridge Oil Filter</v>
          </cell>
        </row>
        <row r="3172">
          <cell r="G3172" t="str">
            <v>AF1088</v>
          </cell>
          <cell r="H3172" t="str">
            <v>Round Air Filter</v>
          </cell>
        </row>
        <row r="3173">
          <cell r="G3173" t="str">
            <v>AF316</v>
          </cell>
          <cell r="H3173" t="str">
            <v>Oval Air Filter</v>
          </cell>
        </row>
        <row r="3174">
          <cell r="G3174" t="str">
            <v>AF343</v>
          </cell>
          <cell r="H3174" t="str">
            <v>Air Filter</v>
          </cell>
        </row>
        <row r="3175">
          <cell r="G3175" t="str">
            <v>AF382</v>
          </cell>
          <cell r="H3175" t="str">
            <v>Round Air Filter</v>
          </cell>
        </row>
        <row r="3176">
          <cell r="G3176" t="str">
            <v>AF524</v>
          </cell>
          <cell r="H3176" t="str">
            <v>Flexible Panel Air Filter</v>
          </cell>
        </row>
        <row r="3177">
          <cell r="G3177" t="str">
            <v>AF537</v>
          </cell>
          <cell r="H3177" t="str">
            <v>Panel Air Filter</v>
          </cell>
        </row>
        <row r="3178">
          <cell r="G3178" t="str">
            <v>AF7806</v>
          </cell>
          <cell r="H3178" t="str">
            <v>Air Filter</v>
          </cell>
        </row>
        <row r="3179">
          <cell r="G3179" t="str">
            <v>AF7839</v>
          </cell>
          <cell r="H3179" t="str">
            <v>Rigid Panel Air Filter</v>
          </cell>
        </row>
        <row r="3180">
          <cell r="G3180" t="str">
            <v>AF7970</v>
          </cell>
          <cell r="H3180" t="str">
            <v>Flexible Panel Air Filter</v>
          </cell>
        </row>
        <row r="3181">
          <cell r="G3181" t="str">
            <v>AF85</v>
          </cell>
          <cell r="H3181" t="str">
            <v>Breather Filter</v>
          </cell>
        </row>
        <row r="3182">
          <cell r="G3182" t="str">
            <v>AF862</v>
          </cell>
          <cell r="H3182" t="str">
            <v>Special Oval Construction</v>
          </cell>
        </row>
        <row r="3183">
          <cell r="G3183" t="str">
            <v>CAF7709</v>
          </cell>
          <cell r="H3183" t="str">
            <v>Cabin Air Filter (Carbon)</v>
          </cell>
        </row>
        <row r="3184">
          <cell r="G3184" t="str">
            <v>CAF7771</v>
          </cell>
          <cell r="H3184" t="str">
            <v>Cabin Air Filter (Carbon)</v>
          </cell>
        </row>
        <row r="3185">
          <cell r="G3185" t="str">
            <v>G22077</v>
          </cell>
          <cell r="H3185" t="str">
            <v>Fuel Filter</v>
          </cell>
        </row>
        <row r="3186">
          <cell r="G3186" t="str">
            <v>G4780</v>
          </cell>
          <cell r="H3186" t="str">
            <v>Fuel Filter</v>
          </cell>
        </row>
        <row r="3187">
          <cell r="G3187" t="str">
            <v>G6304</v>
          </cell>
          <cell r="H3187" t="str">
            <v>In-Line Fuel Filter</v>
          </cell>
        </row>
        <row r="3188">
          <cell r="G3188" t="str">
            <v>G6386</v>
          </cell>
          <cell r="H3188" t="str">
            <v>In-Line Fuel Filter</v>
          </cell>
        </row>
        <row r="3189">
          <cell r="G3189" t="str">
            <v>G6567</v>
          </cell>
          <cell r="H3189" t="str">
            <v>In-Line Fuel Filter</v>
          </cell>
        </row>
        <row r="3190">
          <cell r="G3190" t="str">
            <v>G855</v>
          </cell>
          <cell r="H3190" t="str">
            <v>Cartridge Fuel Filter</v>
          </cell>
        </row>
        <row r="3191">
          <cell r="G3191" t="str">
            <v>L155F</v>
          </cell>
          <cell r="H3191" t="str">
            <v>Cartridge Fuel Filter</v>
          </cell>
        </row>
        <row r="3192">
          <cell r="G3192" t="str">
            <v>LAF1146</v>
          </cell>
          <cell r="H3192" t="str">
            <v>Metal-End Air Filter with Closed Top End Cap</v>
          </cell>
        </row>
        <row r="3193">
          <cell r="G3193" t="str">
            <v>LAF1460</v>
          </cell>
          <cell r="H3193" t="str">
            <v>HD Metal-End Air Filter</v>
          </cell>
        </row>
        <row r="3194">
          <cell r="G3194" t="str">
            <v>LAF1753</v>
          </cell>
          <cell r="H3194" t="str">
            <v>HD Metal-End Air Filter</v>
          </cell>
        </row>
        <row r="3195">
          <cell r="G3195" t="str">
            <v>LAF1762</v>
          </cell>
          <cell r="H3195" t="str">
            <v>HD Metal-End Air Filter</v>
          </cell>
        </row>
        <row r="3196">
          <cell r="G3196" t="str">
            <v>LAF1764</v>
          </cell>
          <cell r="H3196" t="str">
            <v>HD Round Air Filter with Attached Lid</v>
          </cell>
        </row>
        <row r="3197">
          <cell r="G3197" t="str">
            <v>LAF1935</v>
          </cell>
          <cell r="H3197" t="str">
            <v>HD Metal-End Air Filter</v>
          </cell>
        </row>
        <row r="3198">
          <cell r="G3198" t="str">
            <v>LAF1968</v>
          </cell>
          <cell r="H3198" t="str">
            <v>Disposible Housing Air Filter</v>
          </cell>
        </row>
        <row r="3199">
          <cell r="G3199" t="str">
            <v>LAF25</v>
          </cell>
          <cell r="H3199" t="str">
            <v>Round Air Filter</v>
          </cell>
        </row>
        <row r="3200">
          <cell r="G3200" t="str">
            <v>LAF3586</v>
          </cell>
          <cell r="H3200" t="str">
            <v>HD Metal-End Air Filter</v>
          </cell>
        </row>
        <row r="3201">
          <cell r="G3201" t="str">
            <v>LAF4121</v>
          </cell>
          <cell r="H3201" t="str">
            <v>HD Metal-End Air Filter</v>
          </cell>
        </row>
        <row r="3202">
          <cell r="G3202" t="str">
            <v>LAF4175</v>
          </cell>
          <cell r="H3202" t="str">
            <v>Finned Vane Air Filter</v>
          </cell>
        </row>
        <row r="3203">
          <cell r="G3203" t="str">
            <v>LAF4193</v>
          </cell>
          <cell r="H3203" t="str">
            <v>HD Metal-End Air Filter</v>
          </cell>
        </row>
        <row r="3204">
          <cell r="G3204" t="str">
            <v>LAF4207</v>
          </cell>
          <cell r="H3204" t="str">
            <v>Finned Vane Air Filter</v>
          </cell>
        </row>
        <row r="3205">
          <cell r="G3205" t="str">
            <v>LAF4310</v>
          </cell>
          <cell r="H3205" t="str">
            <v>HD Metal-End Air Filter with Attached Lid</v>
          </cell>
        </row>
        <row r="3206">
          <cell r="G3206" t="str">
            <v>LAF6587MXM</v>
          </cell>
          <cell r="H3206" t="str">
            <v xml:space="preserve">Nano Tech Air Filter HD Metal-End </v>
          </cell>
        </row>
        <row r="3207">
          <cell r="G3207" t="str">
            <v>LAF8338</v>
          </cell>
          <cell r="H3207" t="str">
            <v>Oval Air Filter</v>
          </cell>
        </row>
        <row r="3208">
          <cell r="G3208" t="str">
            <v>LAF8485</v>
          </cell>
          <cell r="H3208" t="str">
            <v>Panel Air Filter Metal Framed</v>
          </cell>
        </row>
        <row r="3209">
          <cell r="G3209" t="str">
            <v>LAF8584</v>
          </cell>
          <cell r="H3209" t="str">
            <v>HD Metal-End Air Filter with Attached Lid</v>
          </cell>
        </row>
        <row r="3210">
          <cell r="G3210" t="str">
            <v>LAF8585</v>
          </cell>
          <cell r="H3210" t="str">
            <v>HD Metal-End Air Filter-Inner</v>
          </cell>
        </row>
        <row r="3211">
          <cell r="G3211" t="str">
            <v>LAF8616</v>
          </cell>
          <cell r="H3211" t="str">
            <v>HD Round Air Filter with Attached Lid</v>
          </cell>
        </row>
        <row r="3212">
          <cell r="G3212" t="str">
            <v>LAF8631</v>
          </cell>
          <cell r="H3212" t="str">
            <v>HD Metal-End Air Filter with Attached Lid</v>
          </cell>
        </row>
        <row r="3213">
          <cell r="G3213" t="str">
            <v>LAF8695</v>
          </cell>
          <cell r="H3213" t="str">
            <v>HD Metal-End Air Filter</v>
          </cell>
        </row>
        <row r="3214">
          <cell r="G3214" t="str">
            <v>LAF8729</v>
          </cell>
          <cell r="H3214" t="str">
            <v>Finned Vane Air Filter</v>
          </cell>
        </row>
        <row r="3215">
          <cell r="G3215" t="str">
            <v>LAF8773</v>
          </cell>
          <cell r="H3215" t="str">
            <v>Radial Seal Outer Air Filter</v>
          </cell>
        </row>
        <row r="3216">
          <cell r="G3216" t="str">
            <v>LAF8997</v>
          </cell>
          <cell r="H3216" t="str">
            <v>HD Metal-End Air Filter</v>
          </cell>
        </row>
        <row r="3217">
          <cell r="G3217" t="str">
            <v>LFF3291</v>
          </cell>
          <cell r="H3217" t="str">
            <v>Spin-on Fuel Filter</v>
          </cell>
        </row>
        <row r="3218">
          <cell r="G3218" t="str">
            <v>LFH8456</v>
          </cell>
          <cell r="H3218" t="str">
            <v>Spin-on Hydraulic Filter</v>
          </cell>
        </row>
        <row r="3219">
          <cell r="G3219" t="str">
            <v>LFP5772</v>
          </cell>
          <cell r="H3219" t="str">
            <v>Spin-on Oil Filter</v>
          </cell>
        </row>
        <row r="3220">
          <cell r="G3220" t="str">
            <v>LH11030V</v>
          </cell>
          <cell r="H3220" t="str">
            <v>Industrial Cartridge Hydraulic Filter</v>
          </cell>
        </row>
        <row r="3221">
          <cell r="G3221" t="str">
            <v>LH4239</v>
          </cell>
          <cell r="H3221" t="str">
            <v>Cartridge Hydraulic Filter</v>
          </cell>
        </row>
        <row r="3222">
          <cell r="G3222" t="str">
            <v>LH4270</v>
          </cell>
          <cell r="H3222" t="str">
            <v>Cartridge Hydraulic Filter</v>
          </cell>
        </row>
        <row r="3223">
          <cell r="G3223" t="str">
            <v>LH95315V</v>
          </cell>
          <cell r="H3223" t="str">
            <v>Cartridge Hydraulic Filter</v>
          </cell>
        </row>
        <row r="3224">
          <cell r="G3224" t="str">
            <v>LH95361V</v>
          </cell>
          <cell r="H3224" t="str">
            <v>Cartridge Hydraulic Filter</v>
          </cell>
        </row>
        <row r="3225">
          <cell r="G3225" t="str">
            <v>LK282MB</v>
          </cell>
          <cell r="H3225" t="str">
            <v>Mercedes Benz Engine Maintenance Kit</v>
          </cell>
        </row>
        <row r="3226">
          <cell r="G3226" t="str">
            <v>LP176</v>
          </cell>
          <cell r="H3226" t="str">
            <v>Cartridge Oil Filter</v>
          </cell>
        </row>
        <row r="3227">
          <cell r="G3227" t="str">
            <v>LP5040</v>
          </cell>
          <cell r="H3227" t="str">
            <v>Cartridge Oil Filter</v>
          </cell>
        </row>
        <row r="3228">
          <cell r="G3228" t="str">
            <v>LP5041</v>
          </cell>
          <cell r="H3228" t="str">
            <v>Cartridge Oil Filter</v>
          </cell>
        </row>
        <row r="3229">
          <cell r="G3229" t="str">
            <v>LP8278</v>
          </cell>
          <cell r="H3229" t="str">
            <v>Cartridge Oil Filter</v>
          </cell>
        </row>
        <row r="3230">
          <cell r="G3230" t="str">
            <v>LP8719</v>
          </cell>
          <cell r="H3230" t="str">
            <v>Cartridge Oil Filter</v>
          </cell>
        </row>
        <row r="3231">
          <cell r="G3231" t="str">
            <v>P422</v>
          </cell>
          <cell r="H3231" t="str">
            <v>Cartridge Hydraulic Filter</v>
          </cell>
        </row>
        <row r="3232">
          <cell r="G3232" t="str">
            <v>P7000</v>
          </cell>
          <cell r="H3232" t="str">
            <v>Cartridge Oil Filter</v>
          </cell>
        </row>
        <row r="3233">
          <cell r="G3233" t="str">
            <v>P8345</v>
          </cell>
          <cell r="H3233" t="str">
            <v>Cartridge Oil Filter</v>
          </cell>
        </row>
        <row r="3234">
          <cell r="G3234" t="str">
            <v>PC286</v>
          </cell>
          <cell r="H3234" t="str">
            <v>PCV Valve</v>
          </cell>
        </row>
        <row r="3235">
          <cell r="G3235" t="str">
            <v>PH4</v>
          </cell>
          <cell r="H3235" t="str">
            <v>Spin-on Oil Filter</v>
          </cell>
        </row>
        <row r="3236">
          <cell r="G3236" t="str">
            <v>ZINC</v>
          </cell>
          <cell r="H3236" t="str">
            <v>Inlet Check Valve Assembly/500-B &amp; C, 750-B &amp; C Check valve opening pressure 6psi at .01 GPM flow</v>
          </cell>
        </row>
        <row r="3237">
          <cell r="G3237">
            <v>750</v>
          </cell>
          <cell r="H3237" t="str">
            <v>750-C Lower Housing Shell w/Retaining Ring Only</v>
          </cell>
        </row>
        <row r="3238">
          <cell r="G3238">
            <v>135</v>
          </cell>
          <cell r="H3238" t="str">
            <v>Luber-finer model 135 diesel pak, Fleetpak oil filter</v>
          </cell>
        </row>
        <row r="3239">
          <cell r="G3239" t="str">
            <v>500CT</v>
          </cell>
          <cell r="H3239" t="str">
            <v>Horizontal Diesel Unit w/Imperial Filter Pack/500-C</v>
          </cell>
        </row>
        <row r="3240">
          <cell r="G3240" t="str">
            <v>F170</v>
          </cell>
          <cell r="H3240" t="str">
            <v>Head Casting, Aluminum/F-170-W</v>
          </cell>
        </row>
        <row r="3241">
          <cell r="G3241" t="str">
            <v>FW1</v>
          </cell>
          <cell r="H3241" t="str">
            <v>Band Wrench with Handle for 4" diameter filters.</v>
          </cell>
        </row>
        <row r="3242">
          <cell r="G3242" t="str">
            <v>LAF4738</v>
          </cell>
          <cell r="H3242" t="str">
            <v>HD Metal-End Air Filter</v>
          </cell>
        </row>
        <row r="3243">
          <cell r="G3243" t="str">
            <v>PC347</v>
          </cell>
          <cell r="H3243" t="str">
            <v>PCV Valve</v>
          </cell>
        </row>
        <row r="3244">
          <cell r="G3244" t="str">
            <v>PC416</v>
          </cell>
          <cell r="H3244" t="str">
            <v>PCV Valve</v>
          </cell>
        </row>
        <row r="3245">
          <cell r="G3245" t="str">
            <v>AF404</v>
          </cell>
          <cell r="H3245" t="str">
            <v>Oval Air Filter</v>
          </cell>
        </row>
        <row r="3246">
          <cell r="G3246" t="str">
            <v>CAF7786</v>
          </cell>
          <cell r="H3246" t="str">
            <v>Cabin Air Filter (Carbon)</v>
          </cell>
        </row>
        <row r="3247">
          <cell r="G3247" t="str">
            <v>G2956</v>
          </cell>
          <cell r="H3247" t="str">
            <v>In-Line Fuel Filter</v>
          </cell>
        </row>
        <row r="3248">
          <cell r="G3248" t="str">
            <v>AF735</v>
          </cell>
          <cell r="H3248" t="str">
            <v>Round Air Filter</v>
          </cell>
        </row>
        <row r="3249">
          <cell r="G3249" t="str">
            <v>AF1606</v>
          </cell>
          <cell r="H3249" t="str">
            <v>Flexible Panel Air Filter</v>
          </cell>
        </row>
        <row r="3250">
          <cell r="G3250" t="str">
            <v>G180</v>
          </cell>
          <cell r="H3250" t="str">
            <v>In-Line Fuel Filter</v>
          </cell>
        </row>
        <row r="3251">
          <cell r="G3251" t="str">
            <v>LFF8932</v>
          </cell>
          <cell r="H3251" t="str">
            <v>Spin-on Fuel Water Separator Filter</v>
          </cell>
        </row>
        <row r="3252">
          <cell r="G3252" t="str">
            <v>LFP2251</v>
          </cell>
          <cell r="H3252" t="str">
            <v>Spin-on Oil Filter</v>
          </cell>
        </row>
        <row r="3253">
          <cell r="G3253" t="str">
            <v>PH920</v>
          </cell>
          <cell r="H3253" t="str">
            <v>Spin-on Oil Filter</v>
          </cell>
        </row>
        <row r="3254">
          <cell r="G3254" t="str">
            <v>LAF5590</v>
          </cell>
          <cell r="H3254" t="str">
            <v>Metal-End Air Filter, Primary</v>
          </cell>
        </row>
        <row r="3255">
          <cell r="G3255" t="str">
            <v>AF7990</v>
          </cell>
          <cell r="H3255" t="str">
            <v>Rigid Panel Air Filter</v>
          </cell>
        </row>
        <row r="3256">
          <cell r="G3256" t="str">
            <v>LFF8806F</v>
          </cell>
          <cell r="H3256" t="str">
            <v>Spin-on Fuel Water Separator Filter</v>
          </cell>
        </row>
        <row r="3257">
          <cell r="G3257" t="str">
            <v>LFP9930</v>
          </cell>
          <cell r="H3257" t="str">
            <v>Spin-on Oil Filter</v>
          </cell>
        </row>
        <row r="3258">
          <cell r="G3258" t="str">
            <v>PH8904</v>
          </cell>
          <cell r="H3258" t="str">
            <v>Spin-on Oil Filter</v>
          </cell>
        </row>
        <row r="3259">
          <cell r="G3259" t="str">
            <v>AF3975</v>
          </cell>
          <cell r="H3259" t="str">
            <v>Rigid Panel Air Filter</v>
          </cell>
        </row>
        <row r="3260">
          <cell r="G3260" t="str">
            <v>AF1129</v>
          </cell>
          <cell r="H3260" t="str">
            <v>Flexible Panel Air Filter</v>
          </cell>
        </row>
        <row r="3261">
          <cell r="G3261" t="str">
            <v>AF4045</v>
          </cell>
          <cell r="H3261" t="str">
            <v>Rigid Panel Air Filter</v>
          </cell>
        </row>
        <row r="3262">
          <cell r="G3262" t="str">
            <v>PC433</v>
          </cell>
          <cell r="H3262" t="str">
            <v>PCV Valve</v>
          </cell>
        </row>
        <row r="3263">
          <cell r="G3263" t="str">
            <v>AF4026</v>
          </cell>
          <cell r="H3263" t="str">
            <v>Flexible Panel Air Filter</v>
          </cell>
        </row>
        <row r="3264">
          <cell r="G3264" t="str">
            <v>AF7975</v>
          </cell>
          <cell r="H3264" t="str">
            <v>Flexible Panel Air Filter</v>
          </cell>
        </row>
        <row r="3265">
          <cell r="G3265" t="str">
            <v>AF3245</v>
          </cell>
          <cell r="H3265" t="str">
            <v>Rigid Panel Air Filter</v>
          </cell>
        </row>
        <row r="3266">
          <cell r="G3266" t="str">
            <v>AF7885</v>
          </cell>
          <cell r="H3266" t="str">
            <v>Flexible Panel Air Filter</v>
          </cell>
        </row>
        <row r="3267">
          <cell r="G3267" t="str">
            <v>LFP8235</v>
          </cell>
          <cell r="H3267" t="str">
            <v>Spin-on Oil Filter</v>
          </cell>
        </row>
        <row r="3268">
          <cell r="G3268" t="str">
            <v>LAF5572</v>
          </cell>
          <cell r="H3268" t="str">
            <v>HD Metal-End Air Filter</v>
          </cell>
        </row>
        <row r="3269">
          <cell r="G3269" t="str">
            <v>AF7893</v>
          </cell>
          <cell r="H3269" t="str">
            <v>Rigid Panel Air Filter</v>
          </cell>
        </row>
        <row r="3270">
          <cell r="G3270" t="str">
            <v>LP2254</v>
          </cell>
          <cell r="H3270" t="str">
            <v>Cartridge Oil Filter</v>
          </cell>
        </row>
        <row r="3271">
          <cell r="G3271" t="str">
            <v>AF3956</v>
          </cell>
          <cell r="H3271" t="str">
            <v>Flexible Panel Air Filter</v>
          </cell>
        </row>
        <row r="3272">
          <cell r="G3272" t="str">
            <v>4069B</v>
          </cell>
          <cell r="H3272" t="str">
            <v>Gasket Used on Fleetguard By-Pass oil canisters</v>
          </cell>
        </row>
        <row r="3273">
          <cell r="G3273" t="str">
            <v>CAF1807P</v>
          </cell>
          <cell r="H3273" t="str">
            <v>Cabin Air Filter</v>
          </cell>
        </row>
        <row r="3274">
          <cell r="G3274" t="str">
            <v>P822</v>
          </cell>
          <cell r="H3274" t="str">
            <v>Cartridge Oil Filter</v>
          </cell>
        </row>
        <row r="3275">
          <cell r="G3275" t="str">
            <v>LFF8093</v>
          </cell>
          <cell r="H3275" t="str">
            <v>Spin-on Fuel Filter</v>
          </cell>
        </row>
        <row r="3276">
          <cell r="G3276" t="str">
            <v>AF7914</v>
          </cell>
          <cell r="H3276" t="str">
            <v>Rigid Panel Air Filter</v>
          </cell>
        </row>
        <row r="3277">
          <cell r="G3277" t="str">
            <v>AF4001</v>
          </cell>
          <cell r="H3277" t="str">
            <v>Flexible Panel Air Filter</v>
          </cell>
        </row>
        <row r="3278">
          <cell r="G3278" t="str">
            <v>AF2771</v>
          </cell>
          <cell r="H3278" t="str">
            <v>Flexible Panel Air Filter</v>
          </cell>
        </row>
        <row r="3279">
          <cell r="G3279" t="str">
            <v>CAF1703</v>
          </cell>
          <cell r="H3279" t="str">
            <v>Cabin Air Filter</v>
          </cell>
        </row>
        <row r="3280">
          <cell r="G3280" t="str">
            <v>LAF5598</v>
          </cell>
          <cell r="H3280" t="str">
            <v>HD Metal-End Air Filter</v>
          </cell>
        </row>
        <row r="3281">
          <cell r="G3281" t="str">
            <v>AF7884</v>
          </cell>
          <cell r="H3281" t="str">
            <v>Panel Air Filter</v>
          </cell>
        </row>
        <row r="3282">
          <cell r="G3282" t="str">
            <v>CAF1796</v>
          </cell>
          <cell r="H3282" t="str">
            <v>Cabin Air Filter</v>
          </cell>
        </row>
        <row r="3283">
          <cell r="G3283" t="str">
            <v>LAF5951</v>
          </cell>
          <cell r="H3283" t="str">
            <v>Air Filter</v>
          </cell>
        </row>
        <row r="3284">
          <cell r="G3284" t="str">
            <v>AF7867</v>
          </cell>
          <cell r="H3284" t="str">
            <v>Rigid Panel Air Filter</v>
          </cell>
        </row>
        <row r="3285">
          <cell r="G3285" t="str">
            <v>LP5563</v>
          </cell>
          <cell r="H3285" t="str">
            <v>Cartridge Oil Filter</v>
          </cell>
        </row>
        <row r="3286">
          <cell r="G3286" t="str">
            <v>G6335</v>
          </cell>
          <cell r="H3286" t="str">
            <v>In-Line Fuel Filter</v>
          </cell>
        </row>
        <row r="3287">
          <cell r="G3287" t="str">
            <v>P843</v>
          </cell>
          <cell r="H3287" t="str">
            <v>Cartridge Oil Filter</v>
          </cell>
        </row>
        <row r="3288">
          <cell r="G3288" t="str">
            <v>LFP6240</v>
          </cell>
          <cell r="H3288" t="str">
            <v>Spin-on Oil Filter</v>
          </cell>
        </row>
        <row r="3289">
          <cell r="G3289" t="str">
            <v>AF7833</v>
          </cell>
          <cell r="H3289" t="str">
            <v>Rigid Panel Air Filter</v>
          </cell>
        </row>
        <row r="3290">
          <cell r="G3290" t="str">
            <v>LAF1803</v>
          </cell>
          <cell r="H3290" t="str">
            <v>Bag Type Air Filter</v>
          </cell>
        </row>
        <row r="3291">
          <cell r="G3291" t="str">
            <v>AF584</v>
          </cell>
          <cell r="H3291" t="str">
            <v>Round Air Filter</v>
          </cell>
        </row>
        <row r="3292">
          <cell r="G3292" t="str">
            <v>PH7016</v>
          </cell>
          <cell r="H3292" t="str">
            <v>Spin-on Oil Filter</v>
          </cell>
        </row>
        <row r="3293">
          <cell r="G3293" t="str">
            <v>G6353</v>
          </cell>
          <cell r="H3293" t="str">
            <v>In-Line Fuel Filter</v>
          </cell>
        </row>
        <row r="3294">
          <cell r="G3294" t="str">
            <v>AF142</v>
          </cell>
          <cell r="H3294" t="str">
            <v>Round Air Filter</v>
          </cell>
        </row>
        <row r="3295">
          <cell r="G3295" t="str">
            <v>AF5231</v>
          </cell>
          <cell r="H3295" t="str">
            <v>Air Filter</v>
          </cell>
        </row>
        <row r="3296">
          <cell r="G3296" t="str">
            <v>LP5565</v>
          </cell>
          <cell r="H3296" t="str">
            <v>Cartridge Fuel Filter</v>
          </cell>
        </row>
        <row r="3297">
          <cell r="G3297" t="str">
            <v>AF540</v>
          </cell>
          <cell r="H3297" t="str">
            <v>Round Air Filter</v>
          </cell>
        </row>
        <row r="3298">
          <cell r="G3298" t="str">
            <v>AF4058</v>
          </cell>
          <cell r="H3298" t="str">
            <v>Rigid Panel Air Filter</v>
          </cell>
        </row>
        <row r="3299">
          <cell r="G3299" t="str">
            <v>AF7974</v>
          </cell>
          <cell r="H3299" t="str">
            <v>Flexible Panel Air Filter</v>
          </cell>
        </row>
        <row r="3300">
          <cell r="G3300" t="str">
            <v>LFF5956</v>
          </cell>
          <cell r="H3300" t="str">
            <v>Spin-on Fuel Filter</v>
          </cell>
        </row>
        <row r="3301">
          <cell r="G3301" t="str">
            <v>L197F</v>
          </cell>
          <cell r="H3301" t="str">
            <v>Sock Type Fuel Filter</v>
          </cell>
        </row>
        <row r="3302">
          <cell r="G3302" t="str">
            <v>T135</v>
          </cell>
          <cell r="H3302" t="str">
            <v>Transmission Filter Kit</v>
          </cell>
        </row>
        <row r="3303">
          <cell r="G3303" t="str">
            <v>AF7832</v>
          </cell>
          <cell r="H3303" t="str">
            <v>Rigid Panel Air Filter</v>
          </cell>
        </row>
        <row r="3304">
          <cell r="G3304" t="str">
            <v>CAF1841C</v>
          </cell>
          <cell r="H3304" t="str">
            <v>Cabin Air Filter (Carbon)</v>
          </cell>
        </row>
        <row r="3305">
          <cell r="G3305" t="str">
            <v>AF3981</v>
          </cell>
          <cell r="H3305" t="str">
            <v>Panel Air Irregular Shaped Filter</v>
          </cell>
        </row>
        <row r="3306">
          <cell r="G3306" t="str">
            <v>LFF903</v>
          </cell>
          <cell r="H3306" t="str">
            <v>Bowl Style Fuel Water Separator Filter</v>
          </cell>
        </row>
        <row r="3307">
          <cell r="G3307" t="str">
            <v>AF9546</v>
          </cell>
          <cell r="H3307" t="str">
            <v>Panel Air Irregular Shaped Filter</v>
          </cell>
        </row>
        <row r="3308">
          <cell r="G3308" t="str">
            <v>AF7843</v>
          </cell>
          <cell r="H3308" t="str">
            <v>Rigid Panel Air Filter</v>
          </cell>
        </row>
        <row r="3309">
          <cell r="G3309" t="str">
            <v>G6324</v>
          </cell>
          <cell r="H3309" t="str">
            <v>In-Line Fuel Filter</v>
          </cell>
        </row>
        <row r="3310">
          <cell r="G3310" t="str">
            <v>AF7854</v>
          </cell>
          <cell r="H3310" t="str">
            <v>Flexible Panel Air Filter</v>
          </cell>
        </row>
        <row r="3311">
          <cell r="G3311" t="str">
            <v>LAF1838</v>
          </cell>
          <cell r="H3311" t="str">
            <v>Cone Shaped Conical Air Filter</v>
          </cell>
        </row>
        <row r="3312">
          <cell r="G3312" t="str">
            <v>P833</v>
          </cell>
          <cell r="H3312" t="str">
            <v>Cartridge Oil Filter</v>
          </cell>
        </row>
        <row r="3313">
          <cell r="G3313" t="str">
            <v>P4456</v>
          </cell>
          <cell r="H3313" t="str">
            <v>Cartridge Oil Filter</v>
          </cell>
        </row>
        <row r="3314">
          <cell r="G3314" t="str">
            <v>AF7859</v>
          </cell>
          <cell r="H3314" t="str">
            <v>Rigid Panel Air Filter</v>
          </cell>
        </row>
        <row r="3315">
          <cell r="G3315" t="str">
            <v>G2984</v>
          </cell>
          <cell r="H3315" t="str">
            <v>In-Line Fuel Filter</v>
          </cell>
        </row>
        <row r="3316">
          <cell r="G3316" t="str">
            <v>LFP2000K</v>
          </cell>
          <cell r="H3316" t="str">
            <v>Coalescer Fuel Filter and Mounting Base</v>
          </cell>
        </row>
        <row r="3317">
          <cell r="G3317" t="str">
            <v>AF8936</v>
          </cell>
          <cell r="H3317" t="str">
            <v>Rigid Panel Air Filter</v>
          </cell>
        </row>
        <row r="3318">
          <cell r="G3318" t="str">
            <v>AF1641</v>
          </cell>
          <cell r="H3318" t="str">
            <v>Cone Shaped Conical Air Filter</v>
          </cell>
        </row>
        <row r="3319">
          <cell r="G3319" t="str">
            <v>AF7940</v>
          </cell>
          <cell r="H3319" t="str">
            <v xml:space="preserve">Flexible Panel Air Filter with Attached Foam Pad </v>
          </cell>
        </row>
        <row r="3320">
          <cell r="G3320" t="str">
            <v>FC1HD</v>
          </cell>
          <cell r="H3320" t="str">
            <v>Oil Fltr Cutter for Fltrs up to 6 inches Diameter</v>
          </cell>
        </row>
        <row r="3321">
          <cell r="G3321" t="str">
            <v>AF7959</v>
          </cell>
          <cell r="H3321" t="str">
            <v>Flexible Panel Air Filter</v>
          </cell>
        </row>
        <row r="3322">
          <cell r="G3322" t="str">
            <v>CAF7758</v>
          </cell>
          <cell r="H3322" t="str">
            <v>Cabin Air Filter (Carbon)</v>
          </cell>
        </row>
        <row r="3323">
          <cell r="G3323" t="str">
            <v>P1028</v>
          </cell>
          <cell r="H3323" t="str">
            <v>Cartridge Oil Filter</v>
          </cell>
        </row>
        <row r="3324">
          <cell r="G3324" t="str">
            <v>P975</v>
          </cell>
          <cell r="H3324" t="str">
            <v>Cartridge Oil Filter</v>
          </cell>
        </row>
        <row r="3325">
          <cell r="G3325" t="str">
            <v>G2908</v>
          </cell>
          <cell r="H3325" t="str">
            <v>In-Line Fuel Filter</v>
          </cell>
        </row>
        <row r="3326">
          <cell r="G3326" t="str">
            <v>LFP8938</v>
          </cell>
          <cell r="H3326" t="str">
            <v>Spin-on Oil Filter</v>
          </cell>
        </row>
        <row r="3327">
          <cell r="G3327" t="str">
            <v>CAF1860C</v>
          </cell>
          <cell r="H3327" t="str">
            <v>Cabin Air Filter (Carbon)</v>
          </cell>
        </row>
        <row r="3328">
          <cell r="G3328" t="str">
            <v>AF3910</v>
          </cell>
          <cell r="H3328" t="str">
            <v>Flexible Panel Air Filter</v>
          </cell>
        </row>
        <row r="3329">
          <cell r="G3329" t="str">
            <v>LP2246</v>
          </cell>
          <cell r="H3329" t="str">
            <v>Cartridge Oil Filter</v>
          </cell>
        </row>
        <row r="3330">
          <cell r="G3330" t="str">
            <v>LFP8982</v>
          </cell>
          <cell r="H3330" t="str">
            <v>Spin-on Oil Filter</v>
          </cell>
        </row>
        <row r="3331">
          <cell r="G3331" t="str">
            <v>AF377</v>
          </cell>
          <cell r="H3331" t="str">
            <v>Round Air Filter</v>
          </cell>
        </row>
        <row r="3332">
          <cell r="G3332" t="str">
            <v>AF7870</v>
          </cell>
          <cell r="H3332" t="str">
            <v>Rigid Panel Air Filter</v>
          </cell>
        </row>
        <row r="3333">
          <cell r="G3333" t="str">
            <v>LP8708</v>
          </cell>
          <cell r="H3333" t="str">
            <v>Cartridge Oil Filter</v>
          </cell>
        </row>
        <row r="3334">
          <cell r="G3334" t="str">
            <v>AF3905</v>
          </cell>
          <cell r="H3334" t="str">
            <v>Flexible Panel Air Filter</v>
          </cell>
        </row>
        <row r="3335">
          <cell r="G3335" t="str">
            <v>AF358</v>
          </cell>
          <cell r="H3335" t="str">
            <v>Panel Air Filter</v>
          </cell>
        </row>
        <row r="3336">
          <cell r="G3336" t="str">
            <v>AF640</v>
          </cell>
          <cell r="H3336" t="str">
            <v>Round Air Filter</v>
          </cell>
        </row>
        <row r="3337">
          <cell r="G3337" t="str">
            <v>AF370</v>
          </cell>
          <cell r="H3337" t="str">
            <v>Round Panel Air Filter</v>
          </cell>
        </row>
        <row r="3338">
          <cell r="G3338" t="str">
            <v>AF4057</v>
          </cell>
          <cell r="H3338" t="str">
            <v>Rigid Panel Air Filter</v>
          </cell>
        </row>
        <row r="3339">
          <cell r="G3339" t="str">
            <v>AF214</v>
          </cell>
          <cell r="H3339" t="str">
            <v>Round Air Filter</v>
          </cell>
        </row>
        <row r="3340">
          <cell r="G3340" t="str">
            <v>L3525F</v>
          </cell>
          <cell r="H3340" t="str">
            <v>Cartridge Fuel Filter</v>
          </cell>
        </row>
        <row r="3341">
          <cell r="G3341" t="str">
            <v>LAF5773</v>
          </cell>
          <cell r="H3341" t="str">
            <v>Oval Air Filter</v>
          </cell>
        </row>
        <row r="3342">
          <cell r="G3342" t="str">
            <v>AF7976</v>
          </cell>
          <cell r="H3342" t="str">
            <v>Flexible Panel Air Filter</v>
          </cell>
        </row>
        <row r="3343">
          <cell r="G3343" t="str">
            <v>LP8992</v>
          </cell>
          <cell r="H3343" t="str">
            <v>Cartridge Oil Filter</v>
          </cell>
        </row>
        <row r="3344">
          <cell r="G3344" t="str">
            <v>LAF5763</v>
          </cell>
          <cell r="H3344" t="str">
            <v>Radial Seal Outer Air Filter</v>
          </cell>
        </row>
        <row r="3345">
          <cell r="G3345" t="str">
            <v>AF8916</v>
          </cell>
          <cell r="H3345" t="str">
            <v>Round Plastisol Air Filter</v>
          </cell>
        </row>
        <row r="3346">
          <cell r="G3346" t="str">
            <v>AF252</v>
          </cell>
          <cell r="H3346" t="str">
            <v>Oval Air Filter</v>
          </cell>
        </row>
        <row r="3347">
          <cell r="G3347" t="str">
            <v>L8965F</v>
          </cell>
          <cell r="H3347" t="str">
            <v>Cartridge Fuel Filter</v>
          </cell>
        </row>
        <row r="3348">
          <cell r="G3348" t="str">
            <v>PH915</v>
          </cell>
          <cell r="H3348" t="str">
            <v>Spin-on Oil Filter</v>
          </cell>
        </row>
        <row r="3349">
          <cell r="G3349" t="str">
            <v>LAF5764</v>
          </cell>
          <cell r="H3349" t="str">
            <v>Radial Seal Inner Air Filter</v>
          </cell>
        </row>
        <row r="3350">
          <cell r="G3350" t="str">
            <v>AF141</v>
          </cell>
          <cell r="H3350" t="str">
            <v>Oval Air Filter</v>
          </cell>
        </row>
        <row r="3351">
          <cell r="G3351" t="str">
            <v>LAF5569</v>
          </cell>
          <cell r="H3351" t="str">
            <v>Radial Seal Inner Air Filter</v>
          </cell>
        </row>
        <row r="3352">
          <cell r="G3352" t="str">
            <v>P138</v>
          </cell>
          <cell r="H3352" t="str">
            <v>Cartridge Oil Filter</v>
          </cell>
        </row>
        <row r="3353">
          <cell r="G3353" t="str">
            <v>PH2843</v>
          </cell>
          <cell r="H3353" t="str">
            <v>Spin-on Oil Filter</v>
          </cell>
        </row>
        <row r="3354">
          <cell r="G3354" t="str">
            <v>LAF1750</v>
          </cell>
          <cell r="H3354" t="str">
            <v>HD Metal-End Air Filter</v>
          </cell>
        </row>
        <row r="3355">
          <cell r="G3355" t="str">
            <v>P72</v>
          </cell>
          <cell r="H3355" t="str">
            <v>Cartridge Oil Filter</v>
          </cell>
        </row>
        <row r="3356">
          <cell r="G3356" t="str">
            <v>AF7875</v>
          </cell>
          <cell r="H3356" t="str">
            <v>Special Configuration Air Filter</v>
          </cell>
        </row>
        <row r="3357">
          <cell r="G3357" t="str">
            <v>AF7857</v>
          </cell>
          <cell r="H3357" t="str">
            <v>Flexible Panel Air Filter</v>
          </cell>
        </row>
        <row r="3358">
          <cell r="G3358" t="str">
            <v>P1016</v>
          </cell>
          <cell r="H3358" t="str">
            <v>Cartridge Oil Filter</v>
          </cell>
        </row>
        <row r="3359">
          <cell r="G3359" t="str">
            <v>AF7873</v>
          </cell>
          <cell r="H3359" t="str">
            <v>Flexible Panel Air Filter</v>
          </cell>
        </row>
        <row r="3360">
          <cell r="G3360" t="str">
            <v>LAF5575</v>
          </cell>
          <cell r="H3360" t="str">
            <v>HD Metal-End Air Filter</v>
          </cell>
        </row>
        <row r="3361">
          <cell r="G3361" t="str">
            <v>PC810</v>
          </cell>
          <cell r="H3361" t="str">
            <v>PCV Valve</v>
          </cell>
        </row>
        <row r="3362">
          <cell r="G3362" t="str">
            <v>CAF1939C</v>
          </cell>
          <cell r="H3362" t="str">
            <v>Cabin Air Filter (Carbon)</v>
          </cell>
        </row>
        <row r="3363">
          <cell r="G3363" t="str">
            <v>AF390</v>
          </cell>
          <cell r="H3363" t="str">
            <v>Round Air Filter</v>
          </cell>
        </row>
        <row r="3364">
          <cell r="G3364" t="str">
            <v>PC758</v>
          </cell>
          <cell r="H3364" t="str">
            <v>PCV Valve</v>
          </cell>
        </row>
        <row r="3365">
          <cell r="G3365" t="str">
            <v>L6267F</v>
          </cell>
          <cell r="H3365" t="str">
            <v>Snap-lock Fuel/Water Separator Filter</v>
          </cell>
        </row>
        <row r="3366">
          <cell r="G3366" t="str">
            <v>LAF1901</v>
          </cell>
          <cell r="H3366" t="str">
            <v>HD-Metal End Air Filter</v>
          </cell>
        </row>
        <row r="3367">
          <cell r="G3367" t="str">
            <v>AF7989</v>
          </cell>
          <cell r="H3367" t="str">
            <v>Flexible Panel Air Filter</v>
          </cell>
        </row>
        <row r="3368">
          <cell r="G3368" t="str">
            <v>AF8337</v>
          </cell>
          <cell r="H3368" t="str">
            <v>Flexible Panel Air Filter</v>
          </cell>
        </row>
        <row r="3369">
          <cell r="G3369" t="str">
            <v>AF20</v>
          </cell>
          <cell r="H3369" t="str">
            <v>Breather Filter</v>
          </cell>
        </row>
        <row r="3370">
          <cell r="G3370" t="str">
            <v>CAF1826P</v>
          </cell>
          <cell r="H3370" t="str">
            <v>Cabin Air Filter</v>
          </cell>
        </row>
        <row r="3371">
          <cell r="G3371" t="str">
            <v>G6591</v>
          </cell>
          <cell r="H3371" t="str">
            <v>In-Line Fuel Filter</v>
          </cell>
        </row>
        <row r="3372">
          <cell r="G3372" t="str">
            <v>L2603F</v>
          </cell>
          <cell r="H3372" t="str">
            <v>Cartridge Fuel Filter</v>
          </cell>
        </row>
        <row r="3373">
          <cell r="G3373" t="str">
            <v>T198</v>
          </cell>
          <cell r="H3373" t="str">
            <v>Transmission Filter Kit</v>
          </cell>
        </row>
        <row r="3374">
          <cell r="G3374" t="str">
            <v>AF3936</v>
          </cell>
          <cell r="H3374" t="str">
            <v>Flexible Panel Air Filter</v>
          </cell>
        </row>
        <row r="3375">
          <cell r="G3375" t="str">
            <v>AF5037</v>
          </cell>
          <cell r="H3375" t="str">
            <v>Oval Air Filter</v>
          </cell>
        </row>
        <row r="3376">
          <cell r="G3376" t="str">
            <v>LAF1989</v>
          </cell>
          <cell r="H3376" t="str">
            <v>Round Air Filter</v>
          </cell>
        </row>
        <row r="3377">
          <cell r="G3377" t="str">
            <v>T639</v>
          </cell>
          <cell r="H3377" t="str">
            <v>Transmission Filter Kit</v>
          </cell>
        </row>
        <row r="3378">
          <cell r="G3378" t="str">
            <v>LAF5959</v>
          </cell>
          <cell r="H3378" t="str">
            <v>Radial Seal Outer Air Filter</v>
          </cell>
        </row>
        <row r="3379">
          <cell r="G3379" t="str">
            <v>LAF5803</v>
          </cell>
          <cell r="H3379" t="str">
            <v>Round Plastisol Air Filter</v>
          </cell>
        </row>
        <row r="3380">
          <cell r="G3380" t="str">
            <v>AF3591</v>
          </cell>
          <cell r="H3380" t="str">
            <v>Flexible Panel Air Filter</v>
          </cell>
        </row>
        <row r="3381">
          <cell r="G3381" t="str">
            <v>CAF1837P</v>
          </cell>
          <cell r="H3381" t="str">
            <v>Cabin Air Filter</v>
          </cell>
        </row>
        <row r="3382">
          <cell r="G3382" t="str">
            <v>LAF1469</v>
          </cell>
          <cell r="H3382" t="str">
            <v>HD Metal-End Air Filter</v>
          </cell>
        </row>
        <row r="3383">
          <cell r="G3383" t="str">
            <v>AF3963</v>
          </cell>
          <cell r="H3383" t="str">
            <v>Rigid Panel Air Filter</v>
          </cell>
        </row>
        <row r="3384">
          <cell r="G3384" t="str">
            <v>L3441F</v>
          </cell>
          <cell r="H3384" t="str">
            <v>Snap-lock Fuel/Water Separator Filter</v>
          </cell>
        </row>
        <row r="3385">
          <cell r="G3385" t="str">
            <v>P2923</v>
          </cell>
          <cell r="H3385" t="str">
            <v>Cartridge Oil Filter</v>
          </cell>
        </row>
        <row r="3386">
          <cell r="G3386" t="str">
            <v>LFP8986</v>
          </cell>
          <cell r="H3386" t="str">
            <v>Spin-on Oil Filter</v>
          </cell>
        </row>
        <row r="3387">
          <cell r="G3387" t="str">
            <v>LP2263</v>
          </cell>
          <cell r="H3387" t="str">
            <v>Cartridge Oil Filter</v>
          </cell>
        </row>
        <row r="3388">
          <cell r="G3388" t="str">
            <v>T659</v>
          </cell>
          <cell r="H3388" t="str">
            <v>Transmission Filter Kit</v>
          </cell>
        </row>
        <row r="3389">
          <cell r="G3389" t="str">
            <v>G1059</v>
          </cell>
          <cell r="H3389" t="str">
            <v>In-Line Fuel Filter</v>
          </cell>
        </row>
        <row r="3390">
          <cell r="G3390" t="str">
            <v>G6393</v>
          </cell>
          <cell r="H3390" t="str">
            <v>In-Line Fuel Filter</v>
          </cell>
        </row>
        <row r="3391">
          <cell r="G3391" t="str">
            <v>LAF3862</v>
          </cell>
          <cell r="H3391" t="str">
            <v>Radial Seal Outer Air Filter</v>
          </cell>
        </row>
        <row r="3392">
          <cell r="G3392" t="str">
            <v>AF7831</v>
          </cell>
          <cell r="H3392" t="str">
            <v>Rigid Panel Air Filter</v>
          </cell>
        </row>
        <row r="3393">
          <cell r="G3393" t="str">
            <v>CAF1722</v>
          </cell>
          <cell r="H3393" t="str">
            <v>Cabin Air Filter</v>
          </cell>
        </row>
        <row r="3394">
          <cell r="G3394" t="str">
            <v>LAF8559</v>
          </cell>
          <cell r="H3394" t="str">
            <v>HD Metal-End Air Filter</v>
          </cell>
        </row>
        <row r="3395">
          <cell r="G3395" t="str">
            <v>LAF8920</v>
          </cell>
          <cell r="H3395" t="str">
            <v>Radial Seal Outer Air Filter</v>
          </cell>
        </row>
        <row r="3396">
          <cell r="G3396" t="str">
            <v>P76</v>
          </cell>
          <cell r="H3396" t="str">
            <v>Cartridge Oil Filter</v>
          </cell>
        </row>
        <row r="3397">
          <cell r="G3397" t="str">
            <v>LAF2612</v>
          </cell>
          <cell r="H3397" t="str">
            <v>HD Metal-End Air Filter</v>
          </cell>
        </row>
        <row r="3398">
          <cell r="G3398" t="str">
            <v>PC393</v>
          </cell>
          <cell r="H3398" t="str">
            <v>PCV Valve</v>
          </cell>
        </row>
        <row r="3399">
          <cell r="G3399" t="str">
            <v>AF4368</v>
          </cell>
          <cell r="H3399" t="str">
            <v>Oval Air Filter</v>
          </cell>
        </row>
        <row r="3400">
          <cell r="G3400" t="str">
            <v>AF7377</v>
          </cell>
          <cell r="H3400" t="str">
            <v>Panel Air Filter</v>
          </cell>
        </row>
        <row r="3401">
          <cell r="G3401" t="str">
            <v>AF7826</v>
          </cell>
          <cell r="H3401" t="str">
            <v>Rigid Panel Air Filter</v>
          </cell>
        </row>
        <row r="3402">
          <cell r="G3402" t="str">
            <v>AF3618</v>
          </cell>
          <cell r="H3402" t="str">
            <v>Air Filter</v>
          </cell>
        </row>
        <row r="3403">
          <cell r="G3403" t="str">
            <v>CAF7787</v>
          </cell>
          <cell r="H3403" t="str">
            <v>Cabin Air Filter (Carbon)</v>
          </cell>
        </row>
        <row r="3404">
          <cell r="G3404" t="str">
            <v>LAF1915</v>
          </cell>
          <cell r="H3404" t="str">
            <v>Round Plastisol Air Filter</v>
          </cell>
        </row>
        <row r="3405">
          <cell r="G3405" t="str">
            <v>LFF8040</v>
          </cell>
          <cell r="H3405" t="str">
            <v>Spin-on Fuel Water Separator Filter</v>
          </cell>
        </row>
        <row r="3406">
          <cell r="G3406" t="str">
            <v>LFP8176</v>
          </cell>
          <cell r="H3406" t="str">
            <v>Spin-on Oil Filter</v>
          </cell>
        </row>
        <row r="3407">
          <cell r="G3407" t="str">
            <v>LP2320</v>
          </cell>
          <cell r="H3407" t="str">
            <v>Cartridge Hydraulic Filter</v>
          </cell>
        </row>
        <row r="3408">
          <cell r="G3408" t="str">
            <v>AF133</v>
          </cell>
          <cell r="H3408" t="str">
            <v>Round Air Filter</v>
          </cell>
        </row>
        <row r="3409">
          <cell r="G3409" t="str">
            <v>AF542</v>
          </cell>
          <cell r="H3409" t="str">
            <v>Oval Air Filter</v>
          </cell>
        </row>
        <row r="3410">
          <cell r="G3410" t="str">
            <v>G486</v>
          </cell>
          <cell r="H3410" t="str">
            <v>In-Line Fuel Filter</v>
          </cell>
        </row>
        <row r="3411">
          <cell r="G3411" t="str">
            <v>G496</v>
          </cell>
          <cell r="H3411" t="str">
            <v>In-Line Fuel Filter</v>
          </cell>
        </row>
        <row r="3412">
          <cell r="G3412" t="str">
            <v>G6548</v>
          </cell>
          <cell r="H3412" t="str">
            <v>In-Line Fuel Filter</v>
          </cell>
        </row>
        <row r="3413">
          <cell r="G3413" t="str">
            <v>LAF1741</v>
          </cell>
          <cell r="H3413" t="str">
            <v>HD Metal-End Air Filter</v>
          </cell>
        </row>
        <row r="3414">
          <cell r="G3414" t="str">
            <v>CAF1700</v>
          </cell>
          <cell r="H3414" t="str">
            <v>Cabin Air Filter</v>
          </cell>
        </row>
        <row r="3415">
          <cell r="G3415" t="str">
            <v>AF302</v>
          </cell>
          <cell r="H3415" t="str">
            <v>Flexible Panel Air Filter</v>
          </cell>
        </row>
        <row r="3416">
          <cell r="G3416" t="str">
            <v>AF313</v>
          </cell>
          <cell r="H3416" t="str">
            <v>Oval Air Filter</v>
          </cell>
        </row>
        <row r="3417">
          <cell r="G3417" t="str">
            <v>G6346</v>
          </cell>
          <cell r="H3417" t="str">
            <v>In-Line Fuel Filter</v>
          </cell>
        </row>
        <row r="3418">
          <cell r="G3418" t="str">
            <v>LFF8963</v>
          </cell>
          <cell r="H3418" t="str">
            <v>Spin-on Fuel Filter</v>
          </cell>
        </row>
        <row r="3419">
          <cell r="G3419" t="str">
            <v>LH11021V</v>
          </cell>
          <cell r="H3419" t="str">
            <v>Industrial Cartridge Hydraulic Filter</v>
          </cell>
        </row>
        <row r="3420">
          <cell r="G3420" t="str">
            <v>AF7988</v>
          </cell>
          <cell r="H3420" t="str">
            <v>Rigid Panel Air Filter</v>
          </cell>
        </row>
        <row r="3421">
          <cell r="G3421" t="str">
            <v>AF875</v>
          </cell>
          <cell r="H3421" t="str">
            <v>Flexible Panel Air Filter</v>
          </cell>
        </row>
        <row r="3422">
          <cell r="G3422" t="str">
            <v>CAF1747</v>
          </cell>
          <cell r="H3422" t="str">
            <v>Cabin Air Filter</v>
          </cell>
        </row>
        <row r="3423">
          <cell r="G3423" t="str">
            <v>LAF3864</v>
          </cell>
          <cell r="H3423" t="str">
            <v>Radial Seal Outer Air Filter</v>
          </cell>
        </row>
        <row r="3424">
          <cell r="G3424" t="str">
            <v>AF113A</v>
          </cell>
          <cell r="H3424" t="str">
            <v>Round Air Filter</v>
          </cell>
        </row>
        <row r="3425">
          <cell r="G3425" t="str">
            <v>LAF528D</v>
          </cell>
          <cell r="H3425" t="str">
            <v>HD Rigid Panel Air Filter</v>
          </cell>
        </row>
        <row r="3426">
          <cell r="G3426" t="str">
            <v>LAF5519</v>
          </cell>
          <cell r="H3426" t="str">
            <v>Finned Vane Air Filter</v>
          </cell>
        </row>
        <row r="3427">
          <cell r="G3427" t="str">
            <v>T179</v>
          </cell>
          <cell r="H3427" t="str">
            <v>Transmission Filter Kit</v>
          </cell>
        </row>
        <row r="3428">
          <cell r="G3428" t="str">
            <v>AF3221</v>
          </cell>
          <cell r="H3428" t="str">
            <v>Flexible Panel Air Filter</v>
          </cell>
        </row>
        <row r="3429">
          <cell r="G3429" t="str">
            <v>AF5858</v>
          </cell>
          <cell r="H3429" t="str">
            <v>Flexible Panel Air Filter</v>
          </cell>
        </row>
        <row r="3430">
          <cell r="G3430" t="str">
            <v>G6872</v>
          </cell>
          <cell r="H3430" t="str">
            <v>In-Line Fuel Filter</v>
          </cell>
        </row>
        <row r="3431">
          <cell r="G3431" t="str">
            <v>AF7977</v>
          </cell>
          <cell r="H3431" t="str">
            <v>Rigid Panel Air Filter</v>
          </cell>
        </row>
        <row r="3432">
          <cell r="G3432" t="str">
            <v>CAF1780</v>
          </cell>
          <cell r="H3432" t="str">
            <v>Cabin Air Filter</v>
          </cell>
        </row>
        <row r="3433">
          <cell r="G3433" t="str">
            <v>PC270</v>
          </cell>
          <cell r="H3433" t="str">
            <v>PCV Valve</v>
          </cell>
        </row>
        <row r="3434">
          <cell r="G3434" t="str">
            <v>AF202</v>
          </cell>
          <cell r="H3434" t="str">
            <v>Round Air Filter</v>
          </cell>
        </row>
        <row r="3435">
          <cell r="G3435" t="str">
            <v>AF606</v>
          </cell>
          <cell r="H3435" t="str">
            <v>Round Air Filter</v>
          </cell>
        </row>
        <row r="3436">
          <cell r="G3436" t="str">
            <v>AF7943</v>
          </cell>
          <cell r="H3436" t="str">
            <v>Rigid Panel Air Filter</v>
          </cell>
        </row>
        <row r="3437">
          <cell r="G3437" t="str">
            <v>LAF1816</v>
          </cell>
          <cell r="H3437" t="str">
            <v>HD Metal-End Inner Air Filter</v>
          </cell>
        </row>
        <row r="3438">
          <cell r="G3438" t="str">
            <v>LP2336</v>
          </cell>
          <cell r="H3438" t="str">
            <v>Cartridge Oil Filter</v>
          </cell>
        </row>
        <row r="3439">
          <cell r="G3439" t="str">
            <v>P844</v>
          </cell>
          <cell r="H3439" t="str">
            <v>Cartridge Oil Filter</v>
          </cell>
        </row>
        <row r="3440">
          <cell r="G3440" t="str">
            <v>AF7868</v>
          </cell>
          <cell r="H3440" t="str">
            <v>Rigid Panel Air Filter</v>
          </cell>
        </row>
        <row r="3441">
          <cell r="G3441" t="str">
            <v>CAF1741</v>
          </cell>
          <cell r="H3441" t="str">
            <v>Cabin Air Filter</v>
          </cell>
        </row>
        <row r="3442">
          <cell r="G3442" t="str">
            <v>LAF8558</v>
          </cell>
          <cell r="H3442" t="str">
            <v>Round Inner Air Filter</v>
          </cell>
        </row>
        <row r="3443">
          <cell r="G3443" t="str">
            <v>LH11010V</v>
          </cell>
          <cell r="H3443" t="str">
            <v>Industrial Cartridge Hydraulic Filter</v>
          </cell>
        </row>
        <row r="3444">
          <cell r="G3444" t="str">
            <v>PC325</v>
          </cell>
          <cell r="H3444" t="str">
            <v>PCV Valve</v>
          </cell>
        </row>
        <row r="3445">
          <cell r="G3445" t="str">
            <v>AF4054</v>
          </cell>
          <cell r="H3445" t="str">
            <v>Rigid Panel Air Filter</v>
          </cell>
        </row>
        <row r="3446">
          <cell r="G3446" t="str">
            <v>CAF1728</v>
          </cell>
          <cell r="H3446" t="str">
            <v>Cabin Air Filter</v>
          </cell>
        </row>
        <row r="3447">
          <cell r="G3447" t="str">
            <v>CAF1932P</v>
          </cell>
          <cell r="H3447" t="str">
            <v>Cabin Air Filter</v>
          </cell>
        </row>
        <row r="3448">
          <cell r="G3448" t="str">
            <v>LAF250HD</v>
          </cell>
          <cell r="H3448" t="str">
            <v>HD Metal-End Air Filter</v>
          </cell>
        </row>
        <row r="3449">
          <cell r="G3449" t="str">
            <v>P2902</v>
          </cell>
          <cell r="H3449" t="str">
            <v>Cartridge Oil Filter</v>
          </cell>
        </row>
        <row r="3450">
          <cell r="G3450" t="str">
            <v>AF3907</v>
          </cell>
          <cell r="H3450" t="str">
            <v>Round Air Filter</v>
          </cell>
        </row>
        <row r="3451">
          <cell r="G3451" t="str">
            <v>AF533</v>
          </cell>
          <cell r="H3451" t="str">
            <v>Air Filter</v>
          </cell>
        </row>
        <row r="3452">
          <cell r="G3452" t="str">
            <v>AF7891</v>
          </cell>
          <cell r="H3452" t="str">
            <v>Rigid Panel Air Filter</v>
          </cell>
        </row>
        <row r="3453">
          <cell r="G3453" t="str">
            <v>AF3937</v>
          </cell>
          <cell r="H3453" t="str">
            <v>Panel Air Irregular Shaped Filter</v>
          </cell>
        </row>
        <row r="3454">
          <cell r="G3454" t="str">
            <v>AF7858</v>
          </cell>
          <cell r="H3454" t="str">
            <v>Flexible Panel Air Filter</v>
          </cell>
        </row>
        <row r="3455">
          <cell r="G3455" t="str">
            <v>AF7907</v>
          </cell>
          <cell r="H3455" t="str">
            <v>Rigid Panel Air Filter</v>
          </cell>
        </row>
        <row r="3456">
          <cell r="G3456" t="str">
            <v>CAF1901C</v>
          </cell>
          <cell r="H3456" t="str">
            <v>Cabin Air Filter (Carbon)</v>
          </cell>
        </row>
        <row r="3457">
          <cell r="G3457" t="str">
            <v>G6359</v>
          </cell>
          <cell r="H3457" t="str">
            <v>In-Line Fuel Filter</v>
          </cell>
        </row>
        <row r="3458">
          <cell r="G3458" t="str">
            <v>G6539</v>
          </cell>
          <cell r="H3458" t="str">
            <v>In-Line Fuel Filter</v>
          </cell>
        </row>
        <row r="3459">
          <cell r="G3459" t="str">
            <v>AF1064</v>
          </cell>
          <cell r="H3459" t="str">
            <v>Flexible Panel Air Filter</v>
          </cell>
        </row>
        <row r="3460">
          <cell r="G3460" t="str">
            <v>AF1612</v>
          </cell>
          <cell r="H3460" t="str">
            <v>Flexible Panel Air Filter</v>
          </cell>
        </row>
        <row r="3461">
          <cell r="G3461" t="str">
            <v>AF7905</v>
          </cell>
          <cell r="H3461" t="str">
            <v>Flexible Panel Air Filter</v>
          </cell>
        </row>
        <row r="3462">
          <cell r="G3462" t="str">
            <v>CAF1912C</v>
          </cell>
          <cell r="H3462" t="str">
            <v>Cabin Air Filter (Carbon)</v>
          </cell>
        </row>
        <row r="3463">
          <cell r="G3463" t="str">
            <v>L1133F</v>
          </cell>
          <cell r="H3463" t="str">
            <v>Cartridge Fuel Filter</v>
          </cell>
        </row>
        <row r="3464">
          <cell r="G3464" t="str">
            <v>PC326</v>
          </cell>
          <cell r="H3464" t="str">
            <v>PCV Valve</v>
          </cell>
        </row>
        <row r="3465">
          <cell r="G3465" t="str">
            <v>AF3961</v>
          </cell>
          <cell r="H3465" t="str">
            <v>Rigid Panel Air Filter</v>
          </cell>
        </row>
        <row r="3466">
          <cell r="G3466" t="str">
            <v>AF7909</v>
          </cell>
          <cell r="H3466" t="str">
            <v>Flexible Panel Air Filter</v>
          </cell>
        </row>
        <row r="3467">
          <cell r="G3467" t="str">
            <v>AF7941</v>
          </cell>
          <cell r="H3467" t="str">
            <v>Flexible Panel Air Filter</v>
          </cell>
        </row>
        <row r="3468">
          <cell r="G3468" t="str">
            <v>AF7945</v>
          </cell>
          <cell r="H3468" t="str">
            <v>Oval Air Filter</v>
          </cell>
        </row>
        <row r="3469">
          <cell r="G3469" t="str">
            <v>CAF1920P</v>
          </cell>
          <cell r="H3469" t="str">
            <v>Cabin Air Filter</v>
          </cell>
        </row>
        <row r="3470">
          <cell r="G3470" t="str">
            <v>CAF7756</v>
          </cell>
          <cell r="H3470" t="str">
            <v>Cabin Air Filter (Carbon)</v>
          </cell>
        </row>
        <row r="3471">
          <cell r="G3471" t="str">
            <v>G6590</v>
          </cell>
          <cell r="H3471" t="str">
            <v>In-Line Fuel Filter</v>
          </cell>
        </row>
        <row r="3472">
          <cell r="G3472" t="str">
            <v>LAF3863</v>
          </cell>
          <cell r="H3472" t="str">
            <v>Radial Seal Inner Air Filter</v>
          </cell>
        </row>
        <row r="3473">
          <cell r="G3473" t="str">
            <v>LAF5439</v>
          </cell>
          <cell r="H3473" t="str">
            <v>Radial Seal Inner Air Filter</v>
          </cell>
        </row>
        <row r="3474">
          <cell r="G3474" t="str">
            <v>AF118</v>
          </cell>
          <cell r="H3474" t="str">
            <v>Round Air Filter</v>
          </cell>
        </row>
        <row r="3475">
          <cell r="G3475" t="str">
            <v>AF3587</v>
          </cell>
          <cell r="H3475" t="str">
            <v>Rigid Panel Air Filter</v>
          </cell>
        </row>
        <row r="3476">
          <cell r="G3476" t="str">
            <v>AF7983</v>
          </cell>
          <cell r="H3476" t="str">
            <v>Rigid Panel Air Filter</v>
          </cell>
        </row>
        <row r="3477">
          <cell r="G3477" t="str">
            <v>CAF1803P</v>
          </cell>
          <cell r="H3477" t="str">
            <v>Cabin Air Filter</v>
          </cell>
        </row>
        <row r="3478">
          <cell r="G3478" t="str">
            <v>G6626</v>
          </cell>
          <cell r="H3478" t="str">
            <v>In-Line Fuel Filter</v>
          </cell>
        </row>
        <row r="3479">
          <cell r="G3479" t="str">
            <v>L8966F</v>
          </cell>
          <cell r="H3479" t="str">
            <v>Cartridge Fuel Filter</v>
          </cell>
        </row>
        <row r="3480">
          <cell r="G3480" t="str">
            <v>LAF3860</v>
          </cell>
          <cell r="H3480" t="str">
            <v>Radial Seal Outer Air Filter</v>
          </cell>
        </row>
        <row r="3481">
          <cell r="G3481" t="str">
            <v>LH95269V</v>
          </cell>
          <cell r="H3481" t="str">
            <v>Cartridge Hydraulic Filter</v>
          </cell>
        </row>
        <row r="3482">
          <cell r="G3482" t="str">
            <v>P841</v>
          </cell>
          <cell r="H3482" t="str">
            <v>Cartridge Oil Filter</v>
          </cell>
        </row>
        <row r="3483">
          <cell r="G3483" t="str">
            <v>P8923</v>
          </cell>
          <cell r="H3483" t="str">
            <v>Cartridge Oil Filter</v>
          </cell>
        </row>
        <row r="3484">
          <cell r="G3484" t="str">
            <v>PC442</v>
          </cell>
          <cell r="H3484" t="str">
            <v>PCV Valve</v>
          </cell>
        </row>
        <row r="3485">
          <cell r="G3485" t="str">
            <v>AF3604</v>
          </cell>
          <cell r="H3485" t="str">
            <v>Flexible Panel Air Filter</v>
          </cell>
        </row>
        <row r="3486">
          <cell r="G3486" t="str">
            <v>FP891</v>
          </cell>
          <cell r="H3486" t="str">
            <v>In-Line Fuel Filter</v>
          </cell>
        </row>
        <row r="3487">
          <cell r="G3487" t="str">
            <v>G6374</v>
          </cell>
          <cell r="H3487" t="str">
            <v>In-Line Fuel Filter</v>
          </cell>
        </row>
        <row r="3488">
          <cell r="G3488" t="str">
            <v>G6381</v>
          </cell>
          <cell r="H3488" t="str">
            <v>In-Line Fuel Filter</v>
          </cell>
        </row>
        <row r="3489">
          <cell r="G3489" t="str">
            <v>G6575</v>
          </cell>
          <cell r="H3489" t="str">
            <v>In-Line Fuel Filter</v>
          </cell>
        </row>
        <row r="3490">
          <cell r="G3490" t="str">
            <v>L9999F</v>
          </cell>
          <cell r="H3490" t="str">
            <v>Cartridge Fuel Filter</v>
          </cell>
        </row>
        <row r="3491">
          <cell r="G3491" t="str">
            <v>LAF5878</v>
          </cell>
          <cell r="H3491" t="str">
            <v>HD Round Finned Air Filter with Attached Lid</v>
          </cell>
        </row>
        <row r="3492">
          <cell r="G3492" t="str">
            <v>LAF8664</v>
          </cell>
          <cell r="H3492" t="str">
            <v>HD Metal-End Air Filter with Attached Lid</v>
          </cell>
        </row>
        <row r="3493">
          <cell r="G3493" t="str">
            <v>LH11005V</v>
          </cell>
          <cell r="H3493" t="str">
            <v>Industrial Cartridge Hydraulic Filter</v>
          </cell>
        </row>
        <row r="3494">
          <cell r="G3494" t="str">
            <v>PC196</v>
          </cell>
          <cell r="H3494" t="str">
            <v>PCV Valve</v>
          </cell>
        </row>
        <row r="3495">
          <cell r="G3495" t="str">
            <v>AF1613</v>
          </cell>
          <cell r="H3495" t="str">
            <v>Flexible Panel Air Filter</v>
          </cell>
        </row>
        <row r="3496">
          <cell r="G3496" t="str">
            <v>AF280</v>
          </cell>
          <cell r="H3496" t="str">
            <v>Flexible Panel Air Filter</v>
          </cell>
        </row>
        <row r="3497">
          <cell r="G3497" t="str">
            <v>AF317</v>
          </cell>
          <cell r="H3497" t="str">
            <v>Round Air Filter</v>
          </cell>
        </row>
        <row r="3498">
          <cell r="G3498" t="str">
            <v>AF545</v>
          </cell>
          <cell r="H3498" t="str">
            <v>Rigid Panel Air Filter</v>
          </cell>
        </row>
        <row r="3499">
          <cell r="G3499" t="str">
            <v>AF7827</v>
          </cell>
          <cell r="H3499" t="str">
            <v>Round Panel Air Filter</v>
          </cell>
        </row>
        <row r="3500">
          <cell r="G3500" t="str">
            <v>AF8140</v>
          </cell>
          <cell r="H3500" t="str">
            <v>Panel Air Filter</v>
          </cell>
        </row>
        <row r="3501">
          <cell r="G3501" t="str">
            <v>AF8273</v>
          </cell>
          <cell r="H3501" t="str">
            <v>Air Filter</v>
          </cell>
        </row>
        <row r="3502">
          <cell r="G3502" t="str">
            <v>AF8956</v>
          </cell>
          <cell r="H3502" t="str">
            <v>Flexible Panel Air Filter</v>
          </cell>
        </row>
        <row r="3503">
          <cell r="G3503" t="str">
            <v>CAF7703</v>
          </cell>
          <cell r="H3503" t="str">
            <v>Cabin Air Filter (Carbon)</v>
          </cell>
        </row>
        <row r="3504">
          <cell r="G3504" t="str">
            <v>CAF7719</v>
          </cell>
          <cell r="H3504" t="str">
            <v>Cabin Air Filter (Carbon)</v>
          </cell>
        </row>
        <row r="3505">
          <cell r="G3505" t="str">
            <v>G6541</v>
          </cell>
          <cell r="H3505" t="str">
            <v>In-Line Fuel Filter</v>
          </cell>
        </row>
        <row r="3506">
          <cell r="G3506" t="str">
            <v>L3564F</v>
          </cell>
          <cell r="H3506" t="str">
            <v>Cartridge Fuel Filter</v>
          </cell>
        </row>
        <row r="3507">
          <cell r="G3507" t="str">
            <v>LAF5589</v>
          </cell>
          <cell r="H3507" t="str">
            <v>HD Metal-End Air Filter</v>
          </cell>
        </row>
        <row r="3508">
          <cell r="G3508" t="str">
            <v>LFE9374</v>
          </cell>
          <cell r="H3508" t="str">
            <v>Spin-on Oil Filter</v>
          </cell>
        </row>
        <row r="3509">
          <cell r="G3509" t="str">
            <v>LFF6013</v>
          </cell>
          <cell r="H3509" t="str">
            <v>Fuel Filter Kit Primary/Secondary</v>
          </cell>
        </row>
        <row r="3510">
          <cell r="G3510" t="str">
            <v>LFF8349</v>
          </cell>
          <cell r="H3510" t="str">
            <v>Spin-on Fuel Water Separator Filter</v>
          </cell>
        </row>
        <row r="3511">
          <cell r="G3511" t="str">
            <v>LFP8704</v>
          </cell>
          <cell r="H3511" t="str">
            <v>Spin-on Oil Filter</v>
          </cell>
        </row>
        <row r="3512">
          <cell r="G3512" t="str">
            <v>LH11001</v>
          </cell>
          <cell r="H3512" t="str">
            <v>Industrial Cartridge Hydraulic Filter</v>
          </cell>
        </row>
        <row r="3513">
          <cell r="G3513" t="str">
            <v>LH11017V</v>
          </cell>
          <cell r="H3513" t="str">
            <v>Industrial Cartridge Hydraulic Filter</v>
          </cell>
        </row>
        <row r="3514">
          <cell r="G3514" t="str">
            <v>LH11023V</v>
          </cell>
          <cell r="H3514" t="str">
            <v>Industrial Cartridge Hydraulic Filter</v>
          </cell>
        </row>
        <row r="3515">
          <cell r="G3515" t="str">
            <v>LH11041V</v>
          </cell>
          <cell r="H3515" t="str">
            <v>Industrial Cartridge Hydraulic Filter</v>
          </cell>
        </row>
        <row r="3516">
          <cell r="G3516" t="str">
            <v>LH3042V</v>
          </cell>
          <cell r="H3516" t="str">
            <v>Cartridge Hydraulic Filter</v>
          </cell>
        </row>
        <row r="3517">
          <cell r="G3517" t="str">
            <v>LH8790</v>
          </cell>
          <cell r="H3517" t="str">
            <v>Cartridge Hydraulic Filter</v>
          </cell>
        </row>
        <row r="3518">
          <cell r="G3518" t="str">
            <v>LH9240V</v>
          </cell>
          <cell r="H3518" t="str">
            <v>Cartridge Hydraulic Filter</v>
          </cell>
        </row>
        <row r="3519">
          <cell r="G3519" t="str">
            <v>LP165</v>
          </cell>
          <cell r="H3519" t="str">
            <v>Cartridge Oil Filter</v>
          </cell>
        </row>
        <row r="3520">
          <cell r="G3520" t="str">
            <v>LP2226</v>
          </cell>
          <cell r="H3520" t="str">
            <v>Cartridge Oil Filter</v>
          </cell>
        </row>
        <row r="3521">
          <cell r="G3521" t="str">
            <v>LP2318</v>
          </cell>
          <cell r="H3521" t="str">
            <v>Cartridge Hydraulic Filter</v>
          </cell>
        </row>
        <row r="3522">
          <cell r="G3522" t="str">
            <v>LP8718</v>
          </cell>
          <cell r="H3522" t="str">
            <v>Cartridge Oil Filter</v>
          </cell>
        </row>
        <row r="3523">
          <cell r="G3523" t="str">
            <v>P1023</v>
          </cell>
          <cell r="H3523" t="str">
            <v>Cartridge Oil Filter</v>
          </cell>
        </row>
        <row r="3524">
          <cell r="G3524" t="str">
            <v>P1035</v>
          </cell>
          <cell r="H3524" t="str">
            <v>Cartridge Oil Filter</v>
          </cell>
        </row>
        <row r="3525">
          <cell r="G3525" t="str">
            <v>P7005</v>
          </cell>
          <cell r="H3525" t="str">
            <v>Cartridge Oil Filter</v>
          </cell>
        </row>
        <row r="3526">
          <cell r="G3526" t="str">
            <v>PC333</v>
          </cell>
          <cell r="H3526" t="str">
            <v>PCV Valve</v>
          </cell>
        </row>
        <row r="3527">
          <cell r="G3527" t="str">
            <v>PC436</v>
          </cell>
          <cell r="H3527" t="str">
            <v>PCV Valve</v>
          </cell>
        </row>
        <row r="3528">
          <cell r="G3528" t="str">
            <v>AF5269</v>
          </cell>
          <cell r="H3528" t="str">
            <v>Air Filter</v>
          </cell>
        </row>
        <row r="3529">
          <cell r="G3529" t="str">
            <v>AF893</v>
          </cell>
          <cell r="H3529" t="str">
            <v>Round Air Filter</v>
          </cell>
        </row>
        <row r="3530">
          <cell r="G3530" t="str">
            <v>CAF1922C</v>
          </cell>
          <cell r="H3530" t="str">
            <v>Cabin Air Filter (Carbon)</v>
          </cell>
        </row>
        <row r="3531">
          <cell r="G3531" t="str">
            <v>CAF1938P</v>
          </cell>
          <cell r="H3531" t="str">
            <v>Cabin Air Filter</v>
          </cell>
        </row>
        <row r="3532">
          <cell r="G3532" t="str">
            <v>G2973</v>
          </cell>
          <cell r="H3532" t="str">
            <v>In-Line Fuel Filter</v>
          </cell>
        </row>
        <row r="3533">
          <cell r="G3533" t="str">
            <v>G572</v>
          </cell>
          <cell r="H3533" t="str">
            <v>In-Line Fuel Filter</v>
          </cell>
        </row>
        <row r="3534">
          <cell r="G3534" t="str">
            <v>G6368</v>
          </cell>
          <cell r="H3534" t="str">
            <v>In-Line Fuel Filter</v>
          </cell>
        </row>
        <row r="3535">
          <cell r="G3535" t="str">
            <v>LAF3232</v>
          </cell>
          <cell r="H3535" t="str">
            <v>Finned Vane Air Filter</v>
          </cell>
        </row>
        <row r="3536">
          <cell r="G3536" t="str">
            <v>LAF8566</v>
          </cell>
          <cell r="H3536" t="str">
            <v>HD Round Air Filter with Attached Lid</v>
          </cell>
        </row>
        <row r="3537">
          <cell r="G3537" t="str">
            <v>LFF3536</v>
          </cell>
          <cell r="H3537" t="str">
            <v>Spin-on Fuel Filter</v>
          </cell>
        </row>
        <row r="3538">
          <cell r="G3538" t="str">
            <v>LH4998</v>
          </cell>
          <cell r="H3538" t="str">
            <v>Cartridge Hydraulic Filter</v>
          </cell>
        </row>
        <row r="3539">
          <cell r="G3539" t="str">
            <v>PC263</v>
          </cell>
          <cell r="H3539" t="str">
            <v>PCV Valve</v>
          </cell>
        </row>
        <row r="3540">
          <cell r="G3540" t="str">
            <v>PC268</v>
          </cell>
          <cell r="H3540" t="str">
            <v>PCV Valve</v>
          </cell>
        </row>
        <row r="3541">
          <cell r="G3541" t="str">
            <v>AF3603</v>
          </cell>
          <cell r="H3541" t="str">
            <v>Flexible Panel Air Filter</v>
          </cell>
        </row>
        <row r="3542">
          <cell r="G3542" t="str">
            <v>AF371</v>
          </cell>
          <cell r="H3542" t="str">
            <v>Round Panel Air Filter</v>
          </cell>
        </row>
        <row r="3543">
          <cell r="G3543" t="str">
            <v>AF531</v>
          </cell>
          <cell r="H3543" t="str">
            <v>Oval Air Filter</v>
          </cell>
        </row>
        <row r="3544">
          <cell r="G3544" t="str">
            <v>AF7944</v>
          </cell>
          <cell r="H3544" t="str">
            <v>Flexible Panel Air Filter</v>
          </cell>
        </row>
        <row r="3545">
          <cell r="G3545" t="str">
            <v>AF7986</v>
          </cell>
          <cell r="H3545" t="str">
            <v>Flexible Panel Air Filter</v>
          </cell>
        </row>
        <row r="3546">
          <cell r="G3546" t="str">
            <v>AF8947</v>
          </cell>
          <cell r="H3546" t="str">
            <v>Flexible Panel Air Filter</v>
          </cell>
        </row>
        <row r="3547">
          <cell r="G3547" t="str">
            <v>G2917</v>
          </cell>
          <cell r="H3547" t="str">
            <v>In-Line Fuel Filter</v>
          </cell>
        </row>
        <row r="3548">
          <cell r="G3548" t="str">
            <v>G6387</v>
          </cell>
          <cell r="H3548" t="str">
            <v>In-Line Fuel Filter</v>
          </cell>
        </row>
        <row r="3549">
          <cell r="G3549" t="str">
            <v>LAF8989</v>
          </cell>
          <cell r="H3549" t="str">
            <v>HD Round Air Filter with Attached Boot</v>
          </cell>
        </row>
        <row r="3550">
          <cell r="G3550" t="str">
            <v>LFP8320</v>
          </cell>
          <cell r="H3550" t="str">
            <v>Spin-on Oil Filter</v>
          </cell>
        </row>
        <row r="3551">
          <cell r="G3551" t="str">
            <v>P7009</v>
          </cell>
          <cell r="H3551" t="str">
            <v>Cartridge Oil Filter</v>
          </cell>
        </row>
        <row r="3552">
          <cell r="G3552" t="str">
            <v>PC105</v>
          </cell>
          <cell r="H3552" t="str">
            <v>PCV Valve</v>
          </cell>
        </row>
        <row r="3553">
          <cell r="G3553" t="str">
            <v>AF297</v>
          </cell>
          <cell r="H3553" t="str">
            <v>Flexible Panel Air Filter</v>
          </cell>
        </row>
        <row r="3554">
          <cell r="G3554" t="str">
            <v>AF380</v>
          </cell>
          <cell r="H3554" t="str">
            <v>Panel Air Filter</v>
          </cell>
        </row>
        <row r="3555">
          <cell r="G3555" t="str">
            <v>AF7835</v>
          </cell>
          <cell r="H3555" t="str">
            <v>Rigid Panel Air Filter</v>
          </cell>
        </row>
        <row r="3556">
          <cell r="G3556" t="str">
            <v>AFB7847</v>
          </cell>
          <cell r="H3556" t="str">
            <v>Foam Pad</v>
          </cell>
        </row>
        <row r="3557">
          <cell r="G3557" t="str">
            <v>CAF1785</v>
          </cell>
          <cell r="H3557" t="str">
            <v>Cabin Air Filter</v>
          </cell>
        </row>
        <row r="3558">
          <cell r="G3558" t="str">
            <v>CAF7712</v>
          </cell>
          <cell r="H3558" t="str">
            <v>Cabin Air Filter (Carbon)</v>
          </cell>
        </row>
        <row r="3559">
          <cell r="G3559" t="str">
            <v>CAF7718</v>
          </cell>
          <cell r="H3559" t="str">
            <v>Cabin Air Filter</v>
          </cell>
        </row>
        <row r="3560">
          <cell r="G3560" t="str">
            <v>G499</v>
          </cell>
          <cell r="H3560" t="str">
            <v>In-Line Fuel Filter</v>
          </cell>
        </row>
        <row r="3561">
          <cell r="G3561" t="str">
            <v>G848</v>
          </cell>
          <cell r="H3561" t="str">
            <v>In-Line Fuel Filter</v>
          </cell>
        </row>
        <row r="3562">
          <cell r="G3562" t="str">
            <v>LH4930</v>
          </cell>
          <cell r="H3562" t="str">
            <v>Cartridge Hydraulic Filter</v>
          </cell>
        </row>
        <row r="3563">
          <cell r="G3563" t="str">
            <v>LP2309</v>
          </cell>
          <cell r="H3563" t="str">
            <v>Cartridge Oil Filter</v>
          </cell>
        </row>
        <row r="3564">
          <cell r="G3564" t="str">
            <v>AF126</v>
          </cell>
          <cell r="H3564" t="str">
            <v>Round Air Filter</v>
          </cell>
        </row>
        <row r="3565">
          <cell r="G3565" t="str">
            <v>AF2807</v>
          </cell>
          <cell r="H3565" t="str">
            <v>Panel Air Irregular Shaped Filter</v>
          </cell>
        </row>
        <row r="3566">
          <cell r="G3566" t="str">
            <v>AF3928</v>
          </cell>
          <cell r="H3566" t="str">
            <v>Flexible Panel Air Filter</v>
          </cell>
        </row>
        <row r="3567">
          <cell r="G3567" t="str">
            <v>CAF1871C</v>
          </cell>
          <cell r="H3567" t="str">
            <v>Cabin Air Filter (Carbon)</v>
          </cell>
        </row>
        <row r="3568">
          <cell r="G3568" t="str">
            <v>CAF7707</v>
          </cell>
          <cell r="H3568" t="str">
            <v>Cabin Air Filter (Carbon)</v>
          </cell>
        </row>
        <row r="3569">
          <cell r="G3569" t="str">
            <v>G474</v>
          </cell>
          <cell r="H3569" t="str">
            <v>In-Line Fuel Filter</v>
          </cell>
        </row>
        <row r="3570">
          <cell r="G3570" t="str">
            <v>G6341</v>
          </cell>
          <cell r="H3570" t="str">
            <v>In-Line Fuel Filter</v>
          </cell>
        </row>
        <row r="3571">
          <cell r="G3571" t="str">
            <v>LAF1722</v>
          </cell>
          <cell r="H3571" t="str">
            <v>Finned Vane Air Filter</v>
          </cell>
        </row>
        <row r="3572">
          <cell r="G3572" t="str">
            <v>LAF1842</v>
          </cell>
          <cell r="H3572" t="str">
            <v>Finned Vane Air Filter</v>
          </cell>
        </row>
        <row r="3573">
          <cell r="G3573" t="str">
            <v>LAF511</v>
          </cell>
          <cell r="H3573" t="str">
            <v>Finned Vane Air Filter</v>
          </cell>
        </row>
        <row r="3574">
          <cell r="G3574" t="str">
            <v>LH8461</v>
          </cell>
          <cell r="H3574" t="str">
            <v>Cartridge Hydraulic Filter</v>
          </cell>
        </row>
        <row r="3575">
          <cell r="G3575" t="str">
            <v>P1019</v>
          </cell>
          <cell r="H3575" t="str">
            <v>Cartridge Oil Filter</v>
          </cell>
        </row>
        <row r="3576">
          <cell r="G3576" t="str">
            <v>PC121</v>
          </cell>
          <cell r="H3576" t="str">
            <v>PCV Valve</v>
          </cell>
        </row>
        <row r="3577">
          <cell r="G3577" t="str">
            <v>PC349</v>
          </cell>
          <cell r="H3577" t="str">
            <v>PCV Valve</v>
          </cell>
        </row>
        <row r="3578">
          <cell r="G3578" t="str">
            <v>AF5258</v>
          </cell>
          <cell r="H3578" t="str">
            <v>Air Filter</v>
          </cell>
        </row>
        <row r="3579">
          <cell r="G3579" t="str">
            <v>CAF1940P</v>
          </cell>
          <cell r="H3579" t="str">
            <v>Cabin Air Filter</v>
          </cell>
        </row>
        <row r="3580">
          <cell r="G3580" t="str">
            <v>G15</v>
          </cell>
          <cell r="H3580" t="str">
            <v>In-Line Fuel Filter</v>
          </cell>
        </row>
        <row r="3581">
          <cell r="G3581" t="str">
            <v>G6373</v>
          </cell>
          <cell r="H3581" t="str">
            <v>In-Line Fuel Filter</v>
          </cell>
        </row>
        <row r="3582">
          <cell r="G3582" t="str">
            <v>G6549</v>
          </cell>
          <cell r="H3582" t="str">
            <v>In-Line Fuel Filter</v>
          </cell>
        </row>
        <row r="3583">
          <cell r="G3583" t="str">
            <v>LAF1004</v>
          </cell>
          <cell r="H3583" t="str">
            <v>Round Air Filter</v>
          </cell>
        </row>
        <row r="3584">
          <cell r="G3584" t="str">
            <v>LAF1791</v>
          </cell>
          <cell r="H3584" t="str">
            <v>Finned Vane Air Filter</v>
          </cell>
        </row>
        <row r="3585">
          <cell r="G3585" t="str">
            <v>LAF5981</v>
          </cell>
          <cell r="H3585" t="str">
            <v>HD Metal-End Air Filter</v>
          </cell>
        </row>
        <row r="3586">
          <cell r="G3586" t="str">
            <v>LAF8578</v>
          </cell>
          <cell r="H3586" t="str">
            <v>Round Air Filter</v>
          </cell>
        </row>
        <row r="3587">
          <cell r="G3587" t="str">
            <v>LAF8669MXM</v>
          </cell>
          <cell r="H3587" t="str">
            <v>Nano Tech Radial Seal Air Filter</v>
          </cell>
        </row>
        <row r="3588">
          <cell r="G3588" t="str">
            <v>LFP8295</v>
          </cell>
          <cell r="H3588" t="str">
            <v>Spin-on Oil Filter</v>
          </cell>
        </row>
        <row r="3589">
          <cell r="G3589" t="str">
            <v>LH4979</v>
          </cell>
          <cell r="H3589" t="str">
            <v>Cartridge Hydraulic Filter</v>
          </cell>
        </row>
        <row r="3590">
          <cell r="G3590" t="str">
            <v>LP613</v>
          </cell>
          <cell r="H3590" t="str">
            <v>Cartridge Oil Filter</v>
          </cell>
        </row>
        <row r="3591">
          <cell r="G3591" t="str">
            <v>PC172</v>
          </cell>
          <cell r="H3591" t="str">
            <v>PCV Valve</v>
          </cell>
        </row>
        <row r="3592">
          <cell r="G3592" t="str">
            <v>AF139</v>
          </cell>
          <cell r="H3592" t="str">
            <v>Oval Air Filter</v>
          </cell>
        </row>
        <row r="3593">
          <cell r="G3593" t="str">
            <v>AF241</v>
          </cell>
          <cell r="H3593" t="str">
            <v>Flexible Panel Air Filter</v>
          </cell>
        </row>
        <row r="3594">
          <cell r="G3594" t="str">
            <v>AF298</v>
          </cell>
          <cell r="H3594" t="str">
            <v>Flexible Panel Air Filter</v>
          </cell>
        </row>
        <row r="3595">
          <cell r="G3595" t="str">
            <v>AF363</v>
          </cell>
          <cell r="H3595" t="str">
            <v>Rigid Panel Air Filter</v>
          </cell>
        </row>
        <row r="3596">
          <cell r="G3596" t="str">
            <v>AF385</v>
          </cell>
          <cell r="H3596" t="str">
            <v>Flexible Media Air Filter</v>
          </cell>
        </row>
        <row r="3597">
          <cell r="G3597" t="str">
            <v>AF386</v>
          </cell>
          <cell r="H3597" t="str">
            <v>Flexible Panel Air Filter</v>
          </cell>
        </row>
        <row r="3598">
          <cell r="G3598" t="str">
            <v>AF5242</v>
          </cell>
          <cell r="H3598" t="str">
            <v>Air Filter</v>
          </cell>
        </row>
        <row r="3599">
          <cell r="G3599" t="str">
            <v>AF5245</v>
          </cell>
          <cell r="H3599" t="str">
            <v>Air Filter</v>
          </cell>
        </row>
        <row r="3600">
          <cell r="G3600" t="str">
            <v>AF5266</v>
          </cell>
          <cell r="H3600" t="str">
            <v>Air Filter</v>
          </cell>
        </row>
        <row r="3601">
          <cell r="G3601" t="str">
            <v>AF5696</v>
          </cell>
          <cell r="H3601" t="str">
            <v>Air Filter</v>
          </cell>
        </row>
        <row r="3602">
          <cell r="G3602" t="str">
            <v>AF634</v>
          </cell>
          <cell r="H3602" t="str">
            <v>Round Air Filter</v>
          </cell>
        </row>
        <row r="3603">
          <cell r="G3603" t="str">
            <v>AF7887</v>
          </cell>
          <cell r="H3603" t="str">
            <v>Flexible Panel Air Filter</v>
          </cell>
        </row>
        <row r="3604">
          <cell r="G3604" t="str">
            <v>AF9217</v>
          </cell>
          <cell r="H3604" t="str">
            <v>Air Filter</v>
          </cell>
        </row>
        <row r="3605">
          <cell r="G3605" t="str">
            <v>CAF1717</v>
          </cell>
          <cell r="H3605" t="str">
            <v>Cabin Air Filter</v>
          </cell>
        </row>
        <row r="3606">
          <cell r="G3606" t="str">
            <v>CAF1936P</v>
          </cell>
          <cell r="H3606" t="str">
            <v>Cabin Air Filter</v>
          </cell>
        </row>
        <row r="3607">
          <cell r="G3607" t="str">
            <v>CAF7722</v>
          </cell>
          <cell r="H3607" t="str">
            <v>Cabin Air Filter (Carbon)</v>
          </cell>
        </row>
        <row r="3608">
          <cell r="G3608" t="str">
            <v>CAF7734</v>
          </cell>
          <cell r="H3608" t="str">
            <v>Cabin Air Filter (Carbon)</v>
          </cell>
        </row>
        <row r="3609">
          <cell r="G3609" t="str">
            <v>CAF7788</v>
          </cell>
          <cell r="H3609" t="str">
            <v>Cabin Air Filter (Carbon)</v>
          </cell>
        </row>
        <row r="3610">
          <cell r="G3610" t="str">
            <v>G2969</v>
          </cell>
          <cell r="H3610" t="str">
            <v>In-Line Fuel Filter</v>
          </cell>
        </row>
        <row r="3611">
          <cell r="G3611" t="str">
            <v>G504</v>
          </cell>
          <cell r="H3611" t="str">
            <v>In-Line Fuel Filter</v>
          </cell>
        </row>
        <row r="3612">
          <cell r="G3612" t="str">
            <v>G6538</v>
          </cell>
          <cell r="H3612" t="str">
            <v>In-Line Fuel Filter</v>
          </cell>
        </row>
        <row r="3613">
          <cell r="G3613" t="str">
            <v>G803</v>
          </cell>
          <cell r="H3613" t="str">
            <v>In-Line Fuel Filter</v>
          </cell>
        </row>
        <row r="3614">
          <cell r="G3614" t="str">
            <v>L3919F</v>
          </cell>
          <cell r="H3614" t="str">
            <v>Snap-Lock Fuel Filter</v>
          </cell>
        </row>
        <row r="3615">
          <cell r="G3615" t="str">
            <v>L7583F</v>
          </cell>
          <cell r="H3615" t="str">
            <v>Cartridge Fuel Filter</v>
          </cell>
        </row>
        <row r="3616">
          <cell r="G3616" t="str">
            <v>LAF1774</v>
          </cell>
          <cell r="H3616" t="str">
            <v>HD Metal-End Air Filter</v>
          </cell>
        </row>
        <row r="3617">
          <cell r="G3617" t="str">
            <v>LAF1872</v>
          </cell>
          <cell r="H3617" t="str">
            <v>Panel Air Filter Metal Framed</v>
          </cell>
        </row>
        <row r="3618">
          <cell r="G3618" t="str">
            <v>LAF3706</v>
          </cell>
          <cell r="H3618" t="str">
            <v>HD Metal-End Air Filter</v>
          </cell>
        </row>
        <row r="3619">
          <cell r="G3619" t="str">
            <v>LAF4342</v>
          </cell>
          <cell r="H3619" t="str">
            <v>Pre-cleaner Air Filter</v>
          </cell>
        </row>
        <row r="3620">
          <cell r="G3620" t="str">
            <v>LAF8078</v>
          </cell>
          <cell r="H3620" t="str">
            <v>HD Metal-End Air Filter</v>
          </cell>
        </row>
        <row r="3621">
          <cell r="G3621" t="str">
            <v>LAF9513</v>
          </cell>
          <cell r="H3621" t="str">
            <v>HD Metal-End Air Filter</v>
          </cell>
        </row>
        <row r="3622">
          <cell r="G3622" t="str">
            <v>LFF8103</v>
          </cell>
          <cell r="H3622" t="str">
            <v>Spin-on Fuel Filter</v>
          </cell>
        </row>
        <row r="3623">
          <cell r="G3623" t="str">
            <v>LFH4404</v>
          </cell>
          <cell r="H3623" t="str">
            <v>Spin-on Hydraulic Filter</v>
          </cell>
        </row>
        <row r="3624">
          <cell r="G3624" t="str">
            <v>LFP2100K</v>
          </cell>
          <cell r="H3624" t="str">
            <v>Coalescer Fuel Filter and Mounting Base</v>
          </cell>
        </row>
        <row r="3625">
          <cell r="G3625" t="str">
            <v>LH5741</v>
          </cell>
          <cell r="H3625" t="str">
            <v>Cartridge Hydraulic Filter</v>
          </cell>
        </row>
        <row r="3626">
          <cell r="G3626" t="str">
            <v>P913</v>
          </cell>
          <cell r="H3626" t="str">
            <v>Cartridge Oil Filter</v>
          </cell>
        </row>
        <row r="3627">
          <cell r="G3627" t="str">
            <v>PC256</v>
          </cell>
          <cell r="H3627" t="str">
            <v>PCV Valve</v>
          </cell>
        </row>
        <row r="3628">
          <cell r="G3628" t="str">
            <v>PC76</v>
          </cell>
          <cell r="H3628" t="str">
            <v>PCV Valve</v>
          </cell>
        </row>
        <row r="3629">
          <cell r="G3629" t="str">
            <v>AF247</v>
          </cell>
          <cell r="H3629" t="str">
            <v>Flexible Media Air Filter</v>
          </cell>
        </row>
        <row r="3630">
          <cell r="G3630" t="str">
            <v>AF248</v>
          </cell>
          <cell r="H3630" t="str">
            <v>Flexible Media Air Filter</v>
          </cell>
        </row>
        <row r="3631">
          <cell r="G3631" t="str">
            <v>AF3099</v>
          </cell>
          <cell r="H3631" t="str">
            <v>Air Filter</v>
          </cell>
        </row>
        <row r="3632">
          <cell r="G3632" t="str">
            <v>AF611</v>
          </cell>
          <cell r="H3632" t="str">
            <v>Special Oval Construction</v>
          </cell>
        </row>
        <row r="3633">
          <cell r="G3633" t="str">
            <v>AF8248</v>
          </cell>
          <cell r="H3633" t="str">
            <v>Flexible Panel Air Filter</v>
          </cell>
        </row>
        <row r="3634">
          <cell r="G3634" t="str">
            <v>AF8343</v>
          </cell>
          <cell r="H3634" t="str">
            <v>Round Air Filter</v>
          </cell>
        </row>
        <row r="3635">
          <cell r="G3635" t="str">
            <v>CAF1710</v>
          </cell>
          <cell r="H3635" t="str">
            <v>Cabin Air Filter</v>
          </cell>
        </row>
        <row r="3636">
          <cell r="G3636" t="str">
            <v>CAF1715</v>
          </cell>
          <cell r="H3636" t="str">
            <v>Cabin Air Filter</v>
          </cell>
        </row>
        <row r="3637">
          <cell r="G3637" t="str">
            <v>CAF1802C</v>
          </cell>
          <cell r="H3637" t="str">
            <v>Cabin Air Filter (Carbon)</v>
          </cell>
        </row>
        <row r="3638">
          <cell r="G3638" t="str">
            <v>CAF1924P</v>
          </cell>
          <cell r="H3638" t="str">
            <v>Cabin Air Filter</v>
          </cell>
        </row>
        <row r="3639">
          <cell r="G3639" t="str">
            <v>CAF7723</v>
          </cell>
          <cell r="H3639" t="str">
            <v>Cabin Air Filter (Carbon)</v>
          </cell>
        </row>
        <row r="3640">
          <cell r="G3640" t="str">
            <v>CAF7743</v>
          </cell>
          <cell r="H3640" t="str">
            <v>Cabin Air Filter (Carbon)</v>
          </cell>
        </row>
        <row r="3641">
          <cell r="G3641" t="str">
            <v>CAF7790</v>
          </cell>
          <cell r="H3641" t="str">
            <v>Cabin Air Filter (Carbon)</v>
          </cell>
        </row>
        <row r="3642">
          <cell r="G3642" t="str">
            <v>LAF1946</v>
          </cell>
          <cell r="H3642" t="str">
            <v>Round Air Filter with Flanged Endcap</v>
          </cell>
        </row>
        <row r="3643">
          <cell r="G3643" t="str">
            <v>LAF2516</v>
          </cell>
          <cell r="H3643" t="str">
            <v>HD Metal-End Air Filter</v>
          </cell>
        </row>
        <row r="3644">
          <cell r="G3644" t="str">
            <v>LAF282</v>
          </cell>
          <cell r="H3644" t="str">
            <v>HD Metal-End Air Filter with Attached Lid</v>
          </cell>
        </row>
        <row r="3645">
          <cell r="G3645" t="str">
            <v>LAF340</v>
          </cell>
          <cell r="H3645" t="str">
            <v>Round Inner Air Filter with Flanged Endcap</v>
          </cell>
        </row>
        <row r="3646">
          <cell r="G3646" t="str">
            <v>LAF7933</v>
          </cell>
          <cell r="H3646" t="str">
            <v>HD Metal-End Inner Air Filter</v>
          </cell>
        </row>
        <row r="3647">
          <cell r="G3647" t="str">
            <v>LAF8087</v>
          </cell>
          <cell r="H3647" t="str">
            <v>Radial Seal Air Filter</v>
          </cell>
        </row>
        <row r="3648">
          <cell r="G3648" t="str">
            <v>LAF8643</v>
          </cell>
          <cell r="H3648" t="str">
            <v>HD Metal-End Air Filter-Inner</v>
          </cell>
        </row>
        <row r="3649">
          <cell r="G3649" t="str">
            <v>LAF8825</v>
          </cell>
          <cell r="H3649" t="str">
            <v>HD Metal-End Air Filter</v>
          </cell>
        </row>
        <row r="3650">
          <cell r="G3650" t="str">
            <v>LFP8099</v>
          </cell>
          <cell r="H3650" t="str">
            <v>Spin-on Oil Filter</v>
          </cell>
        </row>
        <row r="3651">
          <cell r="G3651" t="str">
            <v>LH22119</v>
          </cell>
          <cell r="H3651" t="str">
            <v>Cartridge Hydraulic Filter</v>
          </cell>
        </row>
        <row r="3652">
          <cell r="G3652" t="str">
            <v>AF1061</v>
          </cell>
          <cell r="H3652" t="str">
            <v>Flexible Panel Air Filter</v>
          </cell>
        </row>
        <row r="3653">
          <cell r="G3653" t="str">
            <v>AF288</v>
          </cell>
          <cell r="H3653" t="str">
            <v>Flexible Panel Air Filter</v>
          </cell>
        </row>
        <row r="3654">
          <cell r="G3654" t="str">
            <v>AF4056</v>
          </cell>
          <cell r="H3654" t="str">
            <v>Radial Seal Air Filter</v>
          </cell>
        </row>
        <row r="3655">
          <cell r="G3655" t="str">
            <v>AF7955</v>
          </cell>
          <cell r="H3655" t="str">
            <v>Radial Seal Air Filter</v>
          </cell>
        </row>
        <row r="3656">
          <cell r="G3656" t="str">
            <v>AF7963</v>
          </cell>
          <cell r="H3656" t="str">
            <v>Flexible Panel Air Filter</v>
          </cell>
        </row>
        <row r="3657">
          <cell r="G3657" t="str">
            <v>AFB7844</v>
          </cell>
          <cell r="H3657" t="str">
            <v>Breather Filter</v>
          </cell>
        </row>
        <row r="3658">
          <cell r="G3658" t="str">
            <v>CAF1709</v>
          </cell>
          <cell r="H3658" t="str">
            <v>Cabin Air Filter</v>
          </cell>
        </row>
        <row r="3659">
          <cell r="G3659" t="str">
            <v>CAF1759</v>
          </cell>
          <cell r="H3659" t="str">
            <v>Cabin Air Filter</v>
          </cell>
        </row>
        <row r="3660">
          <cell r="G3660" t="str">
            <v>CAF1884P</v>
          </cell>
          <cell r="H3660" t="str">
            <v>Cabin Air Filter</v>
          </cell>
        </row>
        <row r="3661">
          <cell r="G3661" t="str">
            <v>CAF1946C</v>
          </cell>
          <cell r="H3661" t="str">
            <v>Cabin Air Filter</v>
          </cell>
        </row>
        <row r="3662">
          <cell r="G3662" t="str">
            <v>CAF7728</v>
          </cell>
          <cell r="H3662" t="str">
            <v>Cabin Air Filter (Carbon)</v>
          </cell>
        </row>
        <row r="3663">
          <cell r="G3663" t="str">
            <v>G6586</v>
          </cell>
          <cell r="H3663" t="str">
            <v>In-Line Fuel Filter</v>
          </cell>
        </row>
        <row r="3664">
          <cell r="G3664" t="str">
            <v>LAF2542</v>
          </cell>
          <cell r="H3664" t="str">
            <v>HD Metal-End Inner Air Filter</v>
          </cell>
        </row>
        <row r="3665">
          <cell r="G3665" t="str">
            <v>LAF466</v>
          </cell>
          <cell r="H3665" t="str">
            <v>HD Metal-End Air Filter</v>
          </cell>
        </row>
        <row r="3666">
          <cell r="G3666" t="str">
            <v>LAF7417</v>
          </cell>
          <cell r="H3666" t="str">
            <v>Radial Seal Outer Air Filter</v>
          </cell>
        </row>
        <row r="3667">
          <cell r="G3667" t="str">
            <v>LAF8088</v>
          </cell>
          <cell r="H3667" t="str">
            <v>Radial Seal Air Filter</v>
          </cell>
        </row>
        <row r="3668">
          <cell r="G3668" t="str">
            <v>LFH4970</v>
          </cell>
          <cell r="H3668" t="str">
            <v>Spin-on Hydraulic Filter</v>
          </cell>
        </row>
        <row r="3669">
          <cell r="G3669" t="str">
            <v>LH4227</v>
          </cell>
          <cell r="H3669" t="str">
            <v>Cartridge Hydraulic Filter</v>
          </cell>
        </row>
        <row r="3670">
          <cell r="G3670" t="str">
            <v>LH4963</v>
          </cell>
          <cell r="H3670" t="str">
            <v>Cartridge Hydraulic Filter</v>
          </cell>
        </row>
        <row r="3671">
          <cell r="G3671" t="str">
            <v>LH8599</v>
          </cell>
          <cell r="H3671" t="str">
            <v>Cartridge Hydraulic Filter</v>
          </cell>
        </row>
        <row r="3672">
          <cell r="G3672" t="str">
            <v>LP5036</v>
          </cell>
          <cell r="H3672" t="str">
            <v>Cartridge Oil Filter</v>
          </cell>
        </row>
        <row r="3673">
          <cell r="G3673" t="str">
            <v>PC238</v>
          </cell>
          <cell r="H3673" t="str">
            <v>PCV Valve</v>
          </cell>
        </row>
        <row r="3674">
          <cell r="G3674" t="str">
            <v>AF111</v>
          </cell>
          <cell r="H3674" t="str">
            <v>Round Air Filter</v>
          </cell>
        </row>
        <row r="3675">
          <cell r="G3675" t="str">
            <v>AF230</v>
          </cell>
          <cell r="H3675" t="str">
            <v>Air Filter</v>
          </cell>
        </row>
        <row r="3676">
          <cell r="G3676" t="str">
            <v>AF234</v>
          </cell>
          <cell r="H3676" t="str">
            <v>Rigid Panel Air Filter</v>
          </cell>
        </row>
        <row r="3677">
          <cell r="G3677" t="str">
            <v>AF3185</v>
          </cell>
          <cell r="H3677" t="str">
            <v>Air Filter</v>
          </cell>
        </row>
        <row r="3678">
          <cell r="G3678" t="str">
            <v>AF396</v>
          </cell>
          <cell r="H3678" t="str">
            <v>Flexible Panel Air Filter</v>
          </cell>
        </row>
        <row r="3679">
          <cell r="G3679" t="str">
            <v>AF401</v>
          </cell>
          <cell r="H3679" t="str">
            <v>Round Air Filter</v>
          </cell>
        </row>
        <row r="3680">
          <cell r="G3680" t="str">
            <v>AF5236</v>
          </cell>
          <cell r="H3680" t="str">
            <v>Air Filter</v>
          </cell>
        </row>
        <row r="3681">
          <cell r="G3681" t="str">
            <v>AF5250</v>
          </cell>
          <cell r="H3681" t="str">
            <v>Air Filter</v>
          </cell>
        </row>
        <row r="3682">
          <cell r="G3682" t="str">
            <v>AF7840</v>
          </cell>
          <cell r="H3682" t="str">
            <v>Round Air Filter</v>
          </cell>
        </row>
        <row r="3683">
          <cell r="G3683" t="str">
            <v>AF7881</v>
          </cell>
          <cell r="H3683" t="str">
            <v>Flexible Panel Air Filter</v>
          </cell>
        </row>
        <row r="3684">
          <cell r="G3684" t="str">
            <v>AF7889</v>
          </cell>
          <cell r="H3684" t="str">
            <v>Panel Air Filter</v>
          </cell>
        </row>
        <row r="3685">
          <cell r="G3685" t="str">
            <v>AF7915</v>
          </cell>
          <cell r="H3685" t="str">
            <v>Round Panel Air Filter</v>
          </cell>
        </row>
        <row r="3686">
          <cell r="G3686" t="str">
            <v>AF7961</v>
          </cell>
          <cell r="H3686" t="str">
            <v>Round Air Filter</v>
          </cell>
        </row>
        <row r="3687">
          <cell r="G3687" t="str">
            <v>CAF1925P</v>
          </cell>
          <cell r="H3687" t="str">
            <v>Cabin Air Filter</v>
          </cell>
        </row>
        <row r="3688">
          <cell r="G3688" t="str">
            <v>L5948F</v>
          </cell>
          <cell r="H3688" t="str">
            <v>Cartridge Fuel Filter</v>
          </cell>
        </row>
        <row r="3689">
          <cell r="G3689" t="str">
            <v>LAF1877</v>
          </cell>
          <cell r="H3689" t="str">
            <v>Panel Air Filter Metal Framed</v>
          </cell>
        </row>
        <row r="3690">
          <cell r="G3690" t="str">
            <v>LAF1984</v>
          </cell>
          <cell r="H3690" t="str">
            <v>Finned Vane Air Filter</v>
          </cell>
        </row>
        <row r="3691">
          <cell r="G3691" t="str">
            <v>LAF22036</v>
          </cell>
          <cell r="H3691" t="str">
            <v>Round Air Filter</v>
          </cell>
        </row>
        <row r="3692">
          <cell r="G3692" t="str">
            <v>LAF8672</v>
          </cell>
          <cell r="H3692" t="str">
            <v>Disposible Housing Air Filter</v>
          </cell>
        </row>
        <row r="3693">
          <cell r="G3693" t="str">
            <v>LFF200</v>
          </cell>
          <cell r="H3693" t="str">
            <v>Spin-on Fuel Filter</v>
          </cell>
        </row>
        <row r="3694">
          <cell r="G3694" t="str">
            <v>LH4913</v>
          </cell>
          <cell r="H3694" t="str">
            <v>Cartridge Hydraulic Filter</v>
          </cell>
        </row>
        <row r="3695">
          <cell r="G3695" t="str">
            <v>LH5012</v>
          </cell>
          <cell r="H3695" t="str">
            <v>Cartridge Hydraulic Filter</v>
          </cell>
        </row>
        <row r="3696">
          <cell r="G3696" t="str">
            <v>LH5942</v>
          </cell>
          <cell r="H3696" t="str">
            <v>Cartridge Hydraulic Filter</v>
          </cell>
        </row>
        <row r="3697">
          <cell r="G3697" t="str">
            <v>LH9412</v>
          </cell>
          <cell r="H3697" t="str">
            <v>Cartridge Hydraulic Filter</v>
          </cell>
        </row>
        <row r="3698">
          <cell r="G3698" t="str">
            <v>P7003</v>
          </cell>
          <cell r="H3698" t="str">
            <v>Cartridge Oil Filter</v>
          </cell>
        </row>
        <row r="3699">
          <cell r="G3699" t="str">
            <v>PC138</v>
          </cell>
          <cell r="H3699" t="str">
            <v>PCV Valve</v>
          </cell>
        </row>
        <row r="3700">
          <cell r="G3700" t="str">
            <v>PC257</v>
          </cell>
          <cell r="H3700" t="str">
            <v>PCV Valve</v>
          </cell>
        </row>
        <row r="3701">
          <cell r="G3701" t="str">
            <v>PC271</v>
          </cell>
          <cell r="H3701" t="str">
            <v>PCV Valve</v>
          </cell>
        </row>
        <row r="3702">
          <cell r="G3702" t="str">
            <v>PC301</v>
          </cell>
          <cell r="H3702" t="str">
            <v>PCV Valve</v>
          </cell>
        </row>
        <row r="3703">
          <cell r="G3703" t="str">
            <v>T180</v>
          </cell>
          <cell r="H3703" t="str">
            <v>Transmission Filter Kit</v>
          </cell>
        </row>
        <row r="3704">
          <cell r="G3704" t="str">
            <v>T717</v>
          </cell>
          <cell r="H3704" t="str">
            <v>Transmission Filter Kit</v>
          </cell>
        </row>
        <row r="3705">
          <cell r="G3705" t="str">
            <v>T723</v>
          </cell>
          <cell r="H3705" t="str">
            <v>Transmission Filter Kit</v>
          </cell>
        </row>
        <row r="3706">
          <cell r="G3706" t="str">
            <v>AF1682</v>
          </cell>
          <cell r="H3706" t="str">
            <v>Flexible Panel Air Filter</v>
          </cell>
        </row>
        <row r="3707">
          <cell r="G3707" t="str">
            <v>AF184</v>
          </cell>
          <cell r="H3707" t="str">
            <v>Round Air Filter</v>
          </cell>
        </row>
        <row r="3708">
          <cell r="G3708" t="str">
            <v>AF3077</v>
          </cell>
          <cell r="H3708" t="str">
            <v>Air Filter</v>
          </cell>
        </row>
        <row r="3709">
          <cell r="G3709" t="str">
            <v>AF4059</v>
          </cell>
          <cell r="H3709" t="str">
            <v>Air Filter</v>
          </cell>
        </row>
        <row r="3710">
          <cell r="G3710" t="str">
            <v>AF5612</v>
          </cell>
          <cell r="H3710" t="str">
            <v>HD Metal-End Air Filter</v>
          </cell>
        </row>
        <row r="3711">
          <cell r="G3711" t="str">
            <v>AF7378</v>
          </cell>
          <cell r="H3711" t="str">
            <v>Air Filter</v>
          </cell>
        </row>
        <row r="3712">
          <cell r="G3712" t="str">
            <v>AF7804</v>
          </cell>
          <cell r="H3712" t="str">
            <v>Air Filter</v>
          </cell>
        </row>
        <row r="3713">
          <cell r="G3713" t="str">
            <v>AF7936</v>
          </cell>
          <cell r="H3713" t="str">
            <v>Flexible Panel Air Filter</v>
          </cell>
        </row>
        <row r="3714">
          <cell r="G3714" t="str">
            <v>AF7968</v>
          </cell>
          <cell r="H3714" t="str">
            <v>Rigid Panel Air Filter</v>
          </cell>
        </row>
        <row r="3715">
          <cell r="G3715" t="str">
            <v>CAF1720</v>
          </cell>
          <cell r="H3715" t="str">
            <v>Cabin Air Filter</v>
          </cell>
        </row>
        <row r="3716">
          <cell r="G3716" t="str">
            <v>CAF1740</v>
          </cell>
          <cell r="H3716" t="str">
            <v>Cabin Air Filter</v>
          </cell>
        </row>
        <row r="3717">
          <cell r="G3717" t="str">
            <v>CAF1788</v>
          </cell>
          <cell r="H3717" t="str">
            <v>Cabin Air Filter</v>
          </cell>
        </row>
        <row r="3718">
          <cell r="G3718" t="str">
            <v>CAF1856P</v>
          </cell>
          <cell r="H3718" t="str">
            <v>Cabin Air Filter</v>
          </cell>
        </row>
        <row r="3719">
          <cell r="G3719" t="str">
            <v>G2909</v>
          </cell>
          <cell r="H3719" t="str">
            <v>In-Line Fuel Filter</v>
          </cell>
        </row>
        <row r="3720">
          <cell r="G3720" t="str">
            <v>G2975</v>
          </cell>
          <cell r="H3720" t="str">
            <v>In-Line Fuel Filter</v>
          </cell>
        </row>
        <row r="3721">
          <cell r="G3721" t="str">
            <v>G484</v>
          </cell>
          <cell r="H3721" t="str">
            <v>In-Line Fuel Filter</v>
          </cell>
        </row>
        <row r="3722">
          <cell r="G3722" t="str">
            <v>G6376</v>
          </cell>
          <cell r="H3722" t="str">
            <v>In-Line Fuel Filter</v>
          </cell>
        </row>
        <row r="3723">
          <cell r="G3723" t="str">
            <v>G6378</v>
          </cell>
          <cell r="H3723" t="str">
            <v>In-Line Fuel Filter</v>
          </cell>
        </row>
        <row r="3724">
          <cell r="G3724" t="str">
            <v>G6388</v>
          </cell>
          <cell r="H3724" t="str">
            <v>In-Line Fuel Filter</v>
          </cell>
        </row>
        <row r="3725">
          <cell r="G3725" t="str">
            <v>L3565F</v>
          </cell>
          <cell r="H3725" t="str">
            <v>Cartridge Fuel Filter</v>
          </cell>
        </row>
        <row r="3726">
          <cell r="G3726" t="str">
            <v>L4115F</v>
          </cell>
          <cell r="H3726" t="str">
            <v>Cartridge Fuel Filter</v>
          </cell>
        </row>
        <row r="3727">
          <cell r="G3727" t="str">
            <v>LAF1215HD</v>
          </cell>
          <cell r="H3727" t="str">
            <v>Round Air Filter</v>
          </cell>
        </row>
        <row r="3728">
          <cell r="G3728" t="str">
            <v>LAF1339</v>
          </cell>
          <cell r="H3728" t="str">
            <v>Cone Shaped Conical Air Filter</v>
          </cell>
        </row>
        <row r="3729">
          <cell r="G3729" t="str">
            <v>LAF1476</v>
          </cell>
          <cell r="H3729" t="str">
            <v>HD Metal-End Air Filter</v>
          </cell>
        </row>
        <row r="3730">
          <cell r="G3730" t="str">
            <v>LAF1966</v>
          </cell>
          <cell r="H3730" t="str">
            <v>Round Air Filter</v>
          </cell>
        </row>
        <row r="3731">
          <cell r="G3731" t="str">
            <v>LAF2528</v>
          </cell>
          <cell r="H3731" t="str">
            <v>Finned Vane Air Filter</v>
          </cell>
        </row>
        <row r="3732">
          <cell r="G3732" t="str">
            <v>LAF3779</v>
          </cell>
          <cell r="H3732" t="str">
            <v>Finned Vane Air Filter</v>
          </cell>
        </row>
        <row r="3733">
          <cell r="G3733" t="str">
            <v>LAF4159</v>
          </cell>
          <cell r="H3733" t="str">
            <v>Round Inner Air Filter</v>
          </cell>
        </row>
        <row r="3734">
          <cell r="G3734" t="str">
            <v>LAF5955</v>
          </cell>
          <cell r="H3734" t="str">
            <v>Radial Seal Inner Air Filter</v>
          </cell>
        </row>
        <row r="3735">
          <cell r="G3735" t="str">
            <v>LAF8077</v>
          </cell>
          <cell r="H3735" t="str">
            <v>HD Metal-End Inner Air Filter</v>
          </cell>
        </row>
        <row r="3736">
          <cell r="G3736" t="str">
            <v>LAF8497</v>
          </cell>
          <cell r="H3736" t="str">
            <v>Radial Seal Outer Air Filter</v>
          </cell>
        </row>
        <row r="3737">
          <cell r="G3737" t="str">
            <v>LAF8503</v>
          </cell>
          <cell r="H3737" t="str">
            <v>HD Round Air Filter with Attached Lid</v>
          </cell>
        </row>
        <row r="3738">
          <cell r="G3738" t="str">
            <v>LAF8518</v>
          </cell>
          <cell r="H3738" t="str">
            <v>HD Metal-End Air Filter-Inner</v>
          </cell>
        </row>
        <row r="3739">
          <cell r="G3739" t="str">
            <v>LAF884</v>
          </cell>
          <cell r="H3739" t="str">
            <v>Metal-End Air Filter with Closed Top End Cap</v>
          </cell>
        </row>
        <row r="3740">
          <cell r="G3740" t="str">
            <v>LFP2248SC</v>
          </cell>
          <cell r="H3740" t="str">
            <v>Spin-on Oil Filter</v>
          </cell>
        </row>
        <row r="3741">
          <cell r="G3741" t="str">
            <v>LFW5870</v>
          </cell>
          <cell r="H3741" t="str">
            <v>Spin-on Coolant Filter</v>
          </cell>
        </row>
        <row r="3742">
          <cell r="G3742" t="str">
            <v>LH4946</v>
          </cell>
          <cell r="H3742" t="str">
            <v>Cartridge Hydraulic Filter</v>
          </cell>
        </row>
        <row r="3743">
          <cell r="G3743" t="str">
            <v>LH4993</v>
          </cell>
          <cell r="H3743" t="str">
            <v>Cartridge Hydraulic Filter</v>
          </cell>
        </row>
        <row r="3744">
          <cell r="G3744" t="str">
            <v>LP2217</v>
          </cell>
          <cell r="H3744" t="str">
            <v>Cartridge Oil Filter</v>
          </cell>
        </row>
        <row r="3745">
          <cell r="G3745" t="str">
            <v>LP2219</v>
          </cell>
          <cell r="H3745" t="str">
            <v>Cartridge Oil Filter</v>
          </cell>
        </row>
        <row r="3746">
          <cell r="G3746" t="str">
            <v>LP2249</v>
          </cell>
          <cell r="H3746" t="str">
            <v>Cartridge Oil Filter</v>
          </cell>
        </row>
        <row r="3747">
          <cell r="G3747" t="str">
            <v>LP5902</v>
          </cell>
          <cell r="H3747" t="str">
            <v>Cartridge Oil Filter</v>
          </cell>
        </row>
        <row r="3748">
          <cell r="G3748" t="str">
            <v>PC136</v>
          </cell>
          <cell r="H3748" t="str">
            <v>PCV Valve</v>
          </cell>
        </row>
        <row r="3749">
          <cell r="G3749" t="str">
            <v>PC145</v>
          </cell>
          <cell r="H3749" t="str">
            <v>PCV Valve</v>
          </cell>
        </row>
        <row r="3750">
          <cell r="G3750" t="str">
            <v>PC215</v>
          </cell>
          <cell r="H3750" t="str">
            <v>PCV Valve</v>
          </cell>
        </row>
        <row r="3751">
          <cell r="G3751" t="str">
            <v>PC249</v>
          </cell>
          <cell r="H3751" t="str">
            <v>PCV Valve</v>
          </cell>
        </row>
        <row r="3752">
          <cell r="G3752" t="str">
            <v>PC258</v>
          </cell>
          <cell r="H3752" t="str">
            <v>PCV Valve</v>
          </cell>
        </row>
        <row r="3753">
          <cell r="G3753" t="str">
            <v>PC259</v>
          </cell>
          <cell r="H3753" t="str">
            <v>PCV Valve</v>
          </cell>
        </row>
        <row r="3754">
          <cell r="G3754" t="str">
            <v>PC403</v>
          </cell>
          <cell r="H3754" t="str">
            <v>PCV Valve</v>
          </cell>
        </row>
        <row r="3755">
          <cell r="G3755" t="str">
            <v>PC776</v>
          </cell>
          <cell r="H3755" t="str">
            <v>PCV Valve</v>
          </cell>
        </row>
        <row r="3756">
          <cell r="G3756" t="str">
            <v>T134</v>
          </cell>
          <cell r="H3756" t="str">
            <v>Transmission Filter Kit</v>
          </cell>
        </row>
        <row r="3757">
          <cell r="G3757" t="str">
            <v>T150</v>
          </cell>
          <cell r="H3757" t="str">
            <v>Transmission Filter Kit</v>
          </cell>
        </row>
        <row r="3758">
          <cell r="G3758" t="str">
            <v>T173</v>
          </cell>
          <cell r="H3758" t="str">
            <v>Transmission Filter Kit</v>
          </cell>
        </row>
        <row r="3759">
          <cell r="G3759" t="str">
            <v>T618</v>
          </cell>
          <cell r="H3759" t="str">
            <v>LUBER-FINER TRANSMISSION FLTR</v>
          </cell>
        </row>
        <row r="3760">
          <cell r="G3760" t="str">
            <v>T627</v>
          </cell>
          <cell r="H3760" t="str">
            <v>Transmission Filter Kit</v>
          </cell>
        </row>
        <row r="3761">
          <cell r="G3761" t="str">
            <v>AF3614</v>
          </cell>
          <cell r="H3761" t="str">
            <v>Air Filter</v>
          </cell>
        </row>
        <row r="3762">
          <cell r="G3762" t="str">
            <v>AF366</v>
          </cell>
          <cell r="H3762" t="str">
            <v>Round Panel Air Filter</v>
          </cell>
        </row>
        <row r="3763">
          <cell r="G3763" t="str">
            <v>AF3753</v>
          </cell>
          <cell r="H3763" t="str">
            <v>Air Filter</v>
          </cell>
        </row>
        <row r="3764">
          <cell r="G3764" t="str">
            <v>AF432</v>
          </cell>
          <cell r="H3764" t="str">
            <v>Round Air Filter</v>
          </cell>
        </row>
        <row r="3765">
          <cell r="G3765" t="str">
            <v>AF605</v>
          </cell>
          <cell r="H3765" t="str">
            <v>Air Filter</v>
          </cell>
        </row>
        <row r="3766">
          <cell r="G3766" t="str">
            <v>AF697R</v>
          </cell>
          <cell r="H3766" t="str">
            <v>Air Filter</v>
          </cell>
        </row>
        <row r="3767">
          <cell r="G3767" t="str">
            <v>AF7813</v>
          </cell>
          <cell r="H3767" t="str">
            <v>Air Filter</v>
          </cell>
        </row>
        <row r="3768">
          <cell r="G3768" t="str">
            <v>AF7883</v>
          </cell>
          <cell r="H3768" t="str">
            <v>Flexible Panel Air Filter</v>
          </cell>
        </row>
        <row r="3769">
          <cell r="G3769" t="str">
            <v>AF7957</v>
          </cell>
          <cell r="H3769" t="str">
            <v>Cone Shaped Conical Air Filter</v>
          </cell>
        </row>
        <row r="3770">
          <cell r="G3770" t="str">
            <v>AF7994</v>
          </cell>
          <cell r="H3770" t="str">
            <v>Foam Pad</v>
          </cell>
        </row>
        <row r="3771">
          <cell r="G3771" t="str">
            <v>AF82</v>
          </cell>
          <cell r="H3771" t="str">
            <v>Air Filter</v>
          </cell>
        </row>
        <row r="3772">
          <cell r="G3772" t="str">
            <v>CAF1718</v>
          </cell>
          <cell r="H3772" t="str">
            <v>Cabin Air Filter</v>
          </cell>
        </row>
        <row r="3773">
          <cell r="G3773" t="str">
            <v>CAF1753</v>
          </cell>
          <cell r="H3773" t="str">
            <v>Cabin Air Filter</v>
          </cell>
        </row>
        <row r="3774">
          <cell r="G3774" t="str">
            <v>CAF7704</v>
          </cell>
          <cell r="H3774" t="str">
            <v>Cabin Air Filter (Carbon)</v>
          </cell>
        </row>
        <row r="3775">
          <cell r="G3775" t="str">
            <v>CAF7717</v>
          </cell>
          <cell r="H3775" t="str">
            <v>Cabin Air Filter (Carbon)</v>
          </cell>
        </row>
        <row r="3776">
          <cell r="G3776" t="str">
            <v>CAF7737</v>
          </cell>
          <cell r="H3776" t="str">
            <v>Cabin Air Filter (Carbon)</v>
          </cell>
        </row>
        <row r="3777">
          <cell r="G3777" t="str">
            <v>CAF7754</v>
          </cell>
          <cell r="H3777" t="str">
            <v>Cabin Air Filter (Carbon)</v>
          </cell>
        </row>
        <row r="3778">
          <cell r="G3778" t="str">
            <v>CAF7755</v>
          </cell>
          <cell r="H3778" t="str">
            <v>Cabin Air Filter (Carbon)</v>
          </cell>
        </row>
        <row r="3779">
          <cell r="G3779" t="str">
            <v>G22076</v>
          </cell>
          <cell r="H3779" t="str">
            <v>In-Line Fuel Filter</v>
          </cell>
        </row>
        <row r="3780">
          <cell r="G3780" t="str">
            <v>G2902</v>
          </cell>
          <cell r="H3780" t="str">
            <v>In-Line Fuel Filter</v>
          </cell>
        </row>
        <row r="3781">
          <cell r="G3781" t="str">
            <v>G6336</v>
          </cell>
          <cell r="H3781" t="str">
            <v>In-Line Fuel Filter</v>
          </cell>
        </row>
        <row r="3782">
          <cell r="G3782" t="str">
            <v>G6398</v>
          </cell>
          <cell r="H3782" t="str">
            <v>In-Line Fuel Filter</v>
          </cell>
        </row>
        <row r="3783">
          <cell r="G3783" t="str">
            <v>G6532</v>
          </cell>
          <cell r="H3783" t="str">
            <v>In-Line Fuel Filter</v>
          </cell>
        </row>
        <row r="3784">
          <cell r="G3784" t="str">
            <v>G6543</v>
          </cell>
          <cell r="H3784" t="str">
            <v>In-Line Fuel Filter</v>
          </cell>
        </row>
        <row r="3785">
          <cell r="G3785" t="str">
            <v>KIT1</v>
          </cell>
          <cell r="H3785" t="str">
            <v>Service Gasket</v>
          </cell>
        </row>
        <row r="3786">
          <cell r="G3786" t="str">
            <v>L3570F</v>
          </cell>
          <cell r="H3786" t="str">
            <v>Cartridge Fuel Filter</v>
          </cell>
        </row>
        <row r="3787">
          <cell r="G3787" t="str">
            <v>L4118F</v>
          </cell>
          <cell r="H3787" t="str">
            <v>Cartridge Fuel Filter</v>
          </cell>
        </row>
        <row r="3788">
          <cell r="G3788" t="str">
            <v>L4119F</v>
          </cell>
          <cell r="H3788" t="str">
            <v>Cartridge Fuel Filter</v>
          </cell>
        </row>
        <row r="3789">
          <cell r="G3789" t="str">
            <v>L5839F</v>
          </cell>
          <cell r="H3789" t="str">
            <v>Cartridge Fuel Filter</v>
          </cell>
        </row>
        <row r="3790">
          <cell r="G3790" t="str">
            <v>L897B</v>
          </cell>
          <cell r="H3790" t="str">
            <v>Glass Bowl with Sensor Port for LFF8061</v>
          </cell>
        </row>
        <row r="3791">
          <cell r="G3791" t="str">
            <v>LAF1467</v>
          </cell>
          <cell r="H3791" t="str">
            <v>Finned Vane Air Filter</v>
          </cell>
        </row>
        <row r="3792">
          <cell r="G3792" t="str">
            <v>LAF1743</v>
          </cell>
          <cell r="H3792" t="str">
            <v>HD Metal-End Air Filter</v>
          </cell>
        </row>
        <row r="3793">
          <cell r="G3793" t="str">
            <v>LAF1775</v>
          </cell>
          <cell r="H3793" t="str">
            <v>Round Inner Air Filter with Flanged Endcap</v>
          </cell>
        </row>
        <row r="3794">
          <cell r="G3794" t="str">
            <v>LAF1778</v>
          </cell>
          <cell r="H3794" t="str">
            <v>HD Metal-End Inner Air Filter</v>
          </cell>
        </row>
        <row r="3795">
          <cell r="G3795" t="str">
            <v>LAF1786</v>
          </cell>
          <cell r="H3795" t="str">
            <v>HD Metal-End Inner Air Filter</v>
          </cell>
        </row>
        <row r="3796">
          <cell r="G3796" t="str">
            <v>LAF189</v>
          </cell>
          <cell r="H3796" t="str">
            <v>Round Air Filter</v>
          </cell>
        </row>
        <row r="3797">
          <cell r="G3797" t="str">
            <v>LAF1976</v>
          </cell>
          <cell r="H3797" t="str">
            <v>Finned Vane Air Filter</v>
          </cell>
        </row>
        <row r="3798">
          <cell r="G3798" t="str">
            <v>LAF200</v>
          </cell>
          <cell r="H3798" t="str">
            <v>Round Air Filter</v>
          </cell>
        </row>
        <row r="3799">
          <cell r="G3799" t="str">
            <v>LAF22006</v>
          </cell>
          <cell r="H3799" t="str">
            <v>Disposible Housing Air Filter</v>
          </cell>
        </row>
        <row r="3800">
          <cell r="G3800" t="str">
            <v>LAF2547</v>
          </cell>
          <cell r="H3800" t="str">
            <v>Heavy Duty Air Filter With Attached Lid</v>
          </cell>
        </row>
        <row r="3801">
          <cell r="G3801" t="str">
            <v>LAF263</v>
          </cell>
          <cell r="H3801" t="str">
            <v>HD Metal-End Air Filter</v>
          </cell>
        </row>
        <row r="3802">
          <cell r="G3802" t="str">
            <v>LAF4350</v>
          </cell>
          <cell r="H3802" t="str">
            <v>Round Inner Air Filter with Flanged Endcap</v>
          </cell>
        </row>
        <row r="3803">
          <cell r="G3803" t="str">
            <v>LAF5781</v>
          </cell>
          <cell r="H3803" t="str">
            <v>Flexible Panel Air Filter</v>
          </cell>
        </row>
        <row r="3804">
          <cell r="G3804" t="str">
            <v>LAF5796</v>
          </cell>
          <cell r="H3804" t="str">
            <v>Round Air Filter</v>
          </cell>
        </row>
        <row r="3805">
          <cell r="G3805" t="str">
            <v>LAF5882</v>
          </cell>
          <cell r="H3805" t="str">
            <v>Round Air Filter</v>
          </cell>
        </row>
        <row r="3806">
          <cell r="G3806" t="str">
            <v>LAF6299</v>
          </cell>
          <cell r="H3806" t="str">
            <v>Metal-End Air Filter with Closed Top End Cap</v>
          </cell>
        </row>
        <row r="3807">
          <cell r="G3807" t="str">
            <v>LAF6998MXM</v>
          </cell>
          <cell r="H3807" t="str">
            <v>Nano Tech Radial Seal Air Filter</v>
          </cell>
        </row>
        <row r="3808">
          <cell r="G3808" t="str">
            <v>LAF8496</v>
          </cell>
          <cell r="H3808" t="str">
            <v>Radial Seal Outer Air Filter</v>
          </cell>
        </row>
        <row r="3809">
          <cell r="G3809" t="str">
            <v>LAF8530</v>
          </cell>
          <cell r="H3809" t="str">
            <v>Round Plastisol Air Filter</v>
          </cell>
        </row>
        <row r="3810">
          <cell r="G3810" t="str">
            <v>LAF8565</v>
          </cell>
          <cell r="H3810" t="str">
            <v>Cone Shaped Conical Air Filter</v>
          </cell>
        </row>
        <row r="3811">
          <cell r="G3811" t="str">
            <v>LAF8613</v>
          </cell>
          <cell r="H3811" t="str">
            <v>HD Metal-End Inner Air Filter</v>
          </cell>
        </row>
        <row r="3812">
          <cell r="G3812" t="str">
            <v>LAF8748</v>
          </cell>
          <cell r="H3812" t="str">
            <v>Radial Seal Inner Air Filter</v>
          </cell>
        </row>
        <row r="3813">
          <cell r="G3813" t="str">
            <v>LAF8971</v>
          </cell>
          <cell r="H3813" t="str">
            <v>HD Metal-End Air Filter</v>
          </cell>
        </row>
        <row r="3814">
          <cell r="G3814" t="str">
            <v>LAF8991</v>
          </cell>
          <cell r="H3814" t="str">
            <v>HD Metal-End Air Filter</v>
          </cell>
        </row>
        <row r="3815">
          <cell r="G3815" t="str">
            <v>LFH4206</v>
          </cell>
          <cell r="H3815" t="str">
            <v>Spin-on Hydraulic Filter</v>
          </cell>
        </row>
        <row r="3816">
          <cell r="G3816" t="str">
            <v>LFH4388</v>
          </cell>
          <cell r="H3816" t="str">
            <v>Spin-on Hydraulic Filter</v>
          </cell>
        </row>
        <row r="3817">
          <cell r="G3817" t="str">
            <v>LFH5014</v>
          </cell>
          <cell r="H3817" t="str">
            <v>Spin-on Hydraulic Filter</v>
          </cell>
        </row>
        <row r="3818">
          <cell r="G3818" t="str">
            <v>LFH8243</v>
          </cell>
          <cell r="H3818" t="str">
            <v>Spin-on Hydraulic Filter</v>
          </cell>
        </row>
        <row r="3819">
          <cell r="G3819" t="str">
            <v>LFP8509</v>
          </cell>
          <cell r="H3819" t="str">
            <v>Spin-on Oil Filter</v>
          </cell>
        </row>
        <row r="3820">
          <cell r="G3820" t="str">
            <v>LH22067</v>
          </cell>
          <cell r="H3820" t="str">
            <v>Cartridge Hydraulic Filter</v>
          </cell>
        </row>
        <row r="3821">
          <cell r="G3821" t="str">
            <v>LH4100</v>
          </cell>
          <cell r="H3821" t="str">
            <v>Cartridge Hydraulic Filter</v>
          </cell>
        </row>
        <row r="3822">
          <cell r="G3822" t="str">
            <v>LH4231</v>
          </cell>
          <cell r="H3822" t="str">
            <v>Cartridge Hydraulic Filter</v>
          </cell>
        </row>
        <row r="3823">
          <cell r="G3823" t="str">
            <v>LH4480</v>
          </cell>
          <cell r="H3823" t="str">
            <v>Cartridge Hydraulic Filter</v>
          </cell>
        </row>
        <row r="3824">
          <cell r="G3824" t="str">
            <v>LH5746</v>
          </cell>
          <cell r="H3824" t="str">
            <v>Cartridge Hydraulic Filter</v>
          </cell>
        </row>
        <row r="3825">
          <cell r="G3825" t="str">
            <v>LH7048V</v>
          </cell>
          <cell r="H3825" t="str">
            <v>Cartridge Hydraulic Filter</v>
          </cell>
        </row>
        <row r="3826">
          <cell r="G3826" t="str">
            <v>LH8510</v>
          </cell>
          <cell r="H3826" t="str">
            <v>Cartridge Hydraulic Filter</v>
          </cell>
        </row>
        <row r="3827">
          <cell r="G3827" t="str">
            <v>LH8788</v>
          </cell>
          <cell r="H3827" t="str">
            <v>Cartridge Hydraulic Filter</v>
          </cell>
        </row>
        <row r="3828">
          <cell r="G3828" t="str">
            <v>LH9406V</v>
          </cell>
          <cell r="H3828" t="str">
            <v>Cartridge Hydraulic Filter</v>
          </cell>
        </row>
        <row r="3829">
          <cell r="G3829" t="str">
            <v>LH95304V</v>
          </cell>
          <cell r="H3829" t="str">
            <v>Cartridge Hydraulic Filter</v>
          </cell>
        </row>
        <row r="3830">
          <cell r="G3830" t="str">
            <v>LK245C</v>
          </cell>
          <cell r="H3830" t="str">
            <v>Cummins Engine Maintenance Kit</v>
          </cell>
        </row>
        <row r="3831">
          <cell r="G3831" t="str">
            <v>LK327DF</v>
          </cell>
          <cell r="H3831" t="str">
            <v>Cummins Engine Maintenance Kit</v>
          </cell>
        </row>
        <row r="3832">
          <cell r="G3832" t="str">
            <v>LK372V</v>
          </cell>
          <cell r="H3832" t="str">
            <v>Volvo Fleet Maintenance Kit</v>
          </cell>
        </row>
        <row r="3833">
          <cell r="G3833" t="str">
            <v>LK373I</v>
          </cell>
          <cell r="H3833" t="str">
            <v>Maintenance Kit</v>
          </cell>
        </row>
        <row r="3834">
          <cell r="G3834" t="str">
            <v>LK376V</v>
          </cell>
          <cell r="H3834" t="str">
            <v>Maintenance Kit</v>
          </cell>
        </row>
        <row r="3835">
          <cell r="G3835" t="str">
            <v>LK379V</v>
          </cell>
          <cell r="H3835" t="str">
            <v>Maintenance Kit</v>
          </cell>
        </row>
        <row r="3836">
          <cell r="G3836" t="str">
            <v>LP2211</v>
          </cell>
          <cell r="H3836" t="str">
            <v>Cartridge Oil Filter</v>
          </cell>
        </row>
        <row r="3837">
          <cell r="G3837" t="str">
            <v>LP5577</v>
          </cell>
          <cell r="H3837" t="str">
            <v>HD Product</v>
          </cell>
        </row>
        <row r="3838">
          <cell r="G3838" t="str">
            <v>LP8367</v>
          </cell>
          <cell r="H3838" t="str">
            <v>Cartridge Hydraulic Filter</v>
          </cell>
        </row>
        <row r="3839">
          <cell r="G3839" t="str">
            <v>P3987</v>
          </cell>
          <cell r="H3839" t="str">
            <v>Cartridge Oil Filter</v>
          </cell>
        </row>
        <row r="3840">
          <cell r="G3840" t="str">
            <v>P8493</v>
          </cell>
          <cell r="H3840" t="str">
            <v>Cartridge Oil Filter</v>
          </cell>
        </row>
        <row r="3841">
          <cell r="G3841" t="str">
            <v>PC104</v>
          </cell>
          <cell r="H3841" t="str">
            <v>PCV Valve</v>
          </cell>
        </row>
        <row r="3842">
          <cell r="G3842" t="str">
            <v>PC126</v>
          </cell>
          <cell r="H3842" t="str">
            <v>PCV Valve</v>
          </cell>
        </row>
        <row r="3843">
          <cell r="G3843" t="str">
            <v>PC178</v>
          </cell>
          <cell r="H3843" t="str">
            <v>PCV Valve</v>
          </cell>
        </row>
        <row r="3844">
          <cell r="G3844" t="str">
            <v>PC184</v>
          </cell>
          <cell r="H3844" t="str">
            <v>PCV Valve</v>
          </cell>
        </row>
        <row r="3845">
          <cell r="G3845" t="str">
            <v>PC193</v>
          </cell>
          <cell r="H3845" t="str">
            <v>PCV Valve</v>
          </cell>
        </row>
        <row r="3846">
          <cell r="G3846" t="str">
            <v>PC198</v>
          </cell>
          <cell r="H3846" t="str">
            <v>PCV Valve</v>
          </cell>
        </row>
        <row r="3847">
          <cell r="G3847" t="str">
            <v>PC199</v>
          </cell>
          <cell r="H3847" t="str">
            <v>PCV Valve</v>
          </cell>
        </row>
        <row r="3848">
          <cell r="G3848" t="str">
            <v>PC269</v>
          </cell>
          <cell r="H3848" t="str">
            <v>PCV Valve</v>
          </cell>
        </row>
        <row r="3849">
          <cell r="G3849" t="str">
            <v>PC391</v>
          </cell>
          <cell r="H3849" t="str">
            <v>PCV Valve</v>
          </cell>
        </row>
        <row r="3850">
          <cell r="G3850" t="str">
            <v>T154</v>
          </cell>
          <cell r="H3850" t="str">
            <v>Transmission Filter Kit</v>
          </cell>
        </row>
        <row r="3851">
          <cell r="G3851" t="str">
            <v>T474</v>
          </cell>
          <cell r="H3851" t="str">
            <v>Transmission Filter Kit</v>
          </cell>
        </row>
        <row r="3852">
          <cell r="G3852" t="str">
            <v>GASKET</v>
          </cell>
          <cell r="H3852" t="str">
            <v>Cover Gasket, Flat 10 hole/300-S</v>
          </cell>
        </row>
        <row r="3853">
          <cell r="G3853" t="str">
            <v>MACH</v>
          </cell>
          <cell r="H3853" t="str">
            <v>Base Bolts/750-2, 3, 2C &amp; 3C</v>
          </cell>
        </row>
        <row r="3854">
          <cell r="G3854" t="str">
            <v>ZINC</v>
          </cell>
          <cell r="H3854" t="str">
            <v>Hollow Bolt, Outlet/500B, C, 750-B &amp; C, CT</v>
          </cell>
        </row>
        <row r="3855">
          <cell r="G3855" t="str">
            <v>ZINC</v>
          </cell>
          <cell r="H3855" t="str">
            <v>Drain Plug/500-B, C, 750-B &amp; C, CT</v>
          </cell>
        </row>
        <row r="3856">
          <cell r="G3856">
            <v>1143</v>
          </cell>
          <cell r="H3856" t="str">
            <v>Replaces Wix 15661 gasket.</v>
          </cell>
        </row>
        <row r="3857">
          <cell r="G3857">
            <v>1147</v>
          </cell>
          <cell r="H3857" t="str">
            <v>Baldwin 200-GK; set of 11 gaskets for 200 and 300 Series Dahl fuel systems.</v>
          </cell>
        </row>
        <row r="3858">
          <cell r="G3858">
            <v>1150</v>
          </cell>
          <cell r="H3858" t="str">
            <v>Baldwin 65 Gasoline or Diesel Fuel Filter/Water Separator</v>
          </cell>
        </row>
        <row r="3859">
          <cell r="G3859">
            <v>1151</v>
          </cell>
          <cell r="H3859" t="str">
            <v>Baldwin 75 Gasoline or Diesel Fuel Filter/Water Separator</v>
          </cell>
        </row>
        <row r="3860">
          <cell r="G3860">
            <v>1152</v>
          </cell>
          <cell r="H3860" t="str">
            <v>Baldwin G301; O-ring used in LP7485 by-pass lube filter for International trucks.</v>
          </cell>
        </row>
        <row r="3861">
          <cell r="G3861" t="str">
            <v>PACK</v>
          </cell>
          <cell r="H3861" t="str">
            <v>Washer, Pack Take-Up Assembly/F-120, F-155 &amp; F-170</v>
          </cell>
        </row>
        <row r="3862">
          <cell r="G3862" t="str">
            <v>WASHER</v>
          </cell>
          <cell r="H3862" t="str">
            <v>Hold Down Washer, Buna-N/500-B, 750-B, 2, 2C, 3, 3C, F-120, F-135, F-170</v>
          </cell>
        </row>
        <row r="3863">
          <cell r="G3863" t="str">
            <v>PACK</v>
          </cell>
          <cell r="H3863" t="str">
            <v>Hold Down Washer, Steel/500-B, 750-B, 2, 2C, 3, 3C</v>
          </cell>
        </row>
        <row r="3864">
          <cell r="G3864" t="str">
            <v>INLET</v>
          </cell>
          <cell r="H3864" t="str">
            <v>Inlet Valve &amp; Spring/750-2, 2C, 3, 3C</v>
          </cell>
        </row>
        <row r="3865">
          <cell r="G3865" t="str">
            <v>SPRING</v>
          </cell>
          <cell r="H3865" t="str">
            <v>Hole Down Spring/750-2, 2C, 3, 3C, F-120, F-155</v>
          </cell>
        </row>
        <row r="3866">
          <cell r="G3866">
            <v>120</v>
          </cell>
          <cell r="H3866" t="str">
            <v>Luber-finer F-120 diesel fuel filter refining pak</v>
          </cell>
        </row>
        <row r="3867">
          <cell r="G3867" t="str">
            <v>SPRING</v>
          </cell>
          <cell r="H3867" t="str">
            <v>Inlet Valve Spring/500-B, C, 750-B, C</v>
          </cell>
        </row>
        <row r="3868">
          <cell r="G3868" t="str">
            <v>LABEL</v>
          </cell>
          <cell r="H3868" t="str">
            <v>Decal, Medium For All Models Except 750-2C, 3C</v>
          </cell>
        </row>
        <row r="3869">
          <cell r="G3869" t="str">
            <v>LABEL</v>
          </cell>
          <cell r="H3869" t="str">
            <v>Decal, Large/750-2C, 3C</v>
          </cell>
        </row>
        <row r="3870">
          <cell r="G3870" t="str">
            <v>MOUNTING</v>
          </cell>
          <cell r="H3870" t="str">
            <v>Mounting Bracket Kit--Nuts &amp; Bolts/272C, 363C, 500C, 750C</v>
          </cell>
        </row>
        <row r="3871">
          <cell r="G3871">
            <v>1867</v>
          </cell>
          <cell r="H3871" t="str">
            <v>Cover Gasket/78, 135-S, 200-S</v>
          </cell>
        </row>
        <row r="3872">
          <cell r="G3872" t="str">
            <v>O/T</v>
          </cell>
          <cell r="H3872" t="str">
            <v>Outlet Tube &amp; Nut Assembly (Std.)/750-B, C</v>
          </cell>
        </row>
        <row r="3873">
          <cell r="G3873" t="str">
            <v>O/T</v>
          </cell>
          <cell r="H3873" t="str">
            <v>Outlet Tube &amp; Nut Assembly (Std.)/500-B &amp; C</v>
          </cell>
        </row>
        <row r="3874">
          <cell r="G3874" t="str">
            <v>HOLLOW</v>
          </cell>
          <cell r="H3874" t="str">
            <v>Hollow Bolt, Inlet/500-B &amp; C, 750-B &amp; C</v>
          </cell>
        </row>
        <row r="3875">
          <cell r="G3875" t="str">
            <v>STUD</v>
          </cell>
          <cell r="H3875" t="str">
            <v>Hold Down Stud w/o Bleeder for 2258/500C, 750-C</v>
          </cell>
        </row>
        <row r="3876">
          <cell r="G3876">
            <v>2124</v>
          </cell>
          <cell r="H3876" t="str">
            <v>Hold Down Assembly/750-C</v>
          </cell>
        </row>
        <row r="3877">
          <cell r="G3877" t="str">
            <v>750CT</v>
          </cell>
          <cell r="H3877" t="str">
            <v>Standard Upright 750-C Unit w/Imperial  Diesel Filter Pack</v>
          </cell>
        </row>
        <row r="3878">
          <cell r="G3878" t="str">
            <v>SPRING</v>
          </cell>
          <cell r="H3878" t="str">
            <v>Hold Down Spring/500-C, 750-C, CT</v>
          </cell>
        </row>
        <row r="3879">
          <cell r="G3879" t="str">
            <v>UNIT</v>
          </cell>
          <cell r="H3879" t="str">
            <v>750-2C w/Floor Base &amp; 2 Imperial Diesel Packs</v>
          </cell>
        </row>
        <row r="3880">
          <cell r="G3880" t="str">
            <v>PKGD</v>
          </cell>
          <cell r="H3880" t="str">
            <v>750-3C w/Floor Base &amp; 3 Imperial Diesel Packs</v>
          </cell>
        </row>
        <row r="3881">
          <cell r="G3881" t="str">
            <v>WASHER</v>
          </cell>
          <cell r="H3881" t="str">
            <v>Hold Down Washer, Buna-N/500-C, 750-C, CT</v>
          </cell>
        </row>
        <row r="3882">
          <cell r="G3882" t="str">
            <v>WASHER</v>
          </cell>
          <cell r="H3882" t="str">
            <v>Hold Down Washer, Steel/500-C, 750-C, CT</v>
          </cell>
        </row>
        <row r="3883">
          <cell r="G3883" t="str">
            <v>BRKT</v>
          </cell>
          <cell r="H3883" t="str">
            <v>Bracket Brand/500-C, 750-C, 970-C</v>
          </cell>
        </row>
        <row r="3884">
          <cell r="G3884" t="str">
            <v>BRKT</v>
          </cell>
          <cell r="H3884" t="str">
            <v>Bracket Base/500-C, 750-C, 970-C</v>
          </cell>
        </row>
        <row r="3885">
          <cell r="G3885" t="str">
            <v>BKT</v>
          </cell>
          <cell r="H3885" t="str">
            <v>Mounting Bracket Assembly (2 Req.)/500-C, 750-C, CT, 970-C (1Brkt, 1 Band)</v>
          </cell>
        </row>
        <row r="3886">
          <cell r="G3886" t="str">
            <v>HANDLE</v>
          </cell>
          <cell r="H3886" t="str">
            <v>Pack Hold Down Handle/500-C, 750-C, CT, 2C, 3C, 970-C</v>
          </cell>
        </row>
        <row r="3887">
          <cell r="G3887">
            <v>500</v>
          </cell>
          <cell r="H3887" t="str">
            <v>500-C Lower Housing Shell w/Retaining Ring Only</v>
          </cell>
        </row>
        <row r="3888">
          <cell r="G3888" t="str">
            <v>STUD</v>
          </cell>
          <cell r="H3888" t="str">
            <v>Hold Down Assembly w/Bleeder For Lube Oil/500-C, 750-C</v>
          </cell>
        </row>
        <row r="3889">
          <cell r="G3889" t="str">
            <v>BRKT</v>
          </cell>
          <cell r="H3889" t="str">
            <v>Bracket Base/272-C, 300-S, 363-C</v>
          </cell>
        </row>
        <row r="3890">
          <cell r="G3890" t="str">
            <v>BRKT</v>
          </cell>
          <cell r="H3890" t="str">
            <v>Bracket Band/272-C, 300-S, 363-C</v>
          </cell>
        </row>
        <row r="3891">
          <cell r="G3891" t="str">
            <v>272</v>
          </cell>
          <cell r="H3891" t="str">
            <v>Cover w/1 Plug Hole 272C, 363C</v>
          </cell>
        </row>
        <row r="3892">
          <cell r="G3892" t="str">
            <v>HSG.</v>
          </cell>
          <cell r="H3892" t="str">
            <v>Housing w/Retaining Ring Only, 363C</v>
          </cell>
        </row>
        <row r="3893">
          <cell r="G3893" t="str">
            <v>OUTLET</v>
          </cell>
          <cell r="H3893" t="str">
            <v>Outlet Check Valve Assembly/363-C</v>
          </cell>
        </row>
        <row r="3894">
          <cell r="G3894" t="str">
            <v>OUTLET</v>
          </cell>
          <cell r="H3894" t="str">
            <v>Outlet Post/363-C</v>
          </cell>
        </row>
        <row r="3895">
          <cell r="G3895">
            <v>2416</v>
          </cell>
          <cell r="H3895" t="str">
            <v>Drain Cock, 1/4" N.P.T./272-C, 363-C, F-120, 115, 170</v>
          </cell>
        </row>
        <row r="3896">
          <cell r="G3896" t="str">
            <v>PACK</v>
          </cell>
          <cell r="H3896" t="str">
            <v>Pack Support/363-C</v>
          </cell>
        </row>
        <row r="3897">
          <cell r="G3897" t="str">
            <v>INLET</v>
          </cell>
          <cell r="H3897" t="str">
            <v>Inlet Check Valve Assembly/363-C</v>
          </cell>
        </row>
        <row r="3898">
          <cell r="G3898" t="str">
            <v>750-2C</v>
          </cell>
          <cell r="H3898" t="str">
            <v>Housing Assembly w/retaining ring, 750-2C</v>
          </cell>
        </row>
        <row r="3899">
          <cell r="G3899" t="str">
            <v>750-3C</v>
          </cell>
          <cell r="H3899" t="str">
            <v>Housing Assembly w/Retaining Ring, 750-3C</v>
          </cell>
        </row>
        <row r="3900">
          <cell r="G3900" t="str">
            <v>ALIGNMENT</v>
          </cell>
          <cell r="H3900" t="str">
            <v>Alignment Ring, Hold Down Assembly/750-2C, 3C</v>
          </cell>
        </row>
        <row r="3901">
          <cell r="G3901" t="str">
            <v>BRACKET</v>
          </cell>
          <cell r="H3901" t="str">
            <v>Bracket Base Spevial (Double 2206)/500-C, 750-C, CT</v>
          </cell>
        </row>
        <row r="3902">
          <cell r="G3902" t="str">
            <v>OUTLET</v>
          </cell>
          <cell r="H3902" t="str">
            <v>Outlet Tube/750-2C</v>
          </cell>
        </row>
        <row r="3903">
          <cell r="G3903" t="str">
            <v>OUTLET</v>
          </cell>
          <cell r="H3903" t="str">
            <v>Outlet Tube/750-3C</v>
          </cell>
        </row>
        <row r="3904">
          <cell r="G3904" t="str">
            <v>BLK</v>
          </cell>
          <cell r="H3904" t="str">
            <v>750-C, CT Lower Housing Shell, Black/750-C, CT</v>
          </cell>
        </row>
        <row r="3905">
          <cell r="G3905" t="str">
            <v>MTG</v>
          </cell>
          <cell r="H3905" t="str">
            <v>Mounting Brkt. Assembly (2 Req.)/500-C, CT, 970-C (1 Brkt., 1 Band), Black/500-C, 750-C, CT</v>
          </cell>
        </row>
        <row r="3906">
          <cell r="G3906" t="str">
            <v>BRACKET</v>
          </cell>
          <cell r="H3906" t="str">
            <v>Bracket Base/500-C, CT, 750-C, 970-C, Black/500-C, 750-C, CT</v>
          </cell>
        </row>
        <row r="3907">
          <cell r="G3907" t="str">
            <v>BRACKET</v>
          </cell>
          <cell r="H3907" t="str">
            <v>Bracket Band/500-C, 750-C, CT, 970-C, Black/500-C, 750-C, CT</v>
          </cell>
        </row>
        <row r="3908">
          <cell r="G3908" t="str">
            <v>78</v>
          </cell>
          <cell r="H3908" t="str">
            <v>Luber-finer model 78 diesel pak detergent type oil filter</v>
          </cell>
        </row>
        <row r="3909">
          <cell r="G3909" t="str">
            <v>750</v>
          </cell>
          <cell r="H3909" t="str">
            <v>LF750 microcell pak-filtration of clear, synthetic fluids or solvents</v>
          </cell>
        </row>
        <row r="3910">
          <cell r="G3910" t="str">
            <v>500CT</v>
          </cell>
          <cell r="H3910" t="str">
            <v>Standard Upright Refining Unit Filter w/Filter Pack/500-C</v>
          </cell>
        </row>
        <row r="3911">
          <cell r="G3911" t="str">
            <v>750CT</v>
          </cell>
          <cell r="H3911" t="str">
            <v>Standard Upright Refining Unit w/Filter Pack/750-C</v>
          </cell>
        </row>
        <row r="3912">
          <cell r="G3912" t="str">
            <v>COVER</v>
          </cell>
          <cell r="H3912" t="str">
            <v>Cover w/3 Plugs Holes for Horizontal Mount/272-C, 363-C</v>
          </cell>
        </row>
        <row r="3913">
          <cell r="G3913" t="str">
            <v>PKGD</v>
          </cell>
          <cell r="H3913" t="str">
            <v>Standard Upright Microcell Unit w/Filter Pack/750-C, CT</v>
          </cell>
        </row>
        <row r="3914">
          <cell r="G3914" t="str">
            <v>PKGD</v>
          </cell>
          <cell r="H3914" t="str">
            <v>Microcell Unit w/Floor Base &amp; Filter Pack/750-2C</v>
          </cell>
        </row>
        <row r="3915">
          <cell r="G3915" t="str">
            <v>CLAMP</v>
          </cell>
          <cell r="H3915" t="str">
            <v>Clamping Ring Assembly, 2 Piece/272-C, 363-C</v>
          </cell>
        </row>
        <row r="3916">
          <cell r="G3916" t="str">
            <v>PKGD</v>
          </cell>
          <cell r="H3916" t="str">
            <v>Microcell Unit w/Floor Base &amp; Filter Pack/750-3C</v>
          </cell>
        </row>
        <row r="3917">
          <cell r="G3917" t="str">
            <v>PKGD</v>
          </cell>
          <cell r="H3917" t="str">
            <v>Refining Unit w/Floor Base &amp; Filter Pack/750-2</v>
          </cell>
        </row>
        <row r="3918">
          <cell r="G3918" t="str">
            <v>PKGD</v>
          </cell>
          <cell r="H3918" t="str">
            <v>Refining Unit w/Floor Base &amp; Filter Pack/750-3C</v>
          </cell>
        </row>
        <row r="3919">
          <cell r="G3919" t="str">
            <v>1/8</v>
          </cell>
          <cell r="H3919" t="str">
            <v>Vent Plug, Hex Head 1/8" N.P.T./F-120, F-155, F-170</v>
          </cell>
        </row>
        <row r="3920">
          <cell r="G3920">
            <v>3248</v>
          </cell>
          <cell r="H3920" t="str">
            <v>Pack Support Cup/500-C, 750-C (Inverted Units)</v>
          </cell>
        </row>
        <row r="3921">
          <cell r="G3921" t="str">
            <v>750CT</v>
          </cell>
          <cell r="H3921" t="str">
            <v>INVERTED 750C</v>
          </cell>
        </row>
        <row r="3922">
          <cell r="G3922" t="str">
            <v>750</v>
          </cell>
          <cell r="H3922" t="str">
            <v>Outlet Tube &amp; Nut Assembly w/Bleeder/750-C (Inverted Unit)</v>
          </cell>
        </row>
        <row r="3923">
          <cell r="G3923" t="str">
            <v>3257</v>
          </cell>
          <cell r="H3923" t="str">
            <v>Pack Hold Down Assembly/750-C (Inverted Unit)</v>
          </cell>
        </row>
        <row r="3924">
          <cell r="G3924" t="str">
            <v>500CT</v>
          </cell>
          <cell r="H3924" t="str">
            <v>Inverted Diesel Unit w/Imperial Filter Pack/500-C</v>
          </cell>
        </row>
        <row r="3925">
          <cell r="G3925" t="str">
            <v>O/T</v>
          </cell>
          <cell r="H3925" t="str">
            <v>Outlet Tube &amp; Nut Assembly w/Bleeder/500-C (Inverted Units)</v>
          </cell>
        </row>
        <row r="3926">
          <cell r="G3926" t="str">
            <v>750</v>
          </cell>
          <cell r="H3926" t="str">
            <v>LF750 refining pak-synthetic fluid or solvent filtration</v>
          </cell>
        </row>
        <row r="3927">
          <cell r="G3927" t="str">
            <v>200</v>
          </cell>
          <cell r="H3927" t="str">
            <v>Microcell w/Rice Hulls/200S</v>
          </cell>
        </row>
        <row r="3928">
          <cell r="G3928" t="str">
            <v>750CT</v>
          </cell>
          <cell r="H3928" t="str">
            <v>HRZNTAL 750CT</v>
          </cell>
        </row>
        <row r="3929">
          <cell r="G3929" t="str">
            <v>750CT</v>
          </cell>
          <cell r="H3929" t="str">
            <v>750CT Upright Filter Assembly with 2122 Element</v>
          </cell>
        </row>
        <row r="3930">
          <cell r="G3930" t="str">
            <v>500CT</v>
          </cell>
          <cell r="H3930" t="str">
            <v>500T DRN/PLUG</v>
          </cell>
        </row>
        <row r="3931">
          <cell r="G3931" t="str">
            <v>750CT</v>
          </cell>
          <cell r="H3931" t="str">
            <v>750T DEISEL U</v>
          </cell>
        </row>
        <row r="3932">
          <cell r="G3932" t="str">
            <v>500CT</v>
          </cell>
          <cell r="H3932" t="str">
            <v>500CT Filter Assembly upright mount with 2095 Element</v>
          </cell>
        </row>
        <row r="3933">
          <cell r="G3933" t="str">
            <v>750CT</v>
          </cell>
          <cell r="H3933" t="str">
            <v>750CT Upright Filter Assembly with 2122 Element</v>
          </cell>
        </row>
        <row r="3934">
          <cell r="G3934" t="str">
            <v>3392</v>
          </cell>
          <cell r="H3934" t="str">
            <v>Gasket, Flat, Retangular/Replaces Cummins 132484</v>
          </cell>
        </row>
        <row r="3935">
          <cell r="G3935" t="str">
            <v>500CT</v>
          </cell>
          <cell r="H3935" t="str">
            <v>500CT Filter Assembly upright mount with 2095 Element</v>
          </cell>
        </row>
        <row r="3936">
          <cell r="G3936" t="str">
            <v>750CT</v>
          </cell>
          <cell r="H3936" t="str">
            <v>750CT Upright Filter Assembly with 2122 Element</v>
          </cell>
        </row>
        <row r="3937">
          <cell r="G3937">
            <v>3654</v>
          </cell>
          <cell r="H3937" t="str">
            <v>Cover Gasket for 3652 Element Filter</v>
          </cell>
        </row>
        <row r="3938">
          <cell r="G3938" t="str">
            <v>750CT</v>
          </cell>
          <cell r="H3938" t="str">
            <v>750T INVERT U</v>
          </cell>
        </row>
        <row r="3939">
          <cell r="G3939" t="str">
            <v>3692</v>
          </cell>
          <cell r="H3939" t="str">
            <v>Cover Gasket Replaces Cummins 145641, For Cummins 500 &amp; 750 Units</v>
          </cell>
        </row>
        <row r="3940">
          <cell r="G3940" t="str">
            <v>750CT</v>
          </cell>
          <cell r="H3940" t="str">
            <v>750T DIESEL</v>
          </cell>
        </row>
        <row r="3941">
          <cell r="G3941" t="str">
            <v>272</v>
          </cell>
          <cell r="H3941" t="str">
            <v>Microcell Filter Hydropack/272C Filter</v>
          </cell>
        </row>
        <row r="3942">
          <cell r="G3942" t="str">
            <v>HSG</v>
          </cell>
          <cell r="H3942" t="str">
            <v>Housing w/Retaining Ring Only, Black/500-C</v>
          </cell>
        </row>
        <row r="3943">
          <cell r="G3943" t="str">
            <v>3773</v>
          </cell>
          <cell r="H3943" t="str">
            <v>Gasket, Replaces Cummins 128801</v>
          </cell>
        </row>
        <row r="3944">
          <cell r="G3944" t="str">
            <v>3776</v>
          </cell>
          <cell r="H3944" t="str">
            <v>O-Ring, Replaces Cummins 116024</v>
          </cell>
        </row>
        <row r="3945">
          <cell r="G3945" t="str">
            <v>750</v>
          </cell>
          <cell r="H3945" t="str">
            <v xml:space="preserve">Refining Hydropack/750C, CT Filter </v>
          </cell>
        </row>
        <row r="3946">
          <cell r="G3946" t="str">
            <v>3795</v>
          </cell>
          <cell r="H3946" t="str">
            <v>Gasket, Square Section Ring, Replaces Cummins 153528</v>
          </cell>
        </row>
        <row r="3947">
          <cell r="G3947" t="str">
            <v>CENTER</v>
          </cell>
          <cell r="H3947" t="str">
            <v>Center Post/F-170, F-170-2, F-170-W</v>
          </cell>
        </row>
        <row r="3948">
          <cell r="G3948" t="str">
            <v>155/170</v>
          </cell>
          <cell r="H3948" t="str">
            <v>Luber-finer F170 diesel fuel filter refining pak</v>
          </cell>
        </row>
        <row r="3949">
          <cell r="G3949" t="str">
            <v>500</v>
          </cell>
          <cell r="H3949" t="str">
            <v>LF500 Microcell Same applications as 2763</v>
          </cell>
        </row>
        <row r="3950">
          <cell r="G3950" t="str">
            <v>3861</v>
          </cell>
          <cell r="H3950" t="str">
            <v>Gasket, Replaces Cummins 158019</v>
          </cell>
        </row>
        <row r="3951">
          <cell r="G3951" t="str">
            <v>750C</v>
          </cell>
          <cell r="H3951" t="str">
            <v>750C W/OUT PK</v>
          </cell>
        </row>
        <row r="3952">
          <cell r="G3952" t="str">
            <v>3907</v>
          </cell>
          <cell r="H3952" t="str">
            <v>Gasket, Replaces Cummins 169802</v>
          </cell>
        </row>
        <row r="3953">
          <cell r="G3953" t="str">
            <v>3912</v>
          </cell>
          <cell r="H3953" t="str">
            <v>Gasket, Replaces Cummins 110108</v>
          </cell>
        </row>
        <row r="3954">
          <cell r="G3954" t="str">
            <v>3915</v>
          </cell>
          <cell r="H3954" t="str">
            <v>Gasket, Replaces Cummins 163330</v>
          </cell>
        </row>
        <row r="3955">
          <cell r="G3955" t="str">
            <v>750C</v>
          </cell>
          <cell r="H3955" t="str">
            <v>750C DIESEL</v>
          </cell>
        </row>
        <row r="3956">
          <cell r="G3956" t="str">
            <v>750CT</v>
          </cell>
          <cell r="H3956" t="str">
            <v>Complete gray filter unit with with 1 hole lid , 1</v>
          </cell>
        </row>
        <row r="3957">
          <cell r="G3957" t="str">
            <v>750CT</v>
          </cell>
          <cell r="H3957" t="str">
            <v>750T DIESEL</v>
          </cell>
        </row>
        <row r="3958">
          <cell r="G3958" t="str">
            <v>750</v>
          </cell>
          <cell r="H3958" t="str">
            <v>Cover w/3 Plug Holes for Horizontal  Mount, Black/750-C</v>
          </cell>
        </row>
        <row r="3959">
          <cell r="G3959" t="str">
            <v>750CT</v>
          </cell>
          <cell r="H3959" t="str">
            <v>750T DIESEL</v>
          </cell>
        </row>
        <row r="3960">
          <cell r="G3960" t="str">
            <v>HOUSING</v>
          </cell>
          <cell r="H3960" t="str">
            <v>Housing Only/F-170, F-170-2</v>
          </cell>
        </row>
        <row r="3961">
          <cell r="G3961" t="str">
            <v>PTD</v>
          </cell>
          <cell r="H3961" t="str">
            <v>Housing Assembly/F-170, F-170-2</v>
          </cell>
        </row>
        <row r="3962">
          <cell r="G3962" t="str">
            <v>750</v>
          </cell>
          <cell r="H3962" t="str">
            <v>LF750 refining pak filter for H20 base hydraulic fluids</v>
          </cell>
        </row>
        <row r="3963">
          <cell r="G3963" t="str">
            <v>PKGD</v>
          </cell>
          <cell r="H3963" t="str">
            <v>Diesel Unit w/Wall Brackets w/Imperial Pak/750-2C</v>
          </cell>
        </row>
        <row r="3964">
          <cell r="G3964" t="str">
            <v>PKGD</v>
          </cell>
          <cell r="H3964" t="str">
            <v>Diesel Unit w/Wall Brakets w/Imperial Pak/750-3C</v>
          </cell>
        </row>
        <row r="3965">
          <cell r="G3965" t="str">
            <v>750CT</v>
          </cell>
          <cell r="H3965" t="str">
            <v>750T FLTPAK</v>
          </cell>
        </row>
        <row r="3966">
          <cell r="G3966" t="str">
            <v>F170</v>
          </cell>
          <cell r="H3966" t="str">
            <v>Head Casting (Cast Iron) F-170</v>
          </cell>
        </row>
        <row r="3967">
          <cell r="G3967" t="str">
            <v>4041</v>
          </cell>
          <cell r="H3967" t="str">
            <v>Head Gasket, Buna-N/F-170, F170-2, F-170-W</v>
          </cell>
        </row>
        <row r="3968">
          <cell r="G3968" t="str">
            <v>750CT</v>
          </cell>
          <cell r="H3968" t="str">
            <v>750T W/OUT PK</v>
          </cell>
        </row>
        <row r="3969">
          <cell r="G3969" t="str">
            <v>750-C</v>
          </cell>
          <cell r="H3969" t="str">
            <v>750C REFN UNT</v>
          </cell>
        </row>
        <row r="3970">
          <cell r="G3970" t="str">
            <v>4167</v>
          </cell>
          <cell r="H3970" t="str">
            <v>Head Screw Washer, Steel/F-170, F-170-2, F-170-W</v>
          </cell>
        </row>
        <row r="3971">
          <cell r="G3971" t="str">
            <v>4168</v>
          </cell>
          <cell r="H3971" t="str">
            <v>Head Screw/F-170, F-1720-2, F-170-W</v>
          </cell>
        </row>
        <row r="3972">
          <cell r="G3972" t="str">
            <v>PACK</v>
          </cell>
          <cell r="H3972" t="str">
            <v>Spring/F-170, F-170-2, F-170-W</v>
          </cell>
        </row>
        <row r="3973">
          <cell r="G3973" t="str">
            <v>PACK</v>
          </cell>
          <cell r="H3973" t="str">
            <v>Spring Support Wacher, Steel/F-170, F-170-2, F-170-W</v>
          </cell>
        </row>
        <row r="3974">
          <cell r="G3974" t="str">
            <v>4190</v>
          </cell>
          <cell r="H3974" t="str">
            <v>Head Screw Seal, O-Ring/F-170, F-170-2, F-170-W</v>
          </cell>
        </row>
        <row r="3975">
          <cell r="G3975" t="str">
            <v>F170</v>
          </cell>
          <cell r="H3975" t="str">
            <v>Double Head Casting (Cast Iron)/F-170-2</v>
          </cell>
        </row>
        <row r="3976">
          <cell r="G3976">
            <v>970</v>
          </cell>
          <cell r="H3976" t="str">
            <v>Cover/970-C</v>
          </cell>
        </row>
        <row r="3977">
          <cell r="G3977" t="str">
            <v>4277</v>
          </cell>
          <cell r="H3977" t="str">
            <v>Drain Cock/F-170, F-170-W</v>
          </cell>
        </row>
        <row r="3978">
          <cell r="G3978" t="str">
            <v>HOLD</v>
          </cell>
          <cell r="H3978" t="str">
            <v>Hold Down Plate/970-C</v>
          </cell>
        </row>
        <row r="3979">
          <cell r="G3979">
            <v>970</v>
          </cell>
          <cell r="H3979" t="str">
            <v>Lower housing Assembly/970-C</v>
          </cell>
        </row>
        <row r="3980">
          <cell r="G3980" t="str">
            <v>HOLD</v>
          </cell>
          <cell r="H3980" t="str">
            <v>Hold Down Assembly/970-C</v>
          </cell>
        </row>
        <row r="3981">
          <cell r="G3981" t="str">
            <v>970C</v>
          </cell>
          <cell r="H3981" t="str">
            <v>Industrial Full-flow Unit w/LP970-25 Element/970-C Filter</v>
          </cell>
        </row>
        <row r="3982">
          <cell r="G3982" t="str">
            <v>312510-1</v>
          </cell>
          <cell r="H3982" t="str">
            <v>312510-1 TANK</v>
          </cell>
        </row>
        <row r="3983">
          <cell r="G3983" t="str">
            <v>4330</v>
          </cell>
          <cell r="H3983" t="str">
            <v>Oil Return Fitting/Installation Item</v>
          </cell>
        </row>
        <row r="3984">
          <cell r="G3984" t="str">
            <v>750CT</v>
          </cell>
          <cell r="H3984" t="str">
            <v>750T HORZ D U</v>
          </cell>
        </row>
        <row r="3985">
          <cell r="G3985" t="str">
            <v>500CT</v>
          </cell>
          <cell r="H3985" t="str">
            <v>500T DIESEL U</v>
          </cell>
        </row>
        <row r="3986">
          <cell r="G3986" t="str">
            <v>PKGD</v>
          </cell>
          <cell r="H3986" t="str">
            <v>750 GRAY UNIT</v>
          </cell>
        </row>
        <row r="3987">
          <cell r="G3987" t="str">
            <v>500CT</v>
          </cell>
          <cell r="H3987" t="str">
            <v>500CT Filter Assembly upright mount with 2095 Element</v>
          </cell>
        </row>
        <row r="3988">
          <cell r="G3988" t="str">
            <v>750CT</v>
          </cell>
          <cell r="H3988" t="str">
            <v>750T 2122 EL</v>
          </cell>
        </row>
        <row r="3989">
          <cell r="G3989" t="str">
            <v>750CT</v>
          </cell>
          <cell r="H3989" t="str">
            <v>750T GRAY D</v>
          </cell>
        </row>
        <row r="3990">
          <cell r="G3990" t="str">
            <v>PKGD</v>
          </cell>
          <cell r="H3990" t="str">
            <v>PKG UN &amp; PACK</v>
          </cell>
        </row>
        <row r="3991">
          <cell r="G3991" t="str">
            <v>PKGD</v>
          </cell>
          <cell r="H3991" t="str">
            <v>PKG UN &amp; PACK</v>
          </cell>
        </row>
        <row r="3992">
          <cell r="G3992" t="str">
            <v>VENT</v>
          </cell>
          <cell r="H3992" t="str">
            <v>Vent Plug/F-170-W</v>
          </cell>
        </row>
        <row r="3993">
          <cell r="G3993" t="str">
            <v>F170W</v>
          </cell>
          <cell r="H3993" t="str">
            <v>Housing Only/F-170-W</v>
          </cell>
        </row>
        <row r="3994">
          <cell r="G3994">
            <v>4783</v>
          </cell>
          <cell r="H3994" t="str">
            <v>Pack Support Plate/500-C, 750-C</v>
          </cell>
        </row>
        <row r="3995">
          <cell r="G3995" t="str">
            <v>272</v>
          </cell>
          <cell r="H3995" t="str">
            <v>272 RF HYDRO Filter</v>
          </cell>
        </row>
        <row r="3996">
          <cell r="G3996" t="str">
            <v>PKGD</v>
          </cell>
          <cell r="H3996" t="str">
            <v>750C NO CVALV</v>
          </cell>
        </row>
        <row r="3997">
          <cell r="G3997" t="str">
            <v>F170W</v>
          </cell>
          <cell r="H3997" t="str">
            <v>Housing Assembly/F-170-W</v>
          </cell>
        </row>
        <row r="3998">
          <cell r="G3998" t="str">
            <v>DRAIN</v>
          </cell>
          <cell r="H3998" t="str">
            <v>DRAIN PLUG</v>
          </cell>
        </row>
        <row r="3999">
          <cell r="G3999" t="str">
            <v>PKGD</v>
          </cell>
          <cell r="H3999" t="str">
            <v>PKG U PK &amp; BS</v>
          </cell>
        </row>
        <row r="4000">
          <cell r="G4000" t="str">
            <v>750-C</v>
          </cell>
          <cell r="H4000" t="str">
            <v>750C UNIT</v>
          </cell>
        </row>
        <row r="4001">
          <cell r="G4001" t="str">
            <v>2438857-1</v>
          </cell>
          <cell r="H4001" t="str">
            <v>750C REFINING</v>
          </cell>
        </row>
        <row r="4002">
          <cell r="G4002" t="str">
            <v>PKGD</v>
          </cell>
          <cell r="H4002" t="str">
            <v>PKG UNT &amp; PAC</v>
          </cell>
        </row>
        <row r="4003">
          <cell r="G4003" t="str">
            <v>750CT</v>
          </cell>
          <cell r="H4003" t="str">
            <v>750T DIESEL</v>
          </cell>
        </row>
        <row r="4004">
          <cell r="G4004" t="str">
            <v>750-C</v>
          </cell>
          <cell r="H4004" t="str">
            <v>750C W/OUT PK</v>
          </cell>
        </row>
        <row r="4005">
          <cell r="G4005" t="str">
            <v>750CT</v>
          </cell>
          <cell r="H4005" t="str">
            <v>750CT Upright Filter Assembly with 2122 Element</v>
          </cell>
        </row>
        <row r="4006">
          <cell r="G4006" t="str">
            <v>750CT</v>
          </cell>
          <cell r="H4006" t="str">
            <v>750T GRAY UNT</v>
          </cell>
        </row>
        <row r="4007">
          <cell r="G4007" t="str">
            <v>750</v>
          </cell>
          <cell r="H4007" t="str">
            <v>750 IMP DISL</v>
          </cell>
        </row>
        <row r="4008">
          <cell r="G4008" t="str">
            <v>750CT</v>
          </cell>
          <cell r="H4008" t="str">
            <v>Diesel Unit Universal Mount 750-CT</v>
          </cell>
        </row>
        <row r="4009">
          <cell r="G4009" t="str">
            <v>5539</v>
          </cell>
          <cell r="H4009" t="str">
            <v>5539 GASKET</v>
          </cell>
        </row>
        <row r="4010">
          <cell r="G4010" t="str">
            <v>DRILLED</v>
          </cell>
          <cell r="H4010" t="str">
            <v>Stud w/Thermostat/500-CT, 750-CT</v>
          </cell>
        </row>
        <row r="4011">
          <cell r="G4011" t="str">
            <v>5555</v>
          </cell>
          <cell r="H4011" t="str">
            <v>Pack Hold-down Assembly w/Thermostat/500-CT, 750-CT</v>
          </cell>
        </row>
        <row r="4012">
          <cell r="G4012" t="str">
            <v>THERMO</v>
          </cell>
          <cell r="H4012" t="str">
            <v>Pack Hold-down Assembly w/Thermostat/500-CT, 750-CT, (Inverted Units)</v>
          </cell>
        </row>
        <row r="4013">
          <cell r="G4013" t="str">
            <v>PACK</v>
          </cell>
          <cell r="H4013" t="str">
            <v>Pack Support Cup/500-CT, 750-CT (Inverted Units)</v>
          </cell>
        </row>
        <row r="4014">
          <cell r="G4014" t="str">
            <v>O/T</v>
          </cell>
          <cell r="H4014" t="str">
            <v>Outlet Tube and Nut Assembly (Std.)/500-CT</v>
          </cell>
        </row>
        <row r="4015">
          <cell r="G4015" t="str">
            <v>O/T</v>
          </cell>
          <cell r="H4015" t="str">
            <v>Outlet Tube and Nut Assembly (Std.)/750-CT</v>
          </cell>
        </row>
        <row r="4016">
          <cell r="G4016" t="str">
            <v>OUTLT</v>
          </cell>
          <cell r="H4016" t="str">
            <v>Outlet Tube and Nut Assembly w/Bleeder/750-CT (Inverted Units)</v>
          </cell>
        </row>
        <row r="4017">
          <cell r="G4017" t="str">
            <v>O/T</v>
          </cell>
          <cell r="H4017" t="str">
            <v>Outlet Tube and Nut Assembly w/Bleeder/500-CT (Inverted Units)</v>
          </cell>
        </row>
        <row r="4018">
          <cell r="G4018" t="str">
            <v>LABEL/DECAL</v>
          </cell>
          <cell r="H4018" t="str">
            <v>THERMO LABEL</v>
          </cell>
        </row>
        <row r="4019">
          <cell r="G4019" t="str">
            <v>PKGD</v>
          </cell>
          <cell r="H4019" t="str">
            <v>PKG PAC &amp; BSE</v>
          </cell>
        </row>
        <row r="4020">
          <cell r="G4020" t="str">
            <v>750</v>
          </cell>
          <cell r="H4020" t="str">
            <v>750 GRAY UNIT</v>
          </cell>
        </row>
        <row r="4021">
          <cell r="G4021" t="str">
            <v>750CT</v>
          </cell>
          <cell r="H4021" t="str">
            <v>750CT Upright Filter Assembly with 2122 Element</v>
          </cell>
        </row>
        <row r="4022">
          <cell r="G4022" t="str">
            <v>750CT</v>
          </cell>
          <cell r="H4022" t="str">
            <v>750CT Filter assembly with 2122 Element</v>
          </cell>
        </row>
        <row r="4023">
          <cell r="G4023" t="str">
            <v>18864</v>
          </cell>
          <cell r="H4023" t="str">
            <v>Inlet Check-Valve Assembly Complete (Opt.#4 Orifice)/500-C, CT, 750-C, CT</v>
          </cell>
        </row>
        <row r="4024">
          <cell r="G4024">
            <v>18865</v>
          </cell>
          <cell r="H4024" t="str">
            <v>Inlet Check-Valve Assembly Complete (Opt.#5 Orifice)/500-C, CT, 750-C, CT</v>
          </cell>
        </row>
        <row r="4025">
          <cell r="G4025">
            <v>18866</v>
          </cell>
          <cell r="H4025" t="str">
            <v>Inlet Check-Valve Assembly Complete (Opt.#6 Orifice)/500-C, CT, 750-C, CT</v>
          </cell>
        </row>
        <row r="4026">
          <cell r="G4026" t="str">
            <v>18868</v>
          </cell>
          <cell r="H4026" t="str">
            <v>Inlet Check-Valve Assembly Complete (Std.#8 Orifice)/500-C, CT, 750-C, CT</v>
          </cell>
        </row>
        <row r="4027">
          <cell r="G4027" t="str">
            <v>20362</v>
          </cell>
          <cell r="H4027" t="str">
            <v>Boot gasket for LAF5069 &amp; LAF1818.</v>
          </cell>
        </row>
        <row r="4028">
          <cell r="G4028">
            <v>500</v>
          </cell>
          <cell r="H4028" t="str">
            <v>Luber-finer 500 Series, Imperial II (single element filter) detergent type lube oil. (4 pack case) Filter</v>
          </cell>
        </row>
        <row r="4029">
          <cell r="G4029">
            <v>21244</v>
          </cell>
          <cell r="H4029" t="str">
            <v>Hold Down Assembly w/#4 Orifice/500-C</v>
          </cell>
        </row>
        <row r="4030">
          <cell r="G4030">
            <v>21246</v>
          </cell>
          <cell r="H4030" t="str">
            <v>Hold Down Assembly w/#6 Orifice/500-C</v>
          </cell>
        </row>
        <row r="4031">
          <cell r="G4031">
            <v>21594</v>
          </cell>
          <cell r="H4031" t="str">
            <v>Orifice Plug 750C</v>
          </cell>
        </row>
        <row r="4032">
          <cell r="G4032">
            <v>21595</v>
          </cell>
          <cell r="H4032" t="str">
            <v>Orifice Plug 750C</v>
          </cell>
        </row>
        <row r="4033">
          <cell r="G4033">
            <v>21596</v>
          </cell>
          <cell r="H4033" t="str">
            <v>Orifice Plug, .101" Diameter/500-C, 750-C</v>
          </cell>
        </row>
        <row r="4034">
          <cell r="G4034" t="str">
            <v>OUTLET</v>
          </cell>
          <cell r="H4034" t="str">
            <v>OUTLET VALVE ASSY</v>
          </cell>
        </row>
        <row r="4035">
          <cell r="G4035" t="str">
            <v>INLET</v>
          </cell>
          <cell r="H4035" t="str">
            <v>INLET VALVE ASSY</v>
          </cell>
        </row>
        <row r="4036">
          <cell r="G4036" t="str">
            <v>32576</v>
          </cell>
          <cell r="H4036" t="str">
            <v>Pack Hold Down Assembly w/#6 Orifice/500-C (Inverted Units)</v>
          </cell>
        </row>
        <row r="4037">
          <cell r="G4037" t="str">
            <v>200</v>
          </cell>
          <cell r="H4037" t="str">
            <v>Microcell w/Rice Hulls/200S</v>
          </cell>
        </row>
        <row r="4038">
          <cell r="G4038" t="str">
            <v>272</v>
          </cell>
          <cell r="H4038" t="str">
            <v>Microcell Hydropack/272C Filter</v>
          </cell>
        </row>
        <row r="4039">
          <cell r="G4039" t="str">
            <v>500</v>
          </cell>
          <cell r="H4039" t="str">
            <v>LF500 Microcell-Same application as 2764</v>
          </cell>
        </row>
        <row r="4040">
          <cell r="G4040" t="str">
            <v>750CT</v>
          </cell>
          <cell r="H4040" t="str">
            <v>750T GRAY UNT</v>
          </cell>
        </row>
        <row r="4041">
          <cell r="G4041" t="str">
            <v>BAGGED</v>
          </cell>
          <cell r="H4041" t="str">
            <v>No. 5 Orifice Opening size is .078; Flow rate is .8 GPM</v>
          </cell>
        </row>
        <row r="4042">
          <cell r="G4042" t="str">
            <v>BAGGED</v>
          </cell>
          <cell r="H4042" t="str">
            <v>No. 6 Orifice Opening size is .100; Flow rate is 1.5 GPM</v>
          </cell>
        </row>
        <row r="4043">
          <cell r="G4043" t="str">
            <v>BAGGED</v>
          </cell>
          <cell r="H4043" t="str">
            <v>No. 8 Orifice Opening size is .125; Flow rate is 2 GPM</v>
          </cell>
        </row>
        <row r="4044">
          <cell r="G4044">
            <v>130610</v>
          </cell>
          <cell r="H4044" t="str">
            <v>ORIFICE 10/64</v>
          </cell>
        </row>
        <row r="4045">
          <cell r="G4045">
            <v>130612</v>
          </cell>
          <cell r="H4045" t="str">
            <v>ORIFICE 12/64</v>
          </cell>
        </row>
        <row r="4046">
          <cell r="G4046">
            <v>215993</v>
          </cell>
          <cell r="H4046" t="str">
            <v>ORIFICE .093</v>
          </cell>
        </row>
        <row r="4047">
          <cell r="G4047" t="str">
            <v>GASKET</v>
          </cell>
          <cell r="H4047" t="str">
            <v>GASKET 26-13863</v>
          </cell>
        </row>
        <row r="4048">
          <cell r="G4048" t="str">
            <v>GASKET</v>
          </cell>
          <cell r="H4048" t="str">
            <v>GASKET 326-21606</v>
          </cell>
        </row>
        <row r="4049">
          <cell r="G4049">
            <v>500</v>
          </cell>
          <cell r="H4049" t="str">
            <v xml:space="preserve">500 DEHYD REF FILTER PACK     </v>
          </cell>
        </row>
        <row r="4050">
          <cell r="G4050" t="str">
            <v>750-C</v>
          </cell>
          <cell r="H4050" t="str">
            <v>Refining Unit Filter For Fuel and Hydraulic Filtration (Unpainted)</v>
          </cell>
        </row>
        <row r="4051">
          <cell r="G4051" t="str">
            <v>750</v>
          </cell>
          <cell r="H4051" t="str">
            <v>Refining Filter Pack</v>
          </cell>
        </row>
        <row r="4052">
          <cell r="G4052" t="str">
            <v>750</v>
          </cell>
          <cell r="H4052" t="str">
            <v>HYDROPACK 100 Filter</v>
          </cell>
        </row>
        <row r="4053">
          <cell r="G4053" t="str">
            <v>3795B</v>
          </cell>
          <cell r="H4053" t="str">
            <v>Gasket</v>
          </cell>
        </row>
        <row r="4054">
          <cell r="G4054" t="str">
            <v>750CT</v>
          </cell>
          <cell r="H4054" t="str">
            <v>Diesel Unit Universal Mount 750-CT</v>
          </cell>
        </row>
        <row r="4055">
          <cell r="G4055" t="str">
            <v>3967B</v>
          </cell>
          <cell r="H4055" t="str">
            <v>Gasket, Cummins Applied</v>
          </cell>
        </row>
        <row r="4056">
          <cell r="G4056" t="str">
            <v>55-13104</v>
          </cell>
          <cell r="H4056" t="str">
            <v>VLVE/CAP ASSY</v>
          </cell>
        </row>
        <row r="4057">
          <cell r="G4057" t="str">
            <v>55-13106</v>
          </cell>
          <cell r="H4057" t="str">
            <v>VLVE/CAP ASSY</v>
          </cell>
        </row>
        <row r="4058">
          <cell r="G4058" t="str">
            <v>FLOOR</v>
          </cell>
          <cell r="H4058" t="str">
            <v>FLOOR BASE</v>
          </cell>
        </row>
        <row r="4059">
          <cell r="G4059" t="str">
            <v>AF103</v>
          </cell>
          <cell r="H4059" t="str">
            <v>Air Filter</v>
          </cell>
        </row>
        <row r="4060">
          <cell r="G4060" t="str">
            <v>AF1054</v>
          </cell>
          <cell r="H4060" t="str">
            <v>Flexible Panel Air Filter</v>
          </cell>
        </row>
        <row r="4061">
          <cell r="G4061" t="str">
            <v>AF11</v>
          </cell>
          <cell r="H4061" t="str">
            <v>Air Filter</v>
          </cell>
        </row>
        <row r="4062">
          <cell r="G4062" t="str">
            <v>AF13</v>
          </cell>
          <cell r="H4062" t="str">
            <v>Round Air Filter</v>
          </cell>
        </row>
        <row r="4063">
          <cell r="G4063" t="str">
            <v>AF130</v>
          </cell>
          <cell r="H4063" t="str">
            <v>Air Filter</v>
          </cell>
        </row>
        <row r="4064">
          <cell r="G4064" t="str">
            <v>AF131</v>
          </cell>
          <cell r="H4064" t="str">
            <v>Air Filter</v>
          </cell>
        </row>
        <row r="4065">
          <cell r="G4065" t="str">
            <v>AF168</v>
          </cell>
          <cell r="H4065" t="str">
            <v>Air Filter</v>
          </cell>
        </row>
        <row r="4066">
          <cell r="G4066" t="str">
            <v>AF17</v>
          </cell>
          <cell r="H4066" t="str">
            <v>Air Filter</v>
          </cell>
        </row>
        <row r="4067">
          <cell r="G4067" t="str">
            <v>AF1795</v>
          </cell>
          <cell r="H4067" t="str">
            <v>Air Filter</v>
          </cell>
        </row>
        <row r="4068">
          <cell r="G4068" t="str">
            <v>AF1843</v>
          </cell>
          <cell r="H4068" t="str">
            <v>Air Filter</v>
          </cell>
        </row>
        <row r="4069">
          <cell r="G4069" t="str">
            <v>AF185</v>
          </cell>
          <cell r="H4069" t="str">
            <v>Air Filter</v>
          </cell>
        </row>
        <row r="4070">
          <cell r="G4070" t="str">
            <v>AF186</v>
          </cell>
          <cell r="H4070" t="str">
            <v>Round Air Filter</v>
          </cell>
        </row>
        <row r="4071">
          <cell r="G4071" t="str">
            <v>AF205</v>
          </cell>
          <cell r="H4071" t="str">
            <v>Air Filter</v>
          </cell>
        </row>
        <row r="4072">
          <cell r="G4072" t="str">
            <v>AF21</v>
          </cell>
          <cell r="H4072" t="str">
            <v>Foam Pad</v>
          </cell>
        </row>
        <row r="4073">
          <cell r="G4073" t="str">
            <v>AF22039</v>
          </cell>
          <cell r="H4073" t="str">
            <v>Air Filter</v>
          </cell>
        </row>
        <row r="4074">
          <cell r="G4074" t="str">
            <v>AF22082</v>
          </cell>
          <cell r="H4074" t="str">
            <v>Air Filter</v>
          </cell>
        </row>
        <row r="4075">
          <cell r="G4075" t="str">
            <v>AF228</v>
          </cell>
          <cell r="H4075" t="str">
            <v>Air Filter</v>
          </cell>
        </row>
        <row r="4076">
          <cell r="G4076" t="str">
            <v>AF232</v>
          </cell>
          <cell r="H4076" t="str">
            <v>Air Filter</v>
          </cell>
        </row>
        <row r="4077">
          <cell r="G4077" t="str">
            <v>AF24</v>
          </cell>
          <cell r="H4077" t="str">
            <v>Air Filter</v>
          </cell>
        </row>
        <row r="4078">
          <cell r="G4078" t="str">
            <v>AF243</v>
          </cell>
          <cell r="H4078" t="str">
            <v>Round Air Filter</v>
          </cell>
        </row>
        <row r="4079">
          <cell r="G4079" t="str">
            <v>AF260</v>
          </cell>
          <cell r="H4079" t="str">
            <v>Air Filter</v>
          </cell>
        </row>
        <row r="4080">
          <cell r="G4080" t="str">
            <v>AF27</v>
          </cell>
          <cell r="H4080" t="str">
            <v>Air Filter</v>
          </cell>
        </row>
        <row r="4081">
          <cell r="G4081" t="str">
            <v>AF278</v>
          </cell>
          <cell r="H4081" t="str">
            <v>Air Filter</v>
          </cell>
        </row>
        <row r="4082">
          <cell r="G4082" t="str">
            <v>AF28</v>
          </cell>
          <cell r="H4082" t="str">
            <v>Air Filter</v>
          </cell>
        </row>
        <row r="4083">
          <cell r="G4083" t="str">
            <v>AF295</v>
          </cell>
          <cell r="H4083" t="str">
            <v>Air Filter</v>
          </cell>
        </row>
        <row r="4084">
          <cell r="G4084" t="str">
            <v>AF30</v>
          </cell>
          <cell r="H4084" t="str">
            <v>Air Filter</v>
          </cell>
        </row>
        <row r="4085">
          <cell r="G4085" t="str">
            <v>AF311</v>
          </cell>
          <cell r="H4085" t="str">
            <v>Air Filter</v>
          </cell>
        </row>
        <row r="4086">
          <cell r="G4086" t="str">
            <v>AF318</v>
          </cell>
          <cell r="H4086" t="str">
            <v>Air Filter</v>
          </cell>
        </row>
        <row r="4087">
          <cell r="G4087" t="str">
            <v>AF321</v>
          </cell>
          <cell r="H4087" t="str">
            <v>Air Filter</v>
          </cell>
        </row>
        <row r="4088">
          <cell r="G4088" t="str">
            <v>AF354</v>
          </cell>
          <cell r="H4088" t="str">
            <v>Air Filter</v>
          </cell>
        </row>
        <row r="4089">
          <cell r="G4089" t="str">
            <v>AF3629</v>
          </cell>
          <cell r="H4089" t="str">
            <v>Air Filter</v>
          </cell>
        </row>
        <row r="4090">
          <cell r="G4090" t="str">
            <v>AF375</v>
          </cell>
          <cell r="H4090" t="str">
            <v>Air Filter</v>
          </cell>
        </row>
        <row r="4091">
          <cell r="G4091" t="str">
            <v>AF381</v>
          </cell>
          <cell r="H4091" t="str">
            <v>Air Filter</v>
          </cell>
        </row>
        <row r="4092">
          <cell r="G4092" t="str">
            <v>AF387</v>
          </cell>
          <cell r="H4092" t="str">
            <v>Panel Air Filter</v>
          </cell>
        </row>
        <row r="4093">
          <cell r="G4093" t="str">
            <v>AF3888</v>
          </cell>
          <cell r="H4093" t="str">
            <v>Air Filter</v>
          </cell>
        </row>
        <row r="4094">
          <cell r="G4094" t="str">
            <v>AF3900</v>
          </cell>
          <cell r="H4094" t="str">
            <v>Air Filter</v>
          </cell>
        </row>
        <row r="4095">
          <cell r="G4095" t="str">
            <v>AF3926</v>
          </cell>
          <cell r="H4095" t="str">
            <v>Special Configuration Air Filter</v>
          </cell>
        </row>
        <row r="4096">
          <cell r="G4096" t="str">
            <v>AF3932</v>
          </cell>
          <cell r="H4096" t="str">
            <v>Radial Seal Air Filter</v>
          </cell>
        </row>
        <row r="4097">
          <cell r="G4097" t="str">
            <v>AF394</v>
          </cell>
          <cell r="H4097" t="str">
            <v>Air Filter</v>
          </cell>
        </row>
        <row r="4098">
          <cell r="G4098" t="str">
            <v>AF397</v>
          </cell>
          <cell r="H4098" t="str">
            <v>Air Filter</v>
          </cell>
        </row>
        <row r="4099">
          <cell r="G4099" t="str">
            <v>AF3976</v>
          </cell>
          <cell r="H4099" t="str">
            <v>Air Filter</v>
          </cell>
        </row>
        <row r="4100">
          <cell r="G4100" t="str">
            <v>AF399</v>
          </cell>
          <cell r="H4100" t="str">
            <v>Flexible Panel Air Filter</v>
          </cell>
        </row>
        <row r="4101">
          <cell r="G4101" t="str">
            <v>AF408</v>
          </cell>
          <cell r="H4101" t="str">
            <v>Air Filter</v>
          </cell>
        </row>
        <row r="4102">
          <cell r="G4102" t="str">
            <v>AF417</v>
          </cell>
          <cell r="H4102" t="str">
            <v>Air Filter</v>
          </cell>
        </row>
        <row r="4103">
          <cell r="G4103" t="str">
            <v>AF423</v>
          </cell>
          <cell r="H4103" t="str">
            <v>Air Filter</v>
          </cell>
        </row>
        <row r="4104">
          <cell r="G4104" t="str">
            <v>AF4518</v>
          </cell>
          <cell r="H4104" t="str">
            <v>Air Filter</v>
          </cell>
        </row>
        <row r="4105">
          <cell r="G4105" t="str">
            <v>AF4519</v>
          </cell>
          <cell r="H4105" t="str">
            <v>Air Filter</v>
          </cell>
        </row>
        <row r="4106">
          <cell r="G4106" t="str">
            <v>AF460</v>
          </cell>
          <cell r="H4106" t="str">
            <v>Air Filter</v>
          </cell>
        </row>
        <row r="4107">
          <cell r="G4107" t="str">
            <v>AF5039</v>
          </cell>
          <cell r="H4107" t="str">
            <v>Round Panel Air Filter</v>
          </cell>
        </row>
        <row r="4108">
          <cell r="G4108" t="str">
            <v>AF5221</v>
          </cell>
          <cell r="H4108" t="str">
            <v>Air Filter</v>
          </cell>
        </row>
        <row r="4109">
          <cell r="G4109" t="str">
            <v>AF5237</v>
          </cell>
          <cell r="H4109" t="str">
            <v>Air Filter</v>
          </cell>
        </row>
        <row r="4110">
          <cell r="G4110" t="str">
            <v>AF526</v>
          </cell>
          <cell r="H4110" t="str">
            <v>Air Filter</v>
          </cell>
        </row>
        <row r="4111">
          <cell r="G4111" t="str">
            <v>AF5262</v>
          </cell>
          <cell r="H4111" t="str">
            <v>Air Filter</v>
          </cell>
        </row>
        <row r="4112">
          <cell r="G4112" t="str">
            <v>AF5265</v>
          </cell>
          <cell r="H4112" t="str">
            <v>Air Filter</v>
          </cell>
        </row>
        <row r="4113">
          <cell r="G4113" t="str">
            <v>AF532</v>
          </cell>
          <cell r="H4113" t="str">
            <v>Air Filter</v>
          </cell>
        </row>
        <row r="4114">
          <cell r="G4114" t="str">
            <v>AF535</v>
          </cell>
          <cell r="H4114" t="str">
            <v>Flexible Media Air Filter</v>
          </cell>
        </row>
        <row r="4115">
          <cell r="G4115" t="str">
            <v>AF538</v>
          </cell>
          <cell r="H4115" t="str">
            <v>Air Filter</v>
          </cell>
        </row>
        <row r="4116">
          <cell r="G4116" t="str">
            <v>AF539</v>
          </cell>
          <cell r="H4116" t="str">
            <v>Round Air Filter</v>
          </cell>
        </row>
        <row r="4117">
          <cell r="G4117" t="str">
            <v>AF549</v>
          </cell>
          <cell r="H4117" t="str">
            <v>Air Filter</v>
          </cell>
        </row>
        <row r="4118">
          <cell r="G4118" t="str">
            <v>AF550</v>
          </cell>
          <cell r="H4118" t="str">
            <v>Air Filter</v>
          </cell>
        </row>
        <row r="4119">
          <cell r="G4119" t="str">
            <v>AF5585</v>
          </cell>
          <cell r="H4119" t="str">
            <v>Panel Air Filter</v>
          </cell>
        </row>
        <row r="4120">
          <cell r="G4120" t="str">
            <v>AF5703</v>
          </cell>
          <cell r="H4120" t="str">
            <v>Air Filter</v>
          </cell>
        </row>
        <row r="4121">
          <cell r="G4121" t="str">
            <v>AF5790</v>
          </cell>
          <cell r="H4121" t="str">
            <v>Round Air Filter</v>
          </cell>
        </row>
        <row r="4122">
          <cell r="G4122" t="str">
            <v>AF5791</v>
          </cell>
          <cell r="H4122" t="str">
            <v>Air Filter</v>
          </cell>
        </row>
        <row r="4123">
          <cell r="G4123" t="str">
            <v>AF6009</v>
          </cell>
          <cell r="H4123" t="str">
            <v>Air Filter</v>
          </cell>
        </row>
        <row r="4124">
          <cell r="G4124" t="str">
            <v>AF601</v>
          </cell>
          <cell r="H4124" t="str">
            <v>Oval Air Filter</v>
          </cell>
        </row>
        <row r="4125">
          <cell r="G4125" t="str">
            <v>AF608</v>
          </cell>
          <cell r="H4125" t="str">
            <v>Oval Air Filter</v>
          </cell>
        </row>
        <row r="4126">
          <cell r="G4126" t="str">
            <v>AF63</v>
          </cell>
          <cell r="H4126" t="str">
            <v>Air Filter</v>
          </cell>
        </row>
        <row r="4127">
          <cell r="G4127" t="str">
            <v>AF73</v>
          </cell>
          <cell r="H4127" t="str">
            <v>Air Filter</v>
          </cell>
        </row>
        <row r="4128">
          <cell r="G4128" t="str">
            <v>AF7365</v>
          </cell>
          <cell r="H4128" t="str">
            <v>Air Filter</v>
          </cell>
        </row>
        <row r="4129">
          <cell r="G4129" t="str">
            <v>AF7367</v>
          </cell>
          <cell r="H4129" t="str">
            <v>Air Filter</v>
          </cell>
        </row>
        <row r="4130">
          <cell r="G4130" t="str">
            <v>AF7369</v>
          </cell>
          <cell r="H4130" t="str">
            <v>Air Filter</v>
          </cell>
        </row>
        <row r="4131">
          <cell r="G4131" t="str">
            <v>AF7370</v>
          </cell>
          <cell r="H4131" t="str">
            <v>Air Filter</v>
          </cell>
        </row>
        <row r="4132">
          <cell r="G4132" t="str">
            <v>AF7375</v>
          </cell>
          <cell r="H4132" t="str">
            <v>Air Filter</v>
          </cell>
        </row>
        <row r="4133">
          <cell r="G4133" t="str">
            <v>AF7382</v>
          </cell>
          <cell r="H4133" t="str">
            <v>Air Filter</v>
          </cell>
        </row>
        <row r="4134">
          <cell r="G4134" t="str">
            <v>AF7391</v>
          </cell>
          <cell r="H4134" t="str">
            <v>Air Filter</v>
          </cell>
        </row>
        <row r="4135">
          <cell r="G4135" t="str">
            <v>AF756</v>
          </cell>
          <cell r="H4135" t="str">
            <v>Air Filter</v>
          </cell>
        </row>
        <row r="4136">
          <cell r="G4136" t="str">
            <v>AF772</v>
          </cell>
          <cell r="H4136" t="str">
            <v>Air Filter</v>
          </cell>
        </row>
        <row r="4137">
          <cell r="G4137" t="str">
            <v>AF7802</v>
          </cell>
          <cell r="H4137" t="str">
            <v>Air Filter</v>
          </cell>
        </row>
        <row r="4138">
          <cell r="G4138" t="str">
            <v>AF7803</v>
          </cell>
          <cell r="H4138" t="str">
            <v>Air Filter</v>
          </cell>
        </row>
        <row r="4139">
          <cell r="G4139" t="str">
            <v>AF7805</v>
          </cell>
          <cell r="H4139" t="str">
            <v>Air Filter</v>
          </cell>
        </row>
        <row r="4140">
          <cell r="G4140" t="str">
            <v>AF7807</v>
          </cell>
          <cell r="H4140" t="str">
            <v>Air Filter</v>
          </cell>
        </row>
        <row r="4141">
          <cell r="G4141" t="str">
            <v>AF7808</v>
          </cell>
          <cell r="H4141" t="str">
            <v>Foam Pad</v>
          </cell>
        </row>
        <row r="4142">
          <cell r="G4142" t="str">
            <v>AF7809</v>
          </cell>
          <cell r="H4142" t="str">
            <v>Foam Pad</v>
          </cell>
        </row>
        <row r="4143">
          <cell r="G4143" t="str">
            <v>AF7810</v>
          </cell>
          <cell r="H4143" t="str">
            <v>Air Filter</v>
          </cell>
        </row>
        <row r="4144">
          <cell r="G4144" t="str">
            <v>AF7811</v>
          </cell>
          <cell r="H4144" t="str">
            <v>Foam Pad</v>
          </cell>
        </row>
        <row r="4145">
          <cell r="G4145" t="str">
            <v>AF7812</v>
          </cell>
          <cell r="H4145" t="str">
            <v>Foam Pad</v>
          </cell>
        </row>
        <row r="4146">
          <cell r="G4146" t="str">
            <v>AF7814</v>
          </cell>
          <cell r="H4146" t="str">
            <v>Air Filter</v>
          </cell>
        </row>
        <row r="4147">
          <cell r="G4147" t="str">
            <v>AF7815</v>
          </cell>
          <cell r="H4147" t="str">
            <v>Breather Filter</v>
          </cell>
        </row>
        <row r="4148">
          <cell r="G4148" t="str">
            <v>AF7821</v>
          </cell>
          <cell r="H4148" t="str">
            <v>Air Filter</v>
          </cell>
        </row>
        <row r="4149">
          <cell r="G4149" t="str">
            <v>AF7834</v>
          </cell>
          <cell r="H4149" t="str">
            <v>Panel Air Metal Framed Filter</v>
          </cell>
        </row>
        <row r="4150">
          <cell r="G4150" t="str">
            <v>AF7853</v>
          </cell>
          <cell r="H4150" t="str">
            <v>Air Filter</v>
          </cell>
        </row>
        <row r="4151">
          <cell r="G4151" t="str">
            <v>AF7916</v>
          </cell>
          <cell r="H4151" t="str">
            <v>Air Filter</v>
          </cell>
        </row>
        <row r="4152">
          <cell r="G4152" t="str">
            <v>AF7924</v>
          </cell>
          <cell r="H4152" t="str">
            <v>Air Filter</v>
          </cell>
        </row>
        <row r="4153">
          <cell r="G4153" t="str">
            <v>AF7925</v>
          </cell>
          <cell r="H4153" t="str">
            <v>Air Filter</v>
          </cell>
        </row>
        <row r="4154">
          <cell r="G4154" t="str">
            <v>AF7932</v>
          </cell>
          <cell r="H4154" t="str">
            <v>Air Filter</v>
          </cell>
        </row>
        <row r="4155">
          <cell r="G4155" t="str">
            <v>AF7947</v>
          </cell>
          <cell r="H4155" t="str">
            <v>Oval Air Filter</v>
          </cell>
        </row>
        <row r="4156">
          <cell r="G4156" t="str">
            <v>AF7969</v>
          </cell>
          <cell r="H4156" t="str">
            <v>Air Filter</v>
          </cell>
        </row>
        <row r="4157">
          <cell r="G4157" t="str">
            <v>AF80</v>
          </cell>
          <cell r="H4157" t="str">
            <v>Breather Filter</v>
          </cell>
        </row>
        <row r="4158">
          <cell r="G4158" t="str">
            <v>AF8208</v>
          </cell>
          <cell r="H4158" t="str">
            <v>Air Filter</v>
          </cell>
        </row>
        <row r="4159">
          <cell r="G4159" t="str">
            <v>AF8240</v>
          </cell>
          <cell r="H4159" t="str">
            <v>Air Filter</v>
          </cell>
        </row>
        <row r="4160">
          <cell r="G4160" t="str">
            <v>AF83</v>
          </cell>
          <cell r="H4160" t="str">
            <v>Air Filter</v>
          </cell>
        </row>
        <row r="4161">
          <cell r="G4161" t="str">
            <v>AF8331</v>
          </cell>
          <cell r="H4161" t="str">
            <v>Round Air Filter</v>
          </cell>
        </row>
        <row r="4162">
          <cell r="G4162" t="str">
            <v>AF86</v>
          </cell>
          <cell r="H4162" t="str">
            <v>Air Filter</v>
          </cell>
        </row>
        <row r="4163">
          <cell r="G4163" t="str">
            <v>AF861</v>
          </cell>
          <cell r="H4163" t="str">
            <v>Air Filter</v>
          </cell>
        </row>
        <row r="4164">
          <cell r="G4164" t="str">
            <v>AF8900</v>
          </cell>
          <cell r="H4164" t="str">
            <v>Air Filter</v>
          </cell>
        </row>
        <row r="4165">
          <cell r="G4165" t="str">
            <v>AF8903</v>
          </cell>
          <cell r="H4165" t="str">
            <v>Air Filter</v>
          </cell>
        </row>
        <row r="4166">
          <cell r="G4166" t="str">
            <v>AF8906</v>
          </cell>
          <cell r="H4166" t="str">
            <v>Air Filter</v>
          </cell>
        </row>
        <row r="4167">
          <cell r="G4167" t="str">
            <v>AF8913</v>
          </cell>
          <cell r="H4167" t="str">
            <v>Rigid Panel Air Filter</v>
          </cell>
        </row>
        <row r="4168">
          <cell r="G4168" t="str">
            <v>AF8914</v>
          </cell>
          <cell r="H4168" t="str">
            <v>Air Filter</v>
          </cell>
        </row>
        <row r="4169">
          <cell r="G4169" t="str">
            <v>AF8917</v>
          </cell>
          <cell r="H4169" t="str">
            <v>Air Filter</v>
          </cell>
        </row>
        <row r="4170">
          <cell r="G4170" t="str">
            <v>AF8934</v>
          </cell>
          <cell r="H4170" t="str">
            <v>Air Filter</v>
          </cell>
        </row>
        <row r="4171">
          <cell r="G4171" t="str">
            <v>AF8937</v>
          </cell>
          <cell r="H4171" t="str">
            <v>Air Filter</v>
          </cell>
        </row>
        <row r="4172">
          <cell r="G4172" t="str">
            <v>AF8940</v>
          </cell>
          <cell r="H4172" t="str">
            <v>HD Metal-End Air Filter</v>
          </cell>
        </row>
        <row r="4173">
          <cell r="G4173" t="str">
            <v>AF8942</v>
          </cell>
          <cell r="H4173" t="str">
            <v>Air Filter</v>
          </cell>
        </row>
        <row r="4174">
          <cell r="G4174" t="str">
            <v>AF8945</v>
          </cell>
          <cell r="H4174" t="str">
            <v>Air Filter</v>
          </cell>
        </row>
        <row r="4175">
          <cell r="G4175" t="str">
            <v>AF8949</v>
          </cell>
          <cell r="H4175" t="str">
            <v>Air Filter</v>
          </cell>
        </row>
        <row r="4176">
          <cell r="G4176" t="str">
            <v>AF895</v>
          </cell>
          <cell r="H4176" t="str">
            <v>Air Filter</v>
          </cell>
        </row>
        <row r="4177">
          <cell r="G4177" t="str">
            <v>AF91</v>
          </cell>
          <cell r="H4177" t="str">
            <v>Air Filter</v>
          </cell>
        </row>
        <row r="4178">
          <cell r="G4178" t="str">
            <v>AF928</v>
          </cell>
          <cell r="H4178" t="str">
            <v>Air Filter</v>
          </cell>
        </row>
        <row r="4179">
          <cell r="G4179" t="str">
            <v>AF94</v>
          </cell>
          <cell r="H4179" t="str">
            <v>Air Filter</v>
          </cell>
        </row>
        <row r="4180">
          <cell r="G4180" t="str">
            <v>AF95</v>
          </cell>
          <cell r="H4180" t="str">
            <v>Air Filter</v>
          </cell>
        </row>
        <row r="4181">
          <cell r="G4181" t="str">
            <v>AF970</v>
          </cell>
          <cell r="H4181" t="str">
            <v>Air Filter</v>
          </cell>
        </row>
        <row r="4182">
          <cell r="G4182" t="str">
            <v>AFB1068</v>
          </cell>
          <cell r="H4182" t="str">
            <v>Breather Filter</v>
          </cell>
        </row>
        <row r="4183">
          <cell r="G4183" t="str">
            <v>AFB1621</v>
          </cell>
          <cell r="H4183" t="str">
            <v>Breather Filter</v>
          </cell>
        </row>
        <row r="4184">
          <cell r="G4184" t="str">
            <v>AFB7848</v>
          </cell>
          <cell r="H4184" t="str">
            <v>Breather Filter</v>
          </cell>
        </row>
        <row r="4185">
          <cell r="G4185" t="str">
            <v>AFB7852</v>
          </cell>
          <cell r="H4185" t="str">
            <v>Breather Filter</v>
          </cell>
        </row>
        <row r="4186">
          <cell r="G4186" t="str">
            <v>AFB7860</v>
          </cell>
          <cell r="H4186" t="str">
            <v>Breather Filter</v>
          </cell>
        </row>
        <row r="4187">
          <cell r="G4187" t="str">
            <v>AFB7895</v>
          </cell>
          <cell r="H4187" t="str">
            <v>Breather Filter</v>
          </cell>
        </row>
        <row r="4188">
          <cell r="G4188" t="str">
            <v>AFB7896</v>
          </cell>
          <cell r="H4188" t="str">
            <v>Breather Filter</v>
          </cell>
        </row>
        <row r="4189">
          <cell r="G4189" t="str">
            <v>AFB7897</v>
          </cell>
          <cell r="H4189" t="str">
            <v>Breather Filter</v>
          </cell>
        </row>
        <row r="4190">
          <cell r="G4190" t="str">
            <v>AFB7898</v>
          </cell>
          <cell r="H4190" t="str">
            <v>Breather Filter</v>
          </cell>
        </row>
        <row r="4191">
          <cell r="G4191" t="str">
            <v>AFB7899</v>
          </cell>
          <cell r="H4191" t="str">
            <v>Breather Filter</v>
          </cell>
        </row>
        <row r="4192">
          <cell r="G4192" t="str">
            <v>AFB8365</v>
          </cell>
          <cell r="H4192" t="str">
            <v>Breather Filter</v>
          </cell>
        </row>
        <row r="4193">
          <cell r="G4193" t="str">
            <v>AFB8394</v>
          </cell>
          <cell r="H4193" t="str">
            <v>Breather Filter</v>
          </cell>
        </row>
        <row r="4194">
          <cell r="G4194" t="str">
            <v>AFB8423</v>
          </cell>
          <cell r="H4194" t="str">
            <v>Breather Filter</v>
          </cell>
        </row>
        <row r="4195">
          <cell r="G4195" t="str">
            <v>AFB8440</v>
          </cell>
          <cell r="H4195" t="str">
            <v>Breather Filter</v>
          </cell>
        </row>
        <row r="4196">
          <cell r="G4196" t="str">
            <v>AFB8442</v>
          </cell>
          <cell r="H4196" t="str">
            <v>Breather Filter</v>
          </cell>
        </row>
        <row r="4197">
          <cell r="G4197" t="str">
            <v>CAF12001XL</v>
          </cell>
          <cell r="H4197" t="str">
            <v>Cabin Air Filter (Carbon) Extreme Clean</v>
          </cell>
        </row>
        <row r="4198">
          <cell r="G4198" t="str">
            <v>CAF1735</v>
          </cell>
          <cell r="H4198" t="str">
            <v>Cabin Air Filter</v>
          </cell>
        </row>
        <row r="4199">
          <cell r="G4199" t="str">
            <v>CAF1736</v>
          </cell>
          <cell r="H4199" t="str">
            <v>Cabin Air Filter</v>
          </cell>
        </row>
        <row r="4200">
          <cell r="G4200" t="str">
            <v>CAF1742K</v>
          </cell>
          <cell r="H4200" t="str">
            <v>Cabin Air Filter</v>
          </cell>
        </row>
        <row r="4201">
          <cell r="G4201" t="str">
            <v>CAF1768</v>
          </cell>
          <cell r="H4201" t="str">
            <v>Cabin Air Filter</v>
          </cell>
        </row>
        <row r="4202">
          <cell r="G4202" t="str">
            <v>CAF1769</v>
          </cell>
          <cell r="H4202" t="str">
            <v>Cabin Air Filter</v>
          </cell>
        </row>
        <row r="4203">
          <cell r="G4203" t="str">
            <v>CAF1803C</v>
          </cell>
          <cell r="H4203" t="str">
            <v>Cabin Air Filter (Carbon)</v>
          </cell>
        </row>
        <row r="4204">
          <cell r="G4204" t="str">
            <v>CAF1831P</v>
          </cell>
          <cell r="H4204" t="str">
            <v>Cabin Air Filter</v>
          </cell>
        </row>
        <row r="4205">
          <cell r="G4205" t="str">
            <v>CAF1856C</v>
          </cell>
          <cell r="H4205" t="str">
            <v>Cabin Air Filter (Carbon)</v>
          </cell>
        </row>
        <row r="4206">
          <cell r="G4206" t="str">
            <v>CAF1927C</v>
          </cell>
          <cell r="H4206" t="str">
            <v>Cabin Air Filter (Carbon)</v>
          </cell>
        </row>
        <row r="4207">
          <cell r="G4207" t="str">
            <v>CAF1930C</v>
          </cell>
          <cell r="H4207" t="str">
            <v>Cabin Air Filter</v>
          </cell>
        </row>
        <row r="4208">
          <cell r="G4208" t="str">
            <v>CAF1937P</v>
          </cell>
          <cell r="H4208" t="str">
            <v>Cabin Air Filter</v>
          </cell>
        </row>
        <row r="4209">
          <cell r="G4209" t="str">
            <v>CAF7700</v>
          </cell>
          <cell r="H4209" t="str">
            <v>Cabin Air Filter (Carbon)</v>
          </cell>
        </row>
        <row r="4210">
          <cell r="G4210" t="str">
            <v>CAF7701</v>
          </cell>
          <cell r="H4210" t="str">
            <v>Cabin Air Filter (Carbon)</v>
          </cell>
        </row>
        <row r="4211">
          <cell r="G4211" t="str">
            <v>CAF7715</v>
          </cell>
          <cell r="H4211" t="str">
            <v>Cabin Air Filter (Carbon)</v>
          </cell>
        </row>
        <row r="4212">
          <cell r="G4212" t="str">
            <v>CAF7729</v>
          </cell>
          <cell r="H4212" t="str">
            <v>Cabin Air Filter (Carbon)</v>
          </cell>
        </row>
        <row r="4213">
          <cell r="G4213" t="str">
            <v>CAF7741</v>
          </cell>
          <cell r="H4213" t="str">
            <v>Cabin Air Filter (Carbon)</v>
          </cell>
        </row>
        <row r="4214">
          <cell r="G4214" t="str">
            <v>CAF7769</v>
          </cell>
          <cell r="H4214" t="str">
            <v>Cabin Air Filter (Carbon)</v>
          </cell>
        </row>
        <row r="4215">
          <cell r="G4215" t="str">
            <v>DCF9723</v>
          </cell>
          <cell r="H4215" t="str">
            <v>Dust Collection Filter</v>
          </cell>
        </row>
        <row r="4216">
          <cell r="G4216" t="str">
            <v>FP1000F</v>
          </cell>
          <cell r="H4216" t="str">
            <v>Spin-on Fuel Filter</v>
          </cell>
        </row>
        <row r="4217">
          <cell r="G4217" t="str">
            <v>FP886</v>
          </cell>
          <cell r="H4217" t="str">
            <v>In-Line Fuel Filter</v>
          </cell>
        </row>
        <row r="4218">
          <cell r="G4218" t="str">
            <v>FW4C</v>
          </cell>
          <cell r="H4218" t="str">
            <v>End Cap Filter Removal Wrench for 14 flute 2.65" filters.</v>
          </cell>
        </row>
        <row r="4219">
          <cell r="G4219" t="str">
            <v>G22078</v>
          </cell>
          <cell r="H4219" t="str">
            <v>In-Line Fuel Filter</v>
          </cell>
        </row>
        <row r="4220">
          <cell r="G4220" t="str">
            <v>G240</v>
          </cell>
          <cell r="H4220" t="str">
            <v>In-Line Fuel Filter</v>
          </cell>
        </row>
        <row r="4221">
          <cell r="G4221" t="str">
            <v>G241</v>
          </cell>
          <cell r="H4221" t="str">
            <v>In-Line Fuel Filter</v>
          </cell>
        </row>
        <row r="4222">
          <cell r="G4222" t="str">
            <v>G250</v>
          </cell>
          <cell r="H4222" t="str">
            <v>In-Line Fuel Filter</v>
          </cell>
        </row>
        <row r="4223">
          <cell r="G4223" t="str">
            <v>G252</v>
          </cell>
          <cell r="H4223" t="str">
            <v>In-Line Fuel Filter</v>
          </cell>
        </row>
        <row r="4224">
          <cell r="G4224" t="str">
            <v>G2900</v>
          </cell>
          <cell r="H4224" t="str">
            <v>In-Line Fuel Filter</v>
          </cell>
        </row>
        <row r="4225">
          <cell r="G4225" t="str">
            <v>G2903</v>
          </cell>
          <cell r="H4225" t="str">
            <v>In-Line Fuel Filter</v>
          </cell>
        </row>
        <row r="4226">
          <cell r="G4226" t="str">
            <v>G2905</v>
          </cell>
          <cell r="H4226" t="str">
            <v>In-Line Fuel Filter</v>
          </cell>
        </row>
        <row r="4227">
          <cell r="G4227" t="str">
            <v>G2907</v>
          </cell>
          <cell r="H4227" t="str">
            <v>In-Line Fuel Filter</v>
          </cell>
        </row>
        <row r="4228">
          <cell r="G4228" t="str">
            <v>G2910</v>
          </cell>
          <cell r="H4228" t="str">
            <v>In-Line Fuel Filter</v>
          </cell>
        </row>
        <row r="4229">
          <cell r="G4229" t="str">
            <v>G2911</v>
          </cell>
          <cell r="H4229" t="str">
            <v>In-Line Fuel Filter</v>
          </cell>
        </row>
        <row r="4230">
          <cell r="G4230" t="str">
            <v>G2912</v>
          </cell>
          <cell r="H4230" t="str">
            <v>In-Line Fuel Filter</v>
          </cell>
        </row>
        <row r="4231">
          <cell r="G4231" t="str">
            <v>G2913</v>
          </cell>
          <cell r="H4231" t="str">
            <v>In-Line Fuel Filter</v>
          </cell>
        </row>
        <row r="4232">
          <cell r="G4232" t="str">
            <v>G2914</v>
          </cell>
          <cell r="H4232" t="str">
            <v>In-Line Fuel Filter</v>
          </cell>
        </row>
        <row r="4233">
          <cell r="G4233" t="str">
            <v>G2915</v>
          </cell>
          <cell r="H4233" t="str">
            <v>In-Line Fuel Filter</v>
          </cell>
        </row>
        <row r="4234">
          <cell r="G4234" t="str">
            <v>G2916</v>
          </cell>
          <cell r="H4234" t="str">
            <v>In-Line Fuel Filter</v>
          </cell>
        </row>
        <row r="4235">
          <cell r="G4235" t="str">
            <v>G2918</v>
          </cell>
          <cell r="H4235" t="str">
            <v>In-Line Fuel Filter</v>
          </cell>
        </row>
        <row r="4236">
          <cell r="G4236" t="str">
            <v>G2919</v>
          </cell>
          <cell r="H4236" t="str">
            <v>In-Line Fuel Filter</v>
          </cell>
        </row>
        <row r="4237">
          <cell r="G4237" t="str">
            <v>G2921</v>
          </cell>
          <cell r="H4237" t="str">
            <v>In-Line Fuel Filter</v>
          </cell>
        </row>
        <row r="4238">
          <cell r="G4238" t="str">
            <v>G2928</v>
          </cell>
          <cell r="H4238" t="str">
            <v>In-Line Fuel Filter</v>
          </cell>
        </row>
        <row r="4239">
          <cell r="G4239" t="str">
            <v>G2933</v>
          </cell>
          <cell r="H4239" t="str">
            <v>In-Line Fuel Filter</v>
          </cell>
        </row>
        <row r="4240">
          <cell r="G4240" t="str">
            <v>G2934</v>
          </cell>
          <cell r="H4240" t="str">
            <v>In-Line Fuel Filter</v>
          </cell>
        </row>
        <row r="4241">
          <cell r="G4241" t="str">
            <v>G2935</v>
          </cell>
          <cell r="H4241" t="str">
            <v>In-Line Fuel Filter</v>
          </cell>
        </row>
        <row r="4242">
          <cell r="G4242" t="str">
            <v>G2939</v>
          </cell>
          <cell r="H4242" t="str">
            <v>In-Line Fuel Filter</v>
          </cell>
        </row>
        <row r="4243">
          <cell r="G4243" t="str">
            <v>G2940</v>
          </cell>
          <cell r="H4243" t="str">
            <v>In-Line Fuel Filter</v>
          </cell>
        </row>
        <row r="4244">
          <cell r="G4244" t="str">
            <v>G2943</v>
          </cell>
          <cell r="H4244" t="str">
            <v>In-Line Fuel Filter</v>
          </cell>
        </row>
        <row r="4245">
          <cell r="G4245" t="str">
            <v>G2945</v>
          </cell>
          <cell r="H4245" t="str">
            <v>In-Line Fuel Filter</v>
          </cell>
        </row>
        <row r="4246">
          <cell r="G4246" t="str">
            <v>G2950</v>
          </cell>
          <cell r="H4246" t="str">
            <v>In-Line Fuel Filter</v>
          </cell>
        </row>
        <row r="4247">
          <cell r="G4247" t="str">
            <v>G2953</v>
          </cell>
          <cell r="H4247" t="str">
            <v>In-Line Fuel Filter</v>
          </cell>
        </row>
        <row r="4248">
          <cell r="G4248" t="str">
            <v>G2955</v>
          </cell>
          <cell r="H4248" t="str">
            <v>In-Line Fuel Filter</v>
          </cell>
        </row>
        <row r="4249">
          <cell r="G4249" t="str">
            <v>G2958</v>
          </cell>
          <cell r="H4249" t="str">
            <v>In-Line Fuel Filter</v>
          </cell>
        </row>
        <row r="4250">
          <cell r="G4250" t="str">
            <v>G2959</v>
          </cell>
          <cell r="H4250" t="str">
            <v>In-Line Fuel Filter</v>
          </cell>
        </row>
        <row r="4251">
          <cell r="G4251" t="str">
            <v>G2960</v>
          </cell>
          <cell r="H4251" t="str">
            <v>In-Line Fuel Filter</v>
          </cell>
        </row>
        <row r="4252">
          <cell r="G4252" t="str">
            <v>G2961</v>
          </cell>
          <cell r="H4252" t="str">
            <v>In-Line Fuel Filter</v>
          </cell>
        </row>
        <row r="4253">
          <cell r="G4253" t="str">
            <v>G2962</v>
          </cell>
          <cell r="H4253" t="str">
            <v>In-Line Fuel Filter</v>
          </cell>
        </row>
        <row r="4254">
          <cell r="G4254" t="str">
            <v>G2963</v>
          </cell>
          <cell r="H4254" t="str">
            <v>In-Line Fuel Filter</v>
          </cell>
        </row>
        <row r="4255">
          <cell r="G4255" t="str">
            <v>G2966</v>
          </cell>
          <cell r="H4255" t="str">
            <v>In-Line Fuel Filter</v>
          </cell>
        </row>
        <row r="4256">
          <cell r="G4256" t="str">
            <v>G2967</v>
          </cell>
          <cell r="H4256" t="str">
            <v>In-Line Fuel Filter</v>
          </cell>
        </row>
        <row r="4257">
          <cell r="G4257" t="str">
            <v>G2968</v>
          </cell>
          <cell r="H4257" t="str">
            <v>In-Line Fuel Filter</v>
          </cell>
        </row>
        <row r="4258">
          <cell r="G4258" t="str">
            <v>G2972</v>
          </cell>
          <cell r="H4258" t="str">
            <v>In-Line Fuel Filter</v>
          </cell>
        </row>
        <row r="4259">
          <cell r="G4259" t="str">
            <v>G2974</v>
          </cell>
          <cell r="H4259" t="str">
            <v>In-Line Fuel Filter</v>
          </cell>
        </row>
        <row r="4260">
          <cell r="G4260" t="str">
            <v>G2980</v>
          </cell>
          <cell r="H4260" t="str">
            <v>In-Line Fuel Filter</v>
          </cell>
        </row>
        <row r="4261">
          <cell r="G4261" t="str">
            <v>G2982</v>
          </cell>
          <cell r="H4261" t="str">
            <v>In-Line Fuel Filter</v>
          </cell>
        </row>
        <row r="4262">
          <cell r="G4262" t="str">
            <v>G2983</v>
          </cell>
          <cell r="H4262" t="str">
            <v>In-Line Fuel Filter</v>
          </cell>
        </row>
        <row r="4263">
          <cell r="G4263" t="str">
            <v>G2990</v>
          </cell>
          <cell r="H4263" t="str">
            <v>In-Line Fuel Filter</v>
          </cell>
        </row>
        <row r="4264">
          <cell r="G4264" t="str">
            <v>G2991</v>
          </cell>
          <cell r="H4264" t="str">
            <v>In-Line Fuel Filter</v>
          </cell>
        </row>
        <row r="4265">
          <cell r="G4265" t="str">
            <v>G307</v>
          </cell>
          <cell r="H4265" t="str">
            <v>In-Line Fuel Filter</v>
          </cell>
        </row>
        <row r="4266">
          <cell r="G4266" t="str">
            <v>G310</v>
          </cell>
          <cell r="H4266" t="str">
            <v>In-Line Fuel Filter</v>
          </cell>
        </row>
        <row r="4267">
          <cell r="G4267" t="str">
            <v>G343</v>
          </cell>
          <cell r="H4267" t="str">
            <v>In-Line Fuel Filter</v>
          </cell>
        </row>
        <row r="4268">
          <cell r="G4268" t="str">
            <v>G344</v>
          </cell>
          <cell r="H4268" t="str">
            <v>In-Line Fuel Filter</v>
          </cell>
        </row>
        <row r="4269">
          <cell r="G4269" t="str">
            <v>G477</v>
          </cell>
          <cell r="H4269" t="str">
            <v>In-Line Fuel Filter</v>
          </cell>
        </row>
        <row r="4270">
          <cell r="G4270" t="str">
            <v>G479</v>
          </cell>
          <cell r="H4270" t="str">
            <v>In-Line Fuel Filter</v>
          </cell>
        </row>
        <row r="4271">
          <cell r="G4271" t="str">
            <v>G482</v>
          </cell>
          <cell r="H4271" t="str">
            <v>In-Line Fuel Filter</v>
          </cell>
        </row>
        <row r="4272">
          <cell r="G4272" t="str">
            <v>G491</v>
          </cell>
          <cell r="H4272" t="str">
            <v>In-Line Fuel Filter</v>
          </cell>
        </row>
        <row r="4273">
          <cell r="G4273" t="str">
            <v>G492</v>
          </cell>
          <cell r="H4273" t="str">
            <v>In-Line Fuel Filter</v>
          </cell>
        </row>
        <row r="4274">
          <cell r="G4274" t="str">
            <v>G501</v>
          </cell>
          <cell r="H4274" t="str">
            <v>In-Line Fuel Filter</v>
          </cell>
        </row>
        <row r="4275">
          <cell r="G4275" t="str">
            <v>G502</v>
          </cell>
          <cell r="H4275" t="str">
            <v>In-Line Fuel Filter</v>
          </cell>
        </row>
        <row r="4276">
          <cell r="G4276" t="str">
            <v>G507</v>
          </cell>
          <cell r="H4276" t="str">
            <v>In-Line Fuel Filter</v>
          </cell>
        </row>
        <row r="4277">
          <cell r="G4277" t="str">
            <v>G508</v>
          </cell>
          <cell r="H4277" t="str">
            <v>In-Line Fuel Filter</v>
          </cell>
        </row>
        <row r="4278">
          <cell r="G4278" t="str">
            <v>G511</v>
          </cell>
          <cell r="H4278" t="str">
            <v>In-Line Fuel Filter</v>
          </cell>
        </row>
        <row r="4279">
          <cell r="G4279" t="str">
            <v>G513</v>
          </cell>
          <cell r="H4279" t="str">
            <v>In-Line Fuel Filter</v>
          </cell>
        </row>
        <row r="4280">
          <cell r="G4280" t="str">
            <v>G515</v>
          </cell>
          <cell r="H4280" t="str">
            <v>In-Line Fuel Filter</v>
          </cell>
        </row>
        <row r="4281">
          <cell r="G4281" t="str">
            <v>G6302</v>
          </cell>
          <cell r="H4281" t="str">
            <v>In-Line Fuel Filter</v>
          </cell>
        </row>
        <row r="4282">
          <cell r="G4282" t="str">
            <v>G6310</v>
          </cell>
          <cell r="H4282" t="str">
            <v>In-Line Fuel Filter</v>
          </cell>
        </row>
        <row r="4283">
          <cell r="G4283" t="str">
            <v>G6311</v>
          </cell>
          <cell r="H4283" t="str">
            <v>In-Line Fuel Filter</v>
          </cell>
        </row>
        <row r="4284">
          <cell r="G4284" t="str">
            <v>G6317</v>
          </cell>
          <cell r="H4284" t="str">
            <v>In-Line Fuel Filter</v>
          </cell>
        </row>
        <row r="4285">
          <cell r="G4285" t="str">
            <v>G6319</v>
          </cell>
          <cell r="H4285" t="str">
            <v>In-Line Fuel Filter</v>
          </cell>
        </row>
        <row r="4286">
          <cell r="G4286" t="str">
            <v>G6320</v>
          </cell>
          <cell r="H4286" t="str">
            <v>In-Line Fuel Filter</v>
          </cell>
        </row>
        <row r="4287">
          <cell r="G4287" t="str">
            <v>G6326</v>
          </cell>
          <cell r="H4287" t="str">
            <v>In-Line Fuel Filter</v>
          </cell>
        </row>
        <row r="4288">
          <cell r="G4288" t="str">
            <v>G6327</v>
          </cell>
          <cell r="H4288" t="str">
            <v>In-Line Fuel Filter</v>
          </cell>
        </row>
        <row r="4289">
          <cell r="G4289" t="str">
            <v>G6330</v>
          </cell>
          <cell r="H4289" t="str">
            <v>In-Line Fuel Filter</v>
          </cell>
        </row>
        <row r="4290">
          <cell r="G4290" t="str">
            <v>G6339</v>
          </cell>
          <cell r="H4290" t="str">
            <v>In-Line Fuel Filter</v>
          </cell>
        </row>
        <row r="4291">
          <cell r="G4291" t="str">
            <v>G6345</v>
          </cell>
          <cell r="H4291" t="str">
            <v>In-Line Fuel Filter</v>
          </cell>
        </row>
        <row r="4292">
          <cell r="G4292" t="str">
            <v>G6352</v>
          </cell>
          <cell r="H4292" t="str">
            <v>In-Line Fuel Filter</v>
          </cell>
        </row>
        <row r="4293">
          <cell r="G4293" t="str">
            <v>G6355</v>
          </cell>
          <cell r="H4293" t="str">
            <v>In-Line Fuel Filter</v>
          </cell>
        </row>
        <row r="4294">
          <cell r="G4294" t="str">
            <v>G6356</v>
          </cell>
          <cell r="H4294" t="str">
            <v>In-Line Fuel Filter</v>
          </cell>
        </row>
        <row r="4295">
          <cell r="G4295" t="str">
            <v>G6358</v>
          </cell>
          <cell r="H4295" t="str">
            <v>In-Line Fuel Filter</v>
          </cell>
        </row>
        <row r="4296">
          <cell r="G4296" t="str">
            <v>G6360</v>
          </cell>
          <cell r="H4296" t="str">
            <v>In-Line Fuel Filter</v>
          </cell>
        </row>
        <row r="4297">
          <cell r="G4297" t="str">
            <v>G6363</v>
          </cell>
          <cell r="H4297" t="str">
            <v>In-Line Fuel Filter</v>
          </cell>
        </row>
        <row r="4298">
          <cell r="G4298" t="str">
            <v>G6364</v>
          </cell>
          <cell r="H4298" t="str">
            <v>In-Line Fuel Filter</v>
          </cell>
        </row>
        <row r="4299">
          <cell r="G4299" t="str">
            <v>G6366</v>
          </cell>
          <cell r="H4299" t="str">
            <v>In-Line Fuel Filter</v>
          </cell>
        </row>
        <row r="4300">
          <cell r="G4300" t="str">
            <v>G6370</v>
          </cell>
          <cell r="H4300" t="str">
            <v>In-Line Fuel Filter</v>
          </cell>
        </row>
        <row r="4301">
          <cell r="G4301" t="str">
            <v>G6375</v>
          </cell>
          <cell r="H4301" t="str">
            <v>In-Line Fuel Filter</v>
          </cell>
        </row>
        <row r="4302">
          <cell r="G4302" t="str">
            <v>G6377</v>
          </cell>
          <cell r="H4302" t="str">
            <v>In-Line Fuel Filter</v>
          </cell>
        </row>
        <row r="4303">
          <cell r="G4303" t="str">
            <v>G6379</v>
          </cell>
          <cell r="H4303" t="str">
            <v>In-Line Fuel Filter</v>
          </cell>
        </row>
        <row r="4304">
          <cell r="G4304" t="str">
            <v>G6382</v>
          </cell>
          <cell r="H4304" t="str">
            <v>In-Line Fuel Filter</v>
          </cell>
        </row>
        <row r="4305">
          <cell r="G4305" t="str">
            <v>G6385</v>
          </cell>
          <cell r="H4305" t="str">
            <v>In-Line Fuel Filter</v>
          </cell>
        </row>
        <row r="4306">
          <cell r="G4306" t="str">
            <v>G6396</v>
          </cell>
          <cell r="H4306" t="str">
            <v>In-Line Fuel Filter</v>
          </cell>
        </row>
        <row r="4307">
          <cell r="G4307" t="str">
            <v>G6400</v>
          </cell>
          <cell r="H4307" t="str">
            <v>In-Line Fuel Filter</v>
          </cell>
        </row>
        <row r="4308">
          <cell r="G4308" t="str">
            <v>G6535</v>
          </cell>
          <cell r="H4308" t="str">
            <v>In-Line Fuel Filter</v>
          </cell>
        </row>
        <row r="4309">
          <cell r="G4309" t="str">
            <v>G6536</v>
          </cell>
          <cell r="H4309" t="str">
            <v>In-Line Fuel Filter</v>
          </cell>
        </row>
        <row r="4310">
          <cell r="G4310" t="str">
            <v>G6540</v>
          </cell>
          <cell r="H4310" t="str">
            <v>In-Line Fuel Filter</v>
          </cell>
        </row>
        <row r="4311">
          <cell r="G4311" t="str">
            <v>G6542</v>
          </cell>
          <cell r="H4311" t="str">
            <v>In-Line Fuel Filter</v>
          </cell>
        </row>
        <row r="4312">
          <cell r="G4312" t="str">
            <v>G6552</v>
          </cell>
          <cell r="H4312" t="str">
            <v>In-Line Fuel Filter</v>
          </cell>
        </row>
        <row r="4313">
          <cell r="G4313" t="str">
            <v>G6584</v>
          </cell>
          <cell r="H4313" t="str">
            <v>In-Line Fuel Filter</v>
          </cell>
        </row>
        <row r="4314">
          <cell r="G4314" t="str">
            <v>G6588</v>
          </cell>
          <cell r="H4314" t="str">
            <v>In-Line Fuel Filter</v>
          </cell>
        </row>
        <row r="4315">
          <cell r="G4315" t="str">
            <v>G6629</v>
          </cell>
          <cell r="H4315" t="str">
            <v>In-Line Fuel Filter</v>
          </cell>
        </row>
        <row r="4316">
          <cell r="G4316" t="str">
            <v>G6631</v>
          </cell>
          <cell r="H4316" t="str">
            <v>In-Line Fuel Filter</v>
          </cell>
        </row>
        <row r="4317">
          <cell r="G4317" t="str">
            <v>G720</v>
          </cell>
          <cell r="H4317" t="str">
            <v>In-Line Fuel Filter</v>
          </cell>
        </row>
        <row r="4318">
          <cell r="G4318" t="str">
            <v>G751</v>
          </cell>
          <cell r="H4318" t="str">
            <v>In-Line Fuel Filter</v>
          </cell>
        </row>
        <row r="4319">
          <cell r="G4319" t="str">
            <v>G752</v>
          </cell>
          <cell r="H4319" t="str">
            <v>In-Line Fuel Filter</v>
          </cell>
        </row>
        <row r="4320">
          <cell r="G4320" t="str">
            <v>G8330</v>
          </cell>
          <cell r="H4320" t="str">
            <v>In-Line Fuel Filter</v>
          </cell>
        </row>
        <row r="4321">
          <cell r="G4321" t="str">
            <v>G8836</v>
          </cell>
          <cell r="H4321" t="str">
            <v>In-Line Fuel Filter</v>
          </cell>
        </row>
        <row r="4322">
          <cell r="G4322" t="str">
            <v>G939</v>
          </cell>
          <cell r="H4322" t="str">
            <v>In-Line Fuel Filter</v>
          </cell>
        </row>
        <row r="4323">
          <cell r="G4323" t="str">
            <v>G977</v>
          </cell>
          <cell r="H4323" t="str">
            <v>In-Line Fuel Filter</v>
          </cell>
        </row>
        <row r="4324">
          <cell r="G4324" t="str">
            <v>L1020F</v>
          </cell>
          <cell r="H4324" t="str">
            <v>Cartridge Fuel Filter</v>
          </cell>
        </row>
        <row r="4325">
          <cell r="G4325" t="str">
            <v>L14F</v>
          </cell>
          <cell r="H4325" t="str">
            <v>Cartridge Fuel Filter</v>
          </cell>
        </row>
        <row r="4326">
          <cell r="G4326" t="str">
            <v>L22000F</v>
          </cell>
          <cell r="H4326" t="str">
            <v>Cartridge Fuel Filter</v>
          </cell>
        </row>
        <row r="4327">
          <cell r="G4327" t="str">
            <v>L26</v>
          </cell>
          <cell r="H4327" t="str">
            <v>Sock Type Oil Filter</v>
          </cell>
        </row>
        <row r="4328">
          <cell r="G4328" t="str">
            <v>L3401F</v>
          </cell>
          <cell r="H4328" t="str">
            <v>Cartridge Fuel Filter</v>
          </cell>
        </row>
        <row r="4329">
          <cell r="G4329" t="str">
            <v>L3405F</v>
          </cell>
          <cell r="H4329" t="str">
            <v>Cartridge Fuel Filter</v>
          </cell>
        </row>
        <row r="4330">
          <cell r="G4330" t="str">
            <v>L3418F</v>
          </cell>
          <cell r="H4330" t="str">
            <v>Cartridge Fuel Filter</v>
          </cell>
        </row>
        <row r="4331">
          <cell r="G4331" t="str">
            <v>L3516F</v>
          </cell>
          <cell r="H4331" t="str">
            <v>Cartridge Fuel Filter</v>
          </cell>
        </row>
        <row r="4332">
          <cell r="G4332" t="str">
            <v>L3562F</v>
          </cell>
          <cell r="H4332" t="str">
            <v>Cartridge Fuel Filter</v>
          </cell>
        </row>
        <row r="4333">
          <cell r="G4333" t="str">
            <v>L3568F</v>
          </cell>
          <cell r="H4333" t="str">
            <v>Cartridge Fuel Filter</v>
          </cell>
        </row>
        <row r="4334">
          <cell r="G4334" t="str">
            <v>L3569F</v>
          </cell>
          <cell r="H4334" t="str">
            <v>Cartridge Fuel Filter</v>
          </cell>
        </row>
        <row r="4335">
          <cell r="G4335" t="str">
            <v>L3577F</v>
          </cell>
          <cell r="H4335" t="str">
            <v>Cartridge Fuel Filter</v>
          </cell>
        </row>
        <row r="4336">
          <cell r="G4336" t="str">
            <v>L3920F</v>
          </cell>
          <cell r="H4336" t="str">
            <v>Snap-Lock Fuel Filter</v>
          </cell>
        </row>
        <row r="4337">
          <cell r="G4337" t="str">
            <v>L3922F</v>
          </cell>
          <cell r="H4337" t="str">
            <v>Snap-Lock Fuel Filter</v>
          </cell>
        </row>
        <row r="4338">
          <cell r="G4338" t="str">
            <v>L3923F</v>
          </cell>
          <cell r="H4338" t="str">
            <v>Snap-Lock Fuel Filter</v>
          </cell>
        </row>
        <row r="4339">
          <cell r="G4339" t="str">
            <v>L5949F</v>
          </cell>
          <cell r="H4339" t="str">
            <v>Cartridge Fuel Filter</v>
          </cell>
        </row>
        <row r="4340">
          <cell r="G4340" t="str">
            <v>L7767F</v>
          </cell>
          <cell r="H4340" t="str">
            <v>Cartridge Fuel Filter</v>
          </cell>
        </row>
        <row r="4341">
          <cell r="G4341" t="str">
            <v>L8109F</v>
          </cell>
          <cell r="H4341" t="str">
            <v>Cartridge Fuel Filter</v>
          </cell>
        </row>
        <row r="4342">
          <cell r="G4342" t="str">
            <v>L8305F</v>
          </cell>
          <cell r="H4342" t="str">
            <v>Cartridge Fuel Filter</v>
          </cell>
        </row>
        <row r="4343">
          <cell r="G4343" t="str">
            <v>L8702F</v>
          </cell>
          <cell r="H4343" t="str">
            <v>Cartridge Fuel Filter</v>
          </cell>
        </row>
        <row r="4344">
          <cell r="G4344" t="str">
            <v>L8716F</v>
          </cell>
          <cell r="H4344" t="str">
            <v>Snap-Lock Fuel Filter</v>
          </cell>
        </row>
        <row r="4345">
          <cell r="G4345" t="str">
            <v>L877F</v>
          </cell>
          <cell r="H4345" t="str">
            <v>Cartridge Fuel Filter</v>
          </cell>
        </row>
        <row r="4346">
          <cell r="G4346" t="str">
            <v>LAF1075</v>
          </cell>
          <cell r="H4346" t="str">
            <v>HD Metal-End Air Filter</v>
          </cell>
        </row>
        <row r="4347">
          <cell r="G4347" t="str">
            <v>LAF130</v>
          </cell>
          <cell r="H4347" t="str">
            <v>Rigid Panel Air Filter</v>
          </cell>
        </row>
        <row r="4348">
          <cell r="G4348" t="str">
            <v>LAF1351</v>
          </cell>
          <cell r="H4348" t="str">
            <v>Panel Air Filter Metal Framed</v>
          </cell>
        </row>
        <row r="4349">
          <cell r="G4349" t="str">
            <v>LAF1463</v>
          </cell>
          <cell r="H4349" t="str">
            <v>Round Air Filter</v>
          </cell>
        </row>
        <row r="4350">
          <cell r="G4350" t="str">
            <v>LAF1465MXM</v>
          </cell>
          <cell r="H4350" t="str">
            <v>Nano Tech HD Metal End Air Filter</v>
          </cell>
        </row>
        <row r="4351">
          <cell r="G4351" t="str">
            <v>LAF16</v>
          </cell>
          <cell r="H4351" t="str">
            <v>Round Air Filter</v>
          </cell>
        </row>
        <row r="4352">
          <cell r="G4352" t="str">
            <v>LAF1671</v>
          </cell>
          <cell r="H4352" t="str">
            <v>Engine Crankcase Breather Element Air Filter</v>
          </cell>
        </row>
        <row r="4353">
          <cell r="G4353" t="str">
            <v>LAF1672</v>
          </cell>
          <cell r="H4353" t="str">
            <v>Screw On Breather Air Filter</v>
          </cell>
        </row>
        <row r="4354">
          <cell r="G4354" t="str">
            <v>LAF1728</v>
          </cell>
          <cell r="H4354" t="str">
            <v>HD Round Air Filter with Attached Lid</v>
          </cell>
        </row>
        <row r="4355">
          <cell r="G4355" t="str">
            <v>LAF1739</v>
          </cell>
          <cell r="H4355" t="str">
            <v>Cone Shaped Air Filter With Attached Lid</v>
          </cell>
        </row>
        <row r="4356">
          <cell r="G4356" t="str">
            <v>LAF1758</v>
          </cell>
          <cell r="H4356" t="str">
            <v>Cone Shaped Conical Air Filter</v>
          </cell>
        </row>
        <row r="4357">
          <cell r="G4357" t="str">
            <v>LAF1788</v>
          </cell>
          <cell r="H4357" t="str">
            <v>Panel Air Filter Metal Framed</v>
          </cell>
        </row>
        <row r="4358">
          <cell r="G4358" t="str">
            <v>LAF1792</v>
          </cell>
          <cell r="H4358" t="str">
            <v>Panel Air Filter Metal Framed</v>
          </cell>
        </row>
        <row r="4359">
          <cell r="G4359" t="str">
            <v>LAF1797</v>
          </cell>
          <cell r="H4359" t="str">
            <v>Panel Air Filter Metal Framed</v>
          </cell>
        </row>
        <row r="4360">
          <cell r="G4360" t="str">
            <v>LAF1810MXM</v>
          </cell>
          <cell r="H4360" t="str">
            <v>Nano Tech w/Attached boot Air Filter</v>
          </cell>
        </row>
        <row r="4361">
          <cell r="G4361" t="str">
            <v>LAF1845MXM</v>
          </cell>
          <cell r="H4361" t="str">
            <v>Nano Tech w/Attached boot Air Filter</v>
          </cell>
        </row>
        <row r="4362">
          <cell r="G4362" t="str">
            <v>LAF1867</v>
          </cell>
          <cell r="H4362" t="str">
            <v>HD Metal-End Inner Air Filter</v>
          </cell>
        </row>
        <row r="4363">
          <cell r="G4363" t="str">
            <v>LAF1868</v>
          </cell>
          <cell r="H4363" t="str">
            <v>Finned Vane Air Filter</v>
          </cell>
        </row>
        <row r="4364">
          <cell r="G4364" t="str">
            <v>LAF1884</v>
          </cell>
          <cell r="H4364" t="str">
            <v>HD Metal-End Air Filter</v>
          </cell>
        </row>
        <row r="4365">
          <cell r="G4365" t="str">
            <v>LAF1885</v>
          </cell>
          <cell r="H4365" t="str">
            <v>HD Metal-End Air Filter</v>
          </cell>
        </row>
        <row r="4366">
          <cell r="G4366" t="str">
            <v>LAF1896</v>
          </cell>
          <cell r="H4366" t="str">
            <v>Panel Air Filter Metal Framed</v>
          </cell>
        </row>
        <row r="4367">
          <cell r="G4367" t="str">
            <v>LAF1897</v>
          </cell>
          <cell r="H4367" t="str">
            <v>Panel Air Filter Metal Framed</v>
          </cell>
        </row>
        <row r="4368">
          <cell r="G4368" t="str">
            <v>LAF1939</v>
          </cell>
          <cell r="H4368" t="str">
            <v>HD Metal-End Air Filter</v>
          </cell>
        </row>
        <row r="4369">
          <cell r="G4369" t="str">
            <v>LAF1962</v>
          </cell>
          <cell r="H4369" t="str">
            <v>Round Air Filter</v>
          </cell>
        </row>
        <row r="4370">
          <cell r="G4370" t="str">
            <v>LAF1978</v>
          </cell>
          <cell r="H4370" t="str">
            <v>Round Air Filter</v>
          </cell>
        </row>
        <row r="4371">
          <cell r="G4371" t="str">
            <v>LAF1980</v>
          </cell>
          <cell r="H4371" t="str">
            <v>Round Air Filter</v>
          </cell>
        </row>
        <row r="4372">
          <cell r="G4372" t="str">
            <v>LAF1992</v>
          </cell>
          <cell r="H4372" t="str">
            <v>HD Metal-End Air Filter</v>
          </cell>
        </row>
        <row r="4373">
          <cell r="G4373" t="str">
            <v>LAF22012</v>
          </cell>
          <cell r="H4373" t="str">
            <v>Round Air Filter</v>
          </cell>
        </row>
        <row r="4374">
          <cell r="G4374" t="str">
            <v>LAF22030</v>
          </cell>
          <cell r="H4374" t="str">
            <v>Round Air Filter</v>
          </cell>
        </row>
        <row r="4375">
          <cell r="G4375" t="str">
            <v>LAF22035</v>
          </cell>
          <cell r="H4375" t="str">
            <v>Rigid Panel Air Filter</v>
          </cell>
        </row>
        <row r="4376">
          <cell r="G4376" t="str">
            <v>LAF22037</v>
          </cell>
          <cell r="H4376" t="str">
            <v>Finned Vane Air Filter</v>
          </cell>
        </row>
        <row r="4377">
          <cell r="G4377" t="str">
            <v>LAF22046</v>
          </cell>
          <cell r="H4377" t="str">
            <v>Oval Air Filter</v>
          </cell>
        </row>
        <row r="4378">
          <cell r="G4378" t="str">
            <v>LAF22048</v>
          </cell>
          <cell r="H4378" t="str">
            <v>Special Configuration Air Filter</v>
          </cell>
        </row>
        <row r="4379">
          <cell r="G4379" t="str">
            <v>LAF22051</v>
          </cell>
          <cell r="H4379" t="str">
            <v>HD Metal-End Air Filter</v>
          </cell>
        </row>
        <row r="4380">
          <cell r="G4380" t="str">
            <v>LAF22053</v>
          </cell>
          <cell r="H4380" t="str">
            <v>Panel Air Filter Metal Framed</v>
          </cell>
        </row>
        <row r="4381">
          <cell r="G4381" t="str">
            <v>LAF22059</v>
          </cell>
          <cell r="H4381" t="str">
            <v>HD Metal-End Inner Air Filter</v>
          </cell>
        </row>
        <row r="4382">
          <cell r="G4382" t="str">
            <v>LAF22081</v>
          </cell>
          <cell r="H4382" t="str">
            <v>Finned Vane Air Filter</v>
          </cell>
        </row>
        <row r="4383">
          <cell r="G4383" t="str">
            <v>LAF22086</v>
          </cell>
          <cell r="H4383" t="str">
            <v>HD Metal-End Inner Air Filter</v>
          </cell>
        </row>
        <row r="4384">
          <cell r="G4384" t="str">
            <v>LAF22088</v>
          </cell>
          <cell r="H4384" t="str">
            <v>Special Configuration Air Filter</v>
          </cell>
        </row>
        <row r="4385">
          <cell r="G4385" t="str">
            <v>LAF22092</v>
          </cell>
          <cell r="H4385" t="str">
            <v>HD Metal-End Air Filter</v>
          </cell>
        </row>
        <row r="4386">
          <cell r="G4386" t="str">
            <v>LAF22093</v>
          </cell>
          <cell r="H4386" t="str">
            <v>HD Metal-End Air Filter</v>
          </cell>
        </row>
        <row r="4387">
          <cell r="G4387" t="str">
            <v>LAF22097</v>
          </cell>
          <cell r="H4387" t="str">
            <v>Disposible Housing Air Filter</v>
          </cell>
        </row>
        <row r="4388">
          <cell r="G4388" t="str">
            <v>LAF22105</v>
          </cell>
          <cell r="H4388" t="str">
            <v>HD Round Air Filter with non-woven Batt Media</v>
          </cell>
        </row>
        <row r="4389">
          <cell r="G4389" t="str">
            <v>LAF2397</v>
          </cell>
          <cell r="H4389" t="str">
            <v>Round Inner Air Filter</v>
          </cell>
        </row>
        <row r="4390">
          <cell r="G4390" t="str">
            <v>LAF2522</v>
          </cell>
          <cell r="H4390" t="str">
            <v>HD Metal-End Air Filter</v>
          </cell>
        </row>
        <row r="4391">
          <cell r="G4391" t="str">
            <v>LAF2527</v>
          </cell>
          <cell r="H4391" t="str">
            <v>Panel Air Filter Metal Framed</v>
          </cell>
        </row>
        <row r="4392">
          <cell r="G4392" t="str">
            <v>LAF2541</v>
          </cell>
          <cell r="H4392" t="str">
            <v>HD Metal-End Inner Air Filter</v>
          </cell>
        </row>
        <row r="4393">
          <cell r="G4393" t="str">
            <v>LAF2586</v>
          </cell>
          <cell r="H4393" t="str">
            <v>HD Metal-End Air Filter</v>
          </cell>
        </row>
        <row r="4394">
          <cell r="G4394" t="str">
            <v>LAF276</v>
          </cell>
          <cell r="H4394" t="str">
            <v>Round Air Filter</v>
          </cell>
        </row>
        <row r="4395">
          <cell r="G4395" t="str">
            <v>LAF2872</v>
          </cell>
          <cell r="H4395" t="str">
            <v>Finned Vane Air Filter</v>
          </cell>
        </row>
        <row r="4396">
          <cell r="G4396" t="str">
            <v>LAF3214</v>
          </cell>
          <cell r="H4396" t="str">
            <v>HD Metal-End Air Filter</v>
          </cell>
        </row>
        <row r="4397">
          <cell r="G4397" t="str">
            <v>LAF334MXM</v>
          </cell>
          <cell r="H4397" t="str">
            <v xml:space="preserve">Nano Tech HD Metal-End Air Filter </v>
          </cell>
        </row>
        <row r="4398">
          <cell r="G4398" t="str">
            <v>LAF3352</v>
          </cell>
          <cell r="H4398" t="str">
            <v>HD Metal-End Air Filter</v>
          </cell>
        </row>
        <row r="4399">
          <cell r="G4399" t="str">
            <v>LAF3535AMXM</v>
          </cell>
          <cell r="H4399" t="str">
            <v>Nano Tech Inside-Out Flow Direction Air Filter</v>
          </cell>
        </row>
        <row r="4400">
          <cell r="G4400" t="str">
            <v>LAF3680</v>
          </cell>
          <cell r="H4400" t="str">
            <v>Foam Air Filter</v>
          </cell>
        </row>
        <row r="4401">
          <cell r="G4401" t="str">
            <v>LAF3715</v>
          </cell>
          <cell r="H4401" t="str">
            <v>HD Metal-End Air Filter with Attached Lid</v>
          </cell>
        </row>
        <row r="4402">
          <cell r="G4402" t="str">
            <v>LAF3861</v>
          </cell>
          <cell r="H4402" t="str">
            <v>Radial Seal Inner Air Filter</v>
          </cell>
        </row>
        <row r="4403">
          <cell r="G4403" t="str">
            <v>LAF3930MXM</v>
          </cell>
          <cell r="H4403" t="str">
            <v>Nano Tech HD Metal-End Air Filter Outer</v>
          </cell>
        </row>
        <row r="4404">
          <cell r="G4404" t="str">
            <v>LAF3931</v>
          </cell>
          <cell r="H4404" t="str">
            <v>Cone Shaped Conical Air Filter</v>
          </cell>
        </row>
        <row r="4405">
          <cell r="G4405" t="str">
            <v>LAF3934</v>
          </cell>
          <cell r="H4405" t="str">
            <v>Radial Seal Air Filter with Attached Finn</v>
          </cell>
        </row>
        <row r="4406">
          <cell r="G4406" t="str">
            <v>LAF4123</v>
          </cell>
          <cell r="H4406" t="str">
            <v>Round Air Filter</v>
          </cell>
        </row>
        <row r="4407">
          <cell r="G4407" t="str">
            <v>LAF4157</v>
          </cell>
          <cell r="H4407" t="str">
            <v>HD Metal-End Air Filter</v>
          </cell>
        </row>
        <row r="4408">
          <cell r="G4408" t="str">
            <v>LAF4158</v>
          </cell>
          <cell r="H4408" t="str">
            <v>Round Air Filter</v>
          </cell>
        </row>
        <row r="4409">
          <cell r="G4409" t="str">
            <v>LAF4164</v>
          </cell>
          <cell r="H4409" t="str">
            <v>Panel Air Filter Metal Framed</v>
          </cell>
        </row>
        <row r="4410">
          <cell r="G4410" t="str">
            <v>LAF4180</v>
          </cell>
          <cell r="H4410" t="str">
            <v>HD Metal-End Inner Air Filter</v>
          </cell>
        </row>
        <row r="4411">
          <cell r="G4411" t="str">
            <v>LAF4215</v>
          </cell>
          <cell r="H4411" t="str">
            <v>HD Metal-End Air Filter with Attached Lid</v>
          </cell>
        </row>
        <row r="4412">
          <cell r="G4412" t="str">
            <v>LAF4273MXM</v>
          </cell>
          <cell r="H4412" t="str">
            <v>Nano Tech HD Metal-End Air Filter Outer</v>
          </cell>
        </row>
        <row r="4413">
          <cell r="G4413" t="str">
            <v>LAF4278</v>
          </cell>
          <cell r="H4413" t="str">
            <v>HD Metal-End Air Filter</v>
          </cell>
        </row>
        <row r="4414">
          <cell r="G4414" t="str">
            <v>LAF4280</v>
          </cell>
          <cell r="H4414" t="str">
            <v>Finned Vane Air Filter</v>
          </cell>
        </row>
        <row r="4415">
          <cell r="G4415" t="str">
            <v>LAF4284</v>
          </cell>
          <cell r="H4415" t="str">
            <v>HD Metal-End Air Filter</v>
          </cell>
        </row>
        <row r="4416">
          <cell r="G4416" t="str">
            <v>LAF4287</v>
          </cell>
          <cell r="H4416" t="str">
            <v>Rigid Panel Air Filter</v>
          </cell>
        </row>
        <row r="4417">
          <cell r="G4417" t="str">
            <v>LAF4289</v>
          </cell>
          <cell r="H4417" t="str">
            <v>HD Metal-End Air Filter</v>
          </cell>
        </row>
        <row r="4418">
          <cell r="G4418" t="str">
            <v>LAF4297</v>
          </cell>
          <cell r="H4418" t="str">
            <v>HD Round Air Filter with Attached Boot</v>
          </cell>
        </row>
        <row r="4419">
          <cell r="G4419" t="str">
            <v>LAF4318</v>
          </cell>
          <cell r="H4419" t="str">
            <v>HD Metal-End Air Filter</v>
          </cell>
        </row>
        <row r="4420">
          <cell r="G4420" t="str">
            <v>LAF4324</v>
          </cell>
          <cell r="H4420" t="str">
            <v>HD Metal-End Air Filter with Attached Lid</v>
          </cell>
        </row>
        <row r="4421">
          <cell r="G4421" t="str">
            <v>LAF4343</v>
          </cell>
          <cell r="H4421" t="str">
            <v>Pre-cleaner Air Filter</v>
          </cell>
        </row>
        <row r="4422">
          <cell r="G4422" t="str">
            <v>LAF4356</v>
          </cell>
          <cell r="H4422" t="str">
            <v>Finned Vane Air Filter</v>
          </cell>
        </row>
        <row r="4423">
          <cell r="G4423" t="str">
            <v>LAF4357</v>
          </cell>
          <cell r="H4423" t="str">
            <v>Pre-cleaner Air Filter</v>
          </cell>
        </row>
        <row r="4424">
          <cell r="G4424" t="str">
            <v>LAF4451</v>
          </cell>
          <cell r="H4424" t="str">
            <v>Finned Vane Air Filter</v>
          </cell>
        </row>
        <row r="4425">
          <cell r="G4425" t="str">
            <v>LAF4498MXM</v>
          </cell>
          <cell r="H4425" t="str">
            <v>Nano Tech Radial Seal Air Filter</v>
          </cell>
        </row>
        <row r="4426">
          <cell r="G4426" t="str">
            <v>LAF4509MXM</v>
          </cell>
          <cell r="H4426" t="str">
            <v>Nano Tech Radial Seal Air Filter</v>
          </cell>
        </row>
        <row r="4427">
          <cell r="G4427" t="str">
            <v>LAF47MXM</v>
          </cell>
          <cell r="H4427" t="str">
            <v>Nano Tech Radial Seal Air Filter</v>
          </cell>
        </row>
        <row r="4428">
          <cell r="G4428" t="str">
            <v>LAF5022MXM</v>
          </cell>
          <cell r="H4428" t="str">
            <v>Nano Tech Radial Seal Air Filter</v>
          </cell>
        </row>
        <row r="4429">
          <cell r="G4429" t="str">
            <v>LAF5038</v>
          </cell>
          <cell r="H4429" t="str">
            <v>HD Metal-End Air Filter</v>
          </cell>
        </row>
        <row r="4430">
          <cell r="G4430" t="str">
            <v>LAF5044</v>
          </cell>
          <cell r="H4430" t="str">
            <v>Radial Seal Outer Air Filter</v>
          </cell>
        </row>
        <row r="4431">
          <cell r="G4431" t="str">
            <v>LAF5069MXM</v>
          </cell>
          <cell r="H4431" t="str">
            <v>Nano Tech Air Filter w/Attached boot</v>
          </cell>
        </row>
        <row r="4432">
          <cell r="G4432" t="str">
            <v>LAF5238</v>
          </cell>
          <cell r="H4432" t="str">
            <v>Radial Seal Outer Air Filter</v>
          </cell>
        </row>
        <row r="4433">
          <cell r="G4433" t="str">
            <v>LAF5452W</v>
          </cell>
          <cell r="H4433" t="str">
            <v>Foam Wrap Air Filter</v>
          </cell>
        </row>
        <row r="4434">
          <cell r="G4434" t="str">
            <v>LAF5604</v>
          </cell>
          <cell r="H4434" t="str">
            <v>Oval Air Filter</v>
          </cell>
        </row>
        <row r="4435">
          <cell r="G4435" t="str">
            <v>LAF5614</v>
          </cell>
          <cell r="H4435" t="str">
            <v>Radial Seal Air Filter</v>
          </cell>
        </row>
        <row r="4436">
          <cell r="G4436" t="str">
            <v>LAF5615</v>
          </cell>
          <cell r="H4436" t="str">
            <v>Radial Seal Inner Air Filter</v>
          </cell>
        </row>
        <row r="4437">
          <cell r="G4437" t="str">
            <v>LAF5716</v>
          </cell>
          <cell r="H4437" t="str">
            <v>Flexible Panel Air Filter</v>
          </cell>
        </row>
        <row r="4438">
          <cell r="G4438" t="str">
            <v>LAF5743</v>
          </cell>
          <cell r="H4438" t="str">
            <v>HD Metal-End Air Filter</v>
          </cell>
        </row>
        <row r="4439">
          <cell r="G4439" t="str">
            <v>LAF5750</v>
          </cell>
          <cell r="H4439" t="str">
            <v>HD Metal-End Air Filter</v>
          </cell>
        </row>
        <row r="4440">
          <cell r="G4440" t="str">
            <v>LAF5755</v>
          </cell>
          <cell r="H4440" t="str">
            <v>HD Metal-End Inner Air Filter</v>
          </cell>
        </row>
        <row r="4441">
          <cell r="G4441" t="str">
            <v>LAF5759</v>
          </cell>
          <cell r="H4441" t="str">
            <v>HD Metal-End Air Filter with Attached Lid</v>
          </cell>
        </row>
        <row r="4442">
          <cell r="G4442" t="str">
            <v>LAF5782</v>
          </cell>
          <cell r="H4442" t="str">
            <v>HD Metal-End Air Filter</v>
          </cell>
        </row>
        <row r="4443">
          <cell r="G4443" t="str">
            <v>LAF5786</v>
          </cell>
          <cell r="H4443" t="str">
            <v>HD Metal-End Air Filter with Attached Lid</v>
          </cell>
        </row>
        <row r="4444">
          <cell r="G4444" t="str">
            <v>LAF5829</v>
          </cell>
          <cell r="H4444" t="str">
            <v>HD Metal-End Air Filter with Attached Lid</v>
          </cell>
        </row>
        <row r="4445">
          <cell r="G4445" t="str">
            <v>LAF5832</v>
          </cell>
          <cell r="H4445" t="str">
            <v>HD Metal-End Inner Air Filter</v>
          </cell>
        </row>
        <row r="4446">
          <cell r="G4446" t="str">
            <v>LAF5833</v>
          </cell>
          <cell r="H4446" t="str">
            <v>HD Metal-End Air Filter</v>
          </cell>
        </row>
        <row r="4447">
          <cell r="G4447" t="str">
            <v>LAF5838</v>
          </cell>
          <cell r="H4447" t="str">
            <v>HD Metal-End Air Filter</v>
          </cell>
        </row>
        <row r="4448">
          <cell r="G4448" t="str">
            <v>LAF5877</v>
          </cell>
          <cell r="H4448" t="str">
            <v>Round Air Filter</v>
          </cell>
        </row>
        <row r="4449">
          <cell r="G4449" t="str">
            <v>LAF5881</v>
          </cell>
          <cell r="H4449" t="str">
            <v>HD Metal-End Air Filter with Attached Lid</v>
          </cell>
        </row>
        <row r="4450">
          <cell r="G4450" t="str">
            <v>LAF5884</v>
          </cell>
          <cell r="H4450" t="str">
            <v>HD Metal-End Air Filter</v>
          </cell>
        </row>
        <row r="4451">
          <cell r="G4451" t="str">
            <v>LAF5885</v>
          </cell>
          <cell r="H4451" t="str">
            <v>HD Metal-End Air Filter</v>
          </cell>
        </row>
        <row r="4452">
          <cell r="G4452" t="str">
            <v>LAF5887</v>
          </cell>
          <cell r="H4452" t="str">
            <v>HD Metal-End Air Filter</v>
          </cell>
        </row>
        <row r="4453">
          <cell r="G4453" t="str">
            <v>LAF5929</v>
          </cell>
          <cell r="H4453" t="str">
            <v>Radial Seal Inner Air Filter</v>
          </cell>
        </row>
        <row r="4454">
          <cell r="G4454" t="str">
            <v>LAF6008</v>
          </cell>
          <cell r="H4454" t="str">
            <v>Round Air Filter</v>
          </cell>
        </row>
        <row r="4455">
          <cell r="G4455" t="str">
            <v>LAF6127MXM</v>
          </cell>
          <cell r="H4455" t="str">
            <v>Nano Tech Air Filter w/Attached boot</v>
          </cell>
        </row>
        <row r="4456">
          <cell r="G4456" t="str">
            <v>LAF624</v>
          </cell>
          <cell r="H4456" t="str">
            <v>Round Air Filter</v>
          </cell>
        </row>
        <row r="4457">
          <cell r="G4457" t="str">
            <v>LAF6404</v>
          </cell>
          <cell r="H4457" t="str">
            <v>HD Round Air Filter with Attached Boot</v>
          </cell>
        </row>
        <row r="4458">
          <cell r="G4458" t="str">
            <v>LAF642</v>
          </cell>
          <cell r="H4458" t="str">
            <v>Round Air Filter</v>
          </cell>
        </row>
        <row r="4459">
          <cell r="G4459" t="str">
            <v>LAF6632MXM</v>
          </cell>
          <cell r="H4459" t="str">
            <v xml:space="preserve">Nano Tech Air Filter HD Metal-End </v>
          </cell>
        </row>
        <row r="4460">
          <cell r="G4460" t="str">
            <v>LAF681</v>
          </cell>
          <cell r="H4460" t="str">
            <v>HD Metal-End Air Filter</v>
          </cell>
        </row>
        <row r="4461">
          <cell r="G4461" t="str">
            <v>LAF7092</v>
          </cell>
          <cell r="H4461" t="str">
            <v>Metal-End Air Filter with Closed Top End Cap</v>
          </cell>
        </row>
        <row r="4462">
          <cell r="G4462" t="str">
            <v>LAF7185</v>
          </cell>
          <cell r="H4462" t="str">
            <v>Finned Vane Inner Air Filter</v>
          </cell>
        </row>
        <row r="4463">
          <cell r="G4463" t="str">
            <v>LAF7413MXM</v>
          </cell>
          <cell r="H4463" t="str">
            <v xml:space="preserve">Nano Tech Air Filter HD Metal-End </v>
          </cell>
        </row>
        <row r="4464">
          <cell r="G4464" t="str">
            <v>LAF7456</v>
          </cell>
          <cell r="H4464" t="str">
            <v>Disposible Housing Air Filter</v>
          </cell>
        </row>
        <row r="4465">
          <cell r="G4465" t="str">
            <v>LAF7533</v>
          </cell>
          <cell r="H4465" t="str">
            <v>Round Air Filter</v>
          </cell>
        </row>
        <row r="4466">
          <cell r="G4466" t="str">
            <v>LAF8066</v>
          </cell>
          <cell r="H4466" t="str">
            <v>HD Metal-End Air Filter with Attached Lid</v>
          </cell>
        </row>
        <row r="4467">
          <cell r="G4467" t="str">
            <v>LAF8076</v>
          </cell>
          <cell r="H4467" t="str">
            <v>HD Metal-End Air Filter</v>
          </cell>
        </row>
        <row r="4468">
          <cell r="G4468" t="str">
            <v>LAF8079</v>
          </cell>
          <cell r="H4468" t="str">
            <v>HD Metal-End Air Filter</v>
          </cell>
        </row>
        <row r="4469">
          <cell r="G4469" t="str">
            <v>LAF8125</v>
          </cell>
          <cell r="H4469" t="str">
            <v>Rigid Panel Air Filter</v>
          </cell>
        </row>
        <row r="4470">
          <cell r="G4470" t="str">
            <v>LAF8149MXM</v>
          </cell>
          <cell r="H4470" t="str">
            <v>Nano Tech Radial Seal Air Filter</v>
          </cell>
        </row>
        <row r="4471">
          <cell r="G4471" t="str">
            <v>LAF8160</v>
          </cell>
          <cell r="H4471" t="str">
            <v>HD Metal-End Air Filter with Attached Lid</v>
          </cell>
        </row>
        <row r="4472">
          <cell r="G4472" t="str">
            <v>LAF8162</v>
          </cell>
          <cell r="H4472" t="str">
            <v>HD Metal-End Air Filter with Attached Lid</v>
          </cell>
        </row>
        <row r="4473">
          <cell r="G4473" t="str">
            <v>LAF8166</v>
          </cell>
          <cell r="H4473" t="str">
            <v>Round Air Filter</v>
          </cell>
        </row>
        <row r="4474">
          <cell r="G4474" t="str">
            <v>LAF8168</v>
          </cell>
          <cell r="H4474" t="str">
            <v>HD Metal-End Air Filter</v>
          </cell>
        </row>
        <row r="4475">
          <cell r="G4475" t="str">
            <v>LAF8169</v>
          </cell>
          <cell r="H4475" t="str">
            <v>HD Metal-End Air Filter</v>
          </cell>
        </row>
        <row r="4476">
          <cell r="G4476" t="str">
            <v>LAF8284</v>
          </cell>
          <cell r="H4476" t="str">
            <v>Round Air Filter</v>
          </cell>
        </row>
        <row r="4477">
          <cell r="G4477" t="str">
            <v>LAF8348</v>
          </cell>
          <cell r="H4477" t="str">
            <v>Panel Air Filter</v>
          </cell>
        </row>
        <row r="4478">
          <cell r="G4478" t="str">
            <v>LAF8352</v>
          </cell>
          <cell r="H4478" t="str">
            <v>HD Metal-End Air Filter</v>
          </cell>
        </row>
        <row r="4479">
          <cell r="G4479" t="str">
            <v>LAF8377</v>
          </cell>
          <cell r="H4479" t="str">
            <v>Round Air Filter with Attached Lid</v>
          </cell>
        </row>
        <row r="4480">
          <cell r="G4480" t="str">
            <v>LAF8400</v>
          </cell>
          <cell r="H4480" t="str">
            <v>Round Air Filter</v>
          </cell>
        </row>
        <row r="4481">
          <cell r="G4481" t="str">
            <v>LAF8403</v>
          </cell>
          <cell r="H4481" t="str">
            <v>Round Plastisol Air Filter</v>
          </cell>
        </row>
        <row r="4482">
          <cell r="G4482" t="str">
            <v>LAF8483MXM</v>
          </cell>
          <cell r="H4482" t="str">
            <v xml:space="preserve">Nano Tech Air Filter HD Metal-End </v>
          </cell>
        </row>
        <row r="4483">
          <cell r="G4483" t="str">
            <v>LAF8491</v>
          </cell>
          <cell r="H4483" t="str">
            <v>HD Metal-End Air Filter</v>
          </cell>
        </row>
        <row r="4484">
          <cell r="G4484" t="str">
            <v>LAF8508</v>
          </cell>
          <cell r="H4484" t="str">
            <v>Round Air Filter</v>
          </cell>
        </row>
        <row r="4485">
          <cell r="G4485" t="str">
            <v>LAF8517</v>
          </cell>
          <cell r="H4485" t="str">
            <v>Finned Vane Air Filter</v>
          </cell>
        </row>
        <row r="4486">
          <cell r="G4486" t="str">
            <v>LAF8525</v>
          </cell>
          <cell r="H4486" t="str">
            <v>HD Metal-End Air Filter</v>
          </cell>
        </row>
        <row r="4487">
          <cell r="G4487" t="str">
            <v>LAF8527</v>
          </cell>
          <cell r="H4487" t="str">
            <v>HD Metal-End Air Filter</v>
          </cell>
        </row>
        <row r="4488">
          <cell r="G4488" t="str">
            <v>LAF8528</v>
          </cell>
          <cell r="H4488" t="str">
            <v>Finned Vane Air Filter</v>
          </cell>
        </row>
        <row r="4489">
          <cell r="G4489" t="str">
            <v>LAF8553</v>
          </cell>
          <cell r="H4489" t="str">
            <v>HD Round Air Filter with Threaded Mounting Stud</v>
          </cell>
        </row>
        <row r="4490">
          <cell r="G4490" t="str">
            <v>LAF8564</v>
          </cell>
          <cell r="H4490" t="str">
            <v>HD Metal-End Air Filter</v>
          </cell>
        </row>
        <row r="4491">
          <cell r="G4491" t="str">
            <v>LAF8570</v>
          </cell>
          <cell r="H4491" t="str">
            <v>HD Metal-End Air Filter</v>
          </cell>
        </row>
        <row r="4492">
          <cell r="G4492" t="str">
            <v>LAF8572</v>
          </cell>
          <cell r="H4492" t="str">
            <v>Finned Vane Air Filter</v>
          </cell>
        </row>
        <row r="4493">
          <cell r="G4493" t="str">
            <v>LAF8576</v>
          </cell>
          <cell r="H4493" t="str">
            <v>HD Metal-End Air Filter</v>
          </cell>
        </row>
        <row r="4494">
          <cell r="G4494" t="str">
            <v>LAF8580</v>
          </cell>
          <cell r="H4494" t="str">
            <v>HD Round Air Filter with Attached Lid</v>
          </cell>
        </row>
        <row r="4495">
          <cell r="G4495" t="str">
            <v>LAF8598</v>
          </cell>
          <cell r="H4495" t="str">
            <v>HD Metal-End Air Filter-Inner</v>
          </cell>
        </row>
        <row r="4496">
          <cell r="G4496" t="str">
            <v>LAF8600</v>
          </cell>
          <cell r="H4496" t="str">
            <v>HD Round Air Filter with Attached Lid</v>
          </cell>
        </row>
        <row r="4497">
          <cell r="G4497" t="str">
            <v>LAF8601</v>
          </cell>
          <cell r="H4497" t="str">
            <v>HD Metal-End Air Filter</v>
          </cell>
        </row>
        <row r="4498">
          <cell r="G4498" t="str">
            <v>LAF8606</v>
          </cell>
          <cell r="H4498" t="str">
            <v>HD Metal-End Inner Air Filter</v>
          </cell>
        </row>
        <row r="4499">
          <cell r="G4499" t="str">
            <v>LAF8608</v>
          </cell>
          <cell r="H4499" t="str">
            <v>HD Round Air Filter with Attached Boot</v>
          </cell>
        </row>
        <row r="4500">
          <cell r="G4500" t="str">
            <v>LAF8611</v>
          </cell>
          <cell r="H4500" t="str">
            <v>HD Round Air Filter with Attached Boot</v>
          </cell>
        </row>
        <row r="4501">
          <cell r="G4501" t="str">
            <v>LAF8615</v>
          </cell>
          <cell r="H4501" t="str">
            <v>HD Metal-End Air Filter with Attached Lid</v>
          </cell>
        </row>
        <row r="4502">
          <cell r="G4502" t="str">
            <v>LAF8624</v>
          </cell>
          <cell r="H4502" t="str">
            <v>Cone Shaped Air Filter With Attached Lid</v>
          </cell>
        </row>
        <row r="4503">
          <cell r="G4503" t="str">
            <v>LAF8626</v>
          </cell>
          <cell r="H4503" t="str">
            <v>HD Metal-End Air Filter with Attached Lid</v>
          </cell>
        </row>
        <row r="4504">
          <cell r="G4504" t="str">
            <v>LAF8632</v>
          </cell>
          <cell r="H4504" t="str">
            <v>HD Round Air Filter with Attached Lid</v>
          </cell>
        </row>
        <row r="4505">
          <cell r="G4505" t="str">
            <v>LAF8636</v>
          </cell>
          <cell r="H4505" t="str">
            <v>HD Metal-End Air Filter with Attached Lid</v>
          </cell>
        </row>
        <row r="4506">
          <cell r="G4506" t="str">
            <v>LAF8637</v>
          </cell>
          <cell r="H4506" t="str">
            <v>Finned Vane Air Filter</v>
          </cell>
        </row>
        <row r="4507">
          <cell r="G4507" t="str">
            <v>LAF8638</v>
          </cell>
          <cell r="H4507" t="str">
            <v>HD Metal-End Air Filter</v>
          </cell>
        </row>
        <row r="4508">
          <cell r="G4508" t="str">
            <v>LAF8644</v>
          </cell>
          <cell r="H4508" t="str">
            <v>HD Metal-End Inner Air Filter</v>
          </cell>
        </row>
        <row r="4509">
          <cell r="G4509" t="str">
            <v>LAF8645</v>
          </cell>
          <cell r="H4509" t="str">
            <v>Flexible Panel Air Filter</v>
          </cell>
        </row>
        <row r="4510">
          <cell r="G4510" t="str">
            <v>LAF8652</v>
          </cell>
          <cell r="H4510" t="str">
            <v>HD Metal-End Air Filter with Attached Lid</v>
          </cell>
        </row>
        <row r="4511">
          <cell r="G4511" t="str">
            <v>LAF8665</v>
          </cell>
          <cell r="H4511" t="str">
            <v>HD Metal-End Inner Air Filter</v>
          </cell>
        </row>
        <row r="4512">
          <cell r="G4512" t="str">
            <v>LAF8675</v>
          </cell>
          <cell r="H4512" t="str">
            <v>Finned Vane Air Filter</v>
          </cell>
        </row>
        <row r="4513">
          <cell r="G4513" t="str">
            <v>LAF8697</v>
          </cell>
          <cell r="H4513" t="str">
            <v>Panel Air Filter</v>
          </cell>
        </row>
        <row r="4514">
          <cell r="G4514" t="str">
            <v>LAF8732</v>
          </cell>
          <cell r="H4514" t="str">
            <v>Disposible Housing Air Filter</v>
          </cell>
        </row>
        <row r="4515">
          <cell r="G4515" t="str">
            <v>LAF8743</v>
          </cell>
          <cell r="H4515" t="str">
            <v>Round Air Filter</v>
          </cell>
        </row>
        <row r="4516">
          <cell r="G4516" t="str">
            <v>LAF8747</v>
          </cell>
          <cell r="H4516" t="str">
            <v>Radial Seal Inner Air Filter (Europe Only)</v>
          </cell>
        </row>
        <row r="4517">
          <cell r="G4517" t="str">
            <v>LAF8763</v>
          </cell>
          <cell r="H4517" t="str">
            <v>HD Metal-End Air Filter with Attached Lid</v>
          </cell>
        </row>
        <row r="4518">
          <cell r="G4518" t="str">
            <v>LAF8775</v>
          </cell>
          <cell r="H4518" t="str">
            <v>Panel Air Filter Metal Framed</v>
          </cell>
        </row>
        <row r="4519">
          <cell r="G4519" t="str">
            <v>LAF8782</v>
          </cell>
          <cell r="H4519" t="str">
            <v>Rigid Panel Air Filter</v>
          </cell>
        </row>
        <row r="4520">
          <cell r="G4520" t="str">
            <v>LAF8805</v>
          </cell>
          <cell r="H4520" t="str">
            <v>Disposible Housing Air Filter</v>
          </cell>
        </row>
        <row r="4521">
          <cell r="G4521" t="str">
            <v>LAF8811</v>
          </cell>
          <cell r="H4521" t="str">
            <v>HD Metal-End Inner Air Filter</v>
          </cell>
        </row>
        <row r="4522">
          <cell r="G4522" t="str">
            <v>LAF8827</v>
          </cell>
          <cell r="H4522" t="str">
            <v>HD Metal-End Air Filter-Inner</v>
          </cell>
        </row>
        <row r="4523">
          <cell r="G4523" t="str">
            <v>LAF8831</v>
          </cell>
          <cell r="H4523" t="str">
            <v>HD Metal-End Air Filter</v>
          </cell>
        </row>
        <row r="4524">
          <cell r="G4524" t="str">
            <v>LAF8832</v>
          </cell>
          <cell r="H4524" t="str">
            <v>HD Round Finned Air Filter with Attached Lid</v>
          </cell>
        </row>
        <row r="4525">
          <cell r="G4525" t="str">
            <v>LAF8840</v>
          </cell>
          <cell r="H4525" t="str">
            <v>Radial Seal Outer Air Filter</v>
          </cell>
        </row>
        <row r="4526">
          <cell r="G4526" t="str">
            <v>LAF8871</v>
          </cell>
          <cell r="H4526" t="str">
            <v>Radial Seal Outer Air Filter</v>
          </cell>
        </row>
        <row r="4527">
          <cell r="G4527" t="str">
            <v>LAF8919</v>
          </cell>
          <cell r="H4527" t="str">
            <v>HD Metal-End Air Filter</v>
          </cell>
        </row>
        <row r="4528">
          <cell r="G4528" t="str">
            <v>LAF8921</v>
          </cell>
          <cell r="H4528" t="str">
            <v>HD Metal-End Air Filter</v>
          </cell>
        </row>
        <row r="4529">
          <cell r="G4529" t="str">
            <v>LAF8960</v>
          </cell>
          <cell r="H4529" t="str">
            <v>Cabin Air Filter</v>
          </cell>
        </row>
        <row r="4530">
          <cell r="G4530" t="str">
            <v>LAF8969</v>
          </cell>
          <cell r="H4530" t="str">
            <v>HD Metal-End Air Filter-Inner</v>
          </cell>
        </row>
        <row r="4531">
          <cell r="G4531" t="str">
            <v>LAF8975</v>
          </cell>
          <cell r="H4531" t="str">
            <v>HD Metal-End Air Filter</v>
          </cell>
        </row>
        <row r="4532">
          <cell r="G4532" t="str">
            <v>LAF8978</v>
          </cell>
          <cell r="H4532" t="str">
            <v>HD Metal-End Air Filter</v>
          </cell>
        </row>
        <row r="4533">
          <cell r="G4533" t="str">
            <v>LAF8979</v>
          </cell>
          <cell r="H4533" t="str">
            <v>HD Round Finned Air Filter with Attached Lid</v>
          </cell>
        </row>
        <row r="4534">
          <cell r="G4534" t="str">
            <v>LAF8985</v>
          </cell>
          <cell r="H4534" t="str">
            <v>Finned Vane Air Filter</v>
          </cell>
        </row>
        <row r="4535">
          <cell r="G4535" t="str">
            <v>LAF8998</v>
          </cell>
          <cell r="H4535" t="str">
            <v>Radial Seal Outer Air Filter</v>
          </cell>
        </row>
        <row r="4536">
          <cell r="G4536" t="str">
            <v>LAF9462</v>
          </cell>
          <cell r="H4536" t="str">
            <v>HD Metal-End Air Filter</v>
          </cell>
        </row>
        <row r="4537">
          <cell r="G4537" t="str">
            <v>LAFP4</v>
          </cell>
          <cell r="H4537" t="str">
            <v>Tube Type Air Filter</v>
          </cell>
        </row>
        <row r="4538">
          <cell r="G4538" t="str">
            <v>LBR22147</v>
          </cell>
          <cell r="H4538" t="str">
            <v>Mounting Band</v>
          </cell>
        </row>
        <row r="4539">
          <cell r="G4539" t="str">
            <v>LCTK10</v>
          </cell>
          <cell r="H4539" t="str">
            <v>Coolant Analysis Test Kit</v>
          </cell>
        </row>
        <row r="4540">
          <cell r="G4540" t="str">
            <v>LCTK-C2</v>
          </cell>
          <cell r="H4540" t="str">
            <v>Coolant Analysis Test Kit</v>
          </cell>
        </row>
        <row r="4541">
          <cell r="G4541" t="str">
            <v>LDFTK-IQ</v>
          </cell>
          <cell r="H4541" t="str">
            <v>L-F DIESEL FUEL ANALYSIS KIT</v>
          </cell>
        </row>
        <row r="4542">
          <cell r="G4542" t="str">
            <v>LFF3500</v>
          </cell>
          <cell r="H4542" t="str">
            <v>Spin-on Fuel Filter</v>
          </cell>
        </row>
        <row r="4543">
          <cell r="G4543" t="str">
            <v>LFF3508</v>
          </cell>
          <cell r="H4543" t="str">
            <v>Cartridge Fuel Filter</v>
          </cell>
        </row>
        <row r="4544">
          <cell r="G4544" t="str">
            <v>LFF3510</v>
          </cell>
          <cell r="H4544" t="str">
            <v>Cartridge Fuel Filter</v>
          </cell>
        </row>
        <row r="4545">
          <cell r="G4545" t="str">
            <v>LFF3511</v>
          </cell>
          <cell r="H4545" t="str">
            <v>Cartridge Fuel Filter</v>
          </cell>
        </row>
        <row r="4546">
          <cell r="G4546" t="str">
            <v>LFF3517</v>
          </cell>
          <cell r="H4546" t="str">
            <v>Spin-on Fuel Filter</v>
          </cell>
        </row>
        <row r="4547">
          <cell r="G4547" t="str">
            <v>LFF3572</v>
          </cell>
          <cell r="H4547" t="str">
            <v>Spin-on Fuel Water Separator Filter</v>
          </cell>
        </row>
        <row r="4548">
          <cell r="G4548" t="str">
            <v>LFF3944</v>
          </cell>
          <cell r="H4548" t="str">
            <v>In-Line Fuel Filter</v>
          </cell>
        </row>
        <row r="4549">
          <cell r="G4549" t="str">
            <v>LFF5967</v>
          </cell>
          <cell r="H4549" t="str">
            <v>Spin-on Fuel Water Separator Filter</v>
          </cell>
        </row>
        <row r="4550">
          <cell r="G4550" t="str">
            <v>LFF7686</v>
          </cell>
          <cell r="H4550" t="str">
            <v>In-Line Fuel Filter</v>
          </cell>
        </row>
        <row r="4551">
          <cell r="G4551" t="str">
            <v>LFF8288</v>
          </cell>
          <cell r="H4551" t="str">
            <v>Spin-on Fuel Filter</v>
          </cell>
        </row>
        <row r="4552">
          <cell r="G4552" t="str">
            <v>LFF8739</v>
          </cell>
          <cell r="H4552" t="str">
            <v>Spin-on Fuel Filter</v>
          </cell>
        </row>
        <row r="4553">
          <cell r="G4553" t="str">
            <v>LFF9005</v>
          </cell>
          <cell r="H4553" t="str">
            <v>Bowl Style Fuel Water Separator Filter</v>
          </cell>
        </row>
        <row r="4554">
          <cell r="G4554" t="str">
            <v>LFF905</v>
          </cell>
          <cell r="H4554" t="str">
            <v>Bowl Style Fuel Water Separator Filter</v>
          </cell>
        </row>
        <row r="4555">
          <cell r="G4555" t="str">
            <v>LFH3882-10</v>
          </cell>
          <cell r="H4555" t="str">
            <v>Cartridge Hydraulic Filter</v>
          </cell>
        </row>
        <row r="4556">
          <cell r="G4556" t="str">
            <v>LFH4908</v>
          </cell>
          <cell r="H4556" t="str">
            <v>Spin-on Hydraulic Filter</v>
          </cell>
        </row>
        <row r="4557">
          <cell r="G4557" t="str">
            <v>LFH5939</v>
          </cell>
          <cell r="H4557" t="str">
            <v>Spin-on Hydraulic Filter</v>
          </cell>
        </row>
        <row r="4558">
          <cell r="G4558" t="str">
            <v>LFH8282</v>
          </cell>
          <cell r="H4558" t="str">
            <v>Spin-on Hydraulic Filter</v>
          </cell>
        </row>
        <row r="4559">
          <cell r="G4559" t="str">
            <v>LFH95415</v>
          </cell>
          <cell r="H4559" t="str">
            <v>Spin-on Hydraulic Filter</v>
          </cell>
        </row>
        <row r="4560">
          <cell r="G4560" t="str">
            <v>LFP3200K</v>
          </cell>
          <cell r="H4560" t="str">
            <v>Coalescer Fuel Filter and Mounting Base</v>
          </cell>
        </row>
        <row r="4561">
          <cell r="G4561" t="str">
            <v>LFP3830</v>
          </cell>
          <cell r="H4561" t="str">
            <v>Spin-on Oil Filter</v>
          </cell>
        </row>
        <row r="4562">
          <cell r="G4562" t="str">
            <v>LFP5825</v>
          </cell>
          <cell r="H4562" t="str">
            <v>Spin-on Oil Filter</v>
          </cell>
        </row>
        <row r="4563">
          <cell r="G4563" t="str">
            <v>LFP8096</v>
          </cell>
          <cell r="H4563" t="str">
            <v>Spin-on Oil Filter</v>
          </cell>
        </row>
        <row r="4564">
          <cell r="G4564" t="str">
            <v>LFP8104</v>
          </cell>
          <cell r="H4564" t="str">
            <v>Spin-on Oil Filter</v>
          </cell>
        </row>
        <row r="4565">
          <cell r="G4565" t="str">
            <v>LFP8939</v>
          </cell>
          <cell r="H4565" t="str">
            <v>Spin-on Oil Filter</v>
          </cell>
        </row>
        <row r="4566">
          <cell r="G4566" t="str">
            <v>LFW22138XL</v>
          </cell>
          <cell r="H4566" t="str">
            <v>Extended Life Spin-on Coolant Filter</v>
          </cell>
        </row>
        <row r="4567">
          <cell r="G4567" t="str">
            <v>LH11002V</v>
          </cell>
          <cell r="H4567" t="str">
            <v>Industrial Cartridge Hydraulic Filter</v>
          </cell>
        </row>
        <row r="4568">
          <cell r="G4568" t="str">
            <v>LH11003V</v>
          </cell>
          <cell r="H4568" t="str">
            <v>Industrial Cartridge Hydraulic Filter</v>
          </cell>
        </row>
        <row r="4569">
          <cell r="G4569" t="str">
            <v>LH11004</v>
          </cell>
          <cell r="H4569" t="str">
            <v>Industrial Cartridge Hydraulic Filter</v>
          </cell>
        </row>
        <row r="4570">
          <cell r="G4570" t="str">
            <v>LH11013V</v>
          </cell>
          <cell r="H4570" t="str">
            <v>Industrial Cartridge Hydraulic Filter</v>
          </cell>
        </row>
        <row r="4571">
          <cell r="G4571" t="str">
            <v>LH11015V</v>
          </cell>
          <cell r="H4571" t="str">
            <v>Industrial Cartridge Hydraulic Filter</v>
          </cell>
        </row>
        <row r="4572">
          <cell r="G4572" t="str">
            <v>LH11016V</v>
          </cell>
          <cell r="H4572" t="str">
            <v>Industrial Cartridge Hydraulic Filter</v>
          </cell>
        </row>
        <row r="4573">
          <cell r="G4573" t="str">
            <v>LH11018V</v>
          </cell>
          <cell r="H4573" t="str">
            <v>Industrial Cartridge Hydraulic Filter</v>
          </cell>
        </row>
        <row r="4574">
          <cell r="G4574" t="str">
            <v>LH11019V</v>
          </cell>
          <cell r="H4574" t="str">
            <v>Industrial Cartridge Hydraulic Filter</v>
          </cell>
        </row>
        <row r="4575">
          <cell r="G4575" t="str">
            <v>LH11020V</v>
          </cell>
          <cell r="H4575" t="str">
            <v>Industrial Cartridge Hydraulic Filter</v>
          </cell>
        </row>
        <row r="4576">
          <cell r="G4576" t="str">
            <v>LH11025</v>
          </cell>
          <cell r="H4576" t="str">
            <v>Industrial Cartridge Hydraulic Filter</v>
          </cell>
        </row>
        <row r="4577">
          <cell r="G4577" t="str">
            <v>LH11026</v>
          </cell>
          <cell r="H4577" t="str">
            <v>Industrial Cartridge Hydraulic Filter</v>
          </cell>
        </row>
        <row r="4578">
          <cell r="G4578" t="str">
            <v>LH11027</v>
          </cell>
          <cell r="H4578" t="str">
            <v>Industrial Cartridge Hydraulic Filter</v>
          </cell>
        </row>
        <row r="4579">
          <cell r="G4579" t="str">
            <v>LH11029</v>
          </cell>
          <cell r="H4579" t="str">
            <v>Industrial Cartridge Hydraulic Filter</v>
          </cell>
        </row>
        <row r="4580">
          <cell r="G4580" t="str">
            <v>LH11031V</v>
          </cell>
          <cell r="H4580" t="str">
            <v>Industrial Cartridge Hydraulic Filter</v>
          </cell>
        </row>
        <row r="4581">
          <cell r="G4581" t="str">
            <v>LH11032V</v>
          </cell>
          <cell r="H4581" t="str">
            <v>Industrial Cartridge Hydraulic Filter</v>
          </cell>
        </row>
        <row r="4582">
          <cell r="G4582" t="str">
            <v>LH11035</v>
          </cell>
          <cell r="H4582" t="str">
            <v>Industrial Cartridge Hydraulic Filter</v>
          </cell>
        </row>
        <row r="4583">
          <cell r="G4583" t="str">
            <v>LH11036V</v>
          </cell>
          <cell r="H4583" t="str">
            <v>Industrial Cartridge Hydraulic Filter</v>
          </cell>
        </row>
        <row r="4584">
          <cell r="G4584" t="str">
            <v>LH11037V</v>
          </cell>
          <cell r="H4584" t="str">
            <v>Industrial Cartridge Hydraulic Filter</v>
          </cell>
        </row>
        <row r="4585">
          <cell r="G4585" t="str">
            <v>LH11038V</v>
          </cell>
          <cell r="H4585" t="str">
            <v>Industrial Cartridge Hydraulic Filter</v>
          </cell>
        </row>
        <row r="4586">
          <cell r="G4586" t="str">
            <v>LH11039V</v>
          </cell>
          <cell r="H4586" t="str">
            <v>Industrial Cartridge Hydraulic Filter</v>
          </cell>
        </row>
        <row r="4587">
          <cell r="G4587" t="str">
            <v>LH11040V</v>
          </cell>
          <cell r="H4587" t="str">
            <v>Industrial Cartridge Hydraulic Filter</v>
          </cell>
        </row>
        <row r="4588">
          <cell r="G4588" t="str">
            <v>LH11043V</v>
          </cell>
          <cell r="H4588" t="str">
            <v>Industrial Cartridge Hydraulic Filter</v>
          </cell>
        </row>
        <row r="4589">
          <cell r="G4589" t="str">
            <v>LH11044V</v>
          </cell>
          <cell r="H4589" t="str">
            <v>Industrial Cartridge Hydraulic Filter</v>
          </cell>
        </row>
        <row r="4590">
          <cell r="G4590" t="str">
            <v>LH22063</v>
          </cell>
          <cell r="H4590" t="str">
            <v>Industrial Cartridge Hydraulic Filter</v>
          </cell>
        </row>
        <row r="4591">
          <cell r="G4591" t="str">
            <v>LH22068</v>
          </cell>
          <cell r="H4591" t="str">
            <v>Cartridge Hydraulic Filter</v>
          </cell>
        </row>
        <row r="4592">
          <cell r="G4592" t="str">
            <v>LH22069</v>
          </cell>
          <cell r="H4592" t="str">
            <v>Cartridge Hydraulic Filter</v>
          </cell>
        </row>
        <row r="4593">
          <cell r="G4593" t="str">
            <v>LH22070</v>
          </cell>
          <cell r="H4593" t="str">
            <v>Cartridge Hydraulic Filter</v>
          </cell>
        </row>
        <row r="4594">
          <cell r="G4594" t="str">
            <v>LH22072</v>
          </cell>
          <cell r="H4594" t="str">
            <v>Cartridge Hydraulic Filter</v>
          </cell>
        </row>
        <row r="4595">
          <cell r="G4595" t="str">
            <v>LH22074</v>
          </cell>
          <cell r="H4595" t="str">
            <v>Cartridge Hydraulic Filter</v>
          </cell>
        </row>
        <row r="4596">
          <cell r="G4596" t="str">
            <v>LH22116</v>
          </cell>
          <cell r="H4596" t="str">
            <v>Cartridge Hydraulic Filter</v>
          </cell>
        </row>
        <row r="4597">
          <cell r="G4597" t="str">
            <v>LH22121</v>
          </cell>
          <cell r="H4597" t="str">
            <v>Cartridge Hydraulic Filter</v>
          </cell>
        </row>
        <row r="4598">
          <cell r="G4598" t="str">
            <v>LH22142</v>
          </cell>
          <cell r="H4598" t="str">
            <v>Cartridge Hydraulic Filter</v>
          </cell>
        </row>
        <row r="4599">
          <cell r="G4599" t="str">
            <v>LH22151</v>
          </cell>
          <cell r="H4599" t="str">
            <v>Cartridge Hydraulic Filter</v>
          </cell>
        </row>
        <row r="4600">
          <cell r="G4600" t="str">
            <v>LH22152</v>
          </cell>
          <cell r="H4600" t="str">
            <v>Cartridge Hydraulic Filter</v>
          </cell>
        </row>
        <row r="4601">
          <cell r="G4601" t="str">
            <v>LH3029V</v>
          </cell>
          <cell r="H4601" t="str">
            <v>Cartridge Hydraulic Filter</v>
          </cell>
        </row>
        <row r="4602">
          <cell r="G4602" t="str">
            <v>LH3035V</v>
          </cell>
          <cell r="H4602" t="str">
            <v>Cartridge Hydraulic Filter</v>
          </cell>
        </row>
        <row r="4603">
          <cell r="G4603" t="str">
            <v>LH3878</v>
          </cell>
          <cell r="H4603" t="str">
            <v>Cartridge Hydraulic Filter</v>
          </cell>
        </row>
        <row r="4604">
          <cell r="G4604" t="str">
            <v>LH4100V</v>
          </cell>
          <cell r="H4604" t="str">
            <v>Cartridge Hydraulic Filter</v>
          </cell>
        </row>
        <row r="4605">
          <cell r="G4605" t="str">
            <v>LH4178</v>
          </cell>
          <cell r="H4605" t="str">
            <v>Cartridge Hydraulic Filter</v>
          </cell>
        </row>
        <row r="4606">
          <cell r="G4606" t="str">
            <v>LH4229</v>
          </cell>
          <cell r="H4606" t="str">
            <v>Cartridge Hydraulic Filter</v>
          </cell>
        </row>
        <row r="4607">
          <cell r="G4607" t="str">
            <v>LH4230V</v>
          </cell>
          <cell r="H4607" t="str">
            <v>Cartridge Hydraulic Filter</v>
          </cell>
        </row>
        <row r="4608">
          <cell r="G4608" t="str">
            <v>LH4240</v>
          </cell>
          <cell r="H4608" t="str">
            <v>Cartridge Hydraulic Filter</v>
          </cell>
        </row>
        <row r="4609">
          <cell r="G4609" t="str">
            <v>LH4242</v>
          </cell>
          <cell r="H4609" t="str">
            <v>Cartridge Hydraulic Filter</v>
          </cell>
        </row>
        <row r="4610">
          <cell r="G4610" t="str">
            <v>LH4244</v>
          </cell>
          <cell r="H4610" t="str">
            <v>Cartridge Hydraulic Filter</v>
          </cell>
        </row>
        <row r="4611">
          <cell r="G4611" t="str">
            <v>LH4245</v>
          </cell>
          <cell r="H4611" t="str">
            <v>Cartridge Hydraulic Filter</v>
          </cell>
        </row>
        <row r="4612">
          <cell r="G4612" t="str">
            <v>LH4249</v>
          </cell>
          <cell r="H4612" t="str">
            <v>Cartridge Hydraulic Filter</v>
          </cell>
        </row>
        <row r="4613">
          <cell r="G4613" t="str">
            <v>LH4251</v>
          </cell>
          <cell r="H4613" t="str">
            <v>Cartridge Hydraulic Filter</v>
          </cell>
        </row>
        <row r="4614">
          <cell r="G4614" t="str">
            <v>LH4253</v>
          </cell>
          <cell r="H4614" t="str">
            <v>Cartridge Hydraulic Filter</v>
          </cell>
        </row>
        <row r="4615">
          <cell r="G4615" t="str">
            <v>LH4255</v>
          </cell>
          <cell r="H4615" t="str">
            <v>Cartridge Hydraulic Filter</v>
          </cell>
        </row>
        <row r="4616">
          <cell r="G4616" t="str">
            <v>LH4257</v>
          </cell>
          <cell r="H4616" t="str">
            <v>Cartridge Hydraulic Filter</v>
          </cell>
        </row>
        <row r="4617">
          <cell r="G4617" t="str">
            <v>LH4258</v>
          </cell>
          <cell r="H4617" t="str">
            <v>Cartridge Hydraulic Filter</v>
          </cell>
        </row>
        <row r="4618">
          <cell r="G4618" t="str">
            <v>LH4265</v>
          </cell>
          <cell r="H4618" t="str">
            <v>Cartridge Hydraulic Filter</v>
          </cell>
        </row>
        <row r="4619">
          <cell r="G4619" t="str">
            <v>LH4267</v>
          </cell>
          <cell r="H4619" t="str">
            <v>Cartridge Hydraulic Filter</v>
          </cell>
        </row>
        <row r="4620">
          <cell r="G4620" t="str">
            <v>LH4269</v>
          </cell>
          <cell r="H4620" t="str">
            <v>Cartridge Hydraulic Filter</v>
          </cell>
        </row>
        <row r="4621">
          <cell r="G4621" t="str">
            <v>LH4385-25</v>
          </cell>
          <cell r="H4621" t="str">
            <v>Cartridge Hydraulic Filter</v>
          </cell>
        </row>
        <row r="4622">
          <cell r="G4622" t="str">
            <v>LH4387</v>
          </cell>
          <cell r="H4622" t="str">
            <v>Cartridge Hydraulic Filter</v>
          </cell>
        </row>
        <row r="4623">
          <cell r="G4623" t="str">
            <v>LH4417</v>
          </cell>
          <cell r="H4623" t="str">
            <v>Cartridge Hydraulic Filter</v>
          </cell>
        </row>
        <row r="4624">
          <cell r="G4624" t="str">
            <v>LH4430</v>
          </cell>
          <cell r="H4624" t="str">
            <v>Cartridge Hydraulic Filter</v>
          </cell>
        </row>
        <row r="4625">
          <cell r="G4625" t="str">
            <v>LH4435</v>
          </cell>
          <cell r="H4625" t="str">
            <v>Cartridge Hydraulic Filter</v>
          </cell>
        </row>
        <row r="4626">
          <cell r="G4626" t="str">
            <v>LH4448</v>
          </cell>
          <cell r="H4626" t="str">
            <v>Cartridge Hydraulic Filter</v>
          </cell>
        </row>
        <row r="4627">
          <cell r="G4627" t="str">
            <v>LH4462</v>
          </cell>
          <cell r="H4627" t="str">
            <v>Cartridge Hydraulic Filter</v>
          </cell>
        </row>
        <row r="4628">
          <cell r="G4628" t="str">
            <v>LH4468</v>
          </cell>
          <cell r="H4628" t="str">
            <v>Cartridge Hydraulic Filter</v>
          </cell>
        </row>
        <row r="4629">
          <cell r="G4629" t="str">
            <v>LH4474</v>
          </cell>
          <cell r="H4629" t="str">
            <v>Cartridge Hydraulic Filter</v>
          </cell>
        </row>
        <row r="4630">
          <cell r="G4630" t="str">
            <v>LH4475</v>
          </cell>
          <cell r="H4630" t="str">
            <v>Cartridge Hydraulic Filter</v>
          </cell>
        </row>
        <row r="4631">
          <cell r="G4631" t="str">
            <v>LH4476</v>
          </cell>
          <cell r="H4631" t="str">
            <v>Cartridge Hydraulic Filter</v>
          </cell>
        </row>
        <row r="4632">
          <cell r="G4632" t="str">
            <v>LH4583</v>
          </cell>
          <cell r="H4632" t="str">
            <v>Cartridge Hydraulic Filter</v>
          </cell>
        </row>
        <row r="4633">
          <cell r="G4633" t="str">
            <v>LH4598</v>
          </cell>
          <cell r="H4633" t="str">
            <v>Cartridge Hydraulic Filter</v>
          </cell>
        </row>
        <row r="4634">
          <cell r="G4634" t="str">
            <v>LH4745</v>
          </cell>
          <cell r="H4634" t="str">
            <v>Cartridge Hydraulic Filter</v>
          </cell>
        </row>
        <row r="4635">
          <cell r="G4635" t="str">
            <v>LH4853</v>
          </cell>
          <cell r="H4635" t="str">
            <v>Cartridge Hydraulic Filter</v>
          </cell>
        </row>
        <row r="4636">
          <cell r="G4636" t="str">
            <v>LH4900</v>
          </cell>
          <cell r="H4636" t="str">
            <v>Cartridge Hydraulic Filter</v>
          </cell>
        </row>
        <row r="4637">
          <cell r="G4637" t="str">
            <v>LH4920</v>
          </cell>
          <cell r="H4637" t="str">
            <v>Cartridge Hydraulic Filter</v>
          </cell>
        </row>
        <row r="4638">
          <cell r="G4638" t="str">
            <v>LH4969</v>
          </cell>
          <cell r="H4638" t="str">
            <v>Cartridge Hydraulic Filter</v>
          </cell>
        </row>
        <row r="4639">
          <cell r="G4639" t="str">
            <v>LH4995</v>
          </cell>
          <cell r="H4639" t="str">
            <v>Cartridge Hydraulic Filter</v>
          </cell>
        </row>
        <row r="4640">
          <cell r="G4640" t="str">
            <v>LH4999</v>
          </cell>
          <cell r="H4640" t="str">
            <v>Cartridge Hydraulic Filter</v>
          </cell>
        </row>
        <row r="4641">
          <cell r="G4641" t="str">
            <v>LH5000</v>
          </cell>
          <cell r="H4641" t="str">
            <v>Cartridge Hydraulic Filter</v>
          </cell>
        </row>
        <row r="4642">
          <cell r="G4642" t="str">
            <v>LH5017</v>
          </cell>
          <cell r="H4642" t="str">
            <v>Cartridge Hydraulic Filter</v>
          </cell>
        </row>
        <row r="4643">
          <cell r="G4643" t="str">
            <v>LH5841</v>
          </cell>
          <cell r="H4643" t="str">
            <v>Cartridge Hydraulic Filter</v>
          </cell>
        </row>
        <row r="4644">
          <cell r="G4644" t="str">
            <v>LH5940</v>
          </cell>
          <cell r="H4644" t="str">
            <v>Cartridge Hydraulic Filter</v>
          </cell>
        </row>
        <row r="4645">
          <cell r="G4645" t="str">
            <v>LH6194</v>
          </cell>
          <cell r="H4645" t="str">
            <v>Cartridge Hydraulic Filter</v>
          </cell>
        </row>
        <row r="4646">
          <cell r="G4646" t="str">
            <v>LH6489</v>
          </cell>
          <cell r="H4646" t="str">
            <v>Cartridge Hydraulic Filter</v>
          </cell>
        </row>
        <row r="4647">
          <cell r="G4647" t="str">
            <v>LH6649V</v>
          </cell>
          <cell r="H4647" t="str">
            <v>Industrial Cartridge Hydraulic Filter</v>
          </cell>
        </row>
        <row r="4648">
          <cell r="G4648" t="str">
            <v>LH6861V</v>
          </cell>
          <cell r="H4648" t="str">
            <v>Industrial Cartridge Hydraulic Filter</v>
          </cell>
        </row>
        <row r="4649">
          <cell r="G4649" t="str">
            <v>LH6899V</v>
          </cell>
          <cell r="H4649" t="str">
            <v>Cartridge Hydraulic Filter</v>
          </cell>
        </row>
        <row r="4650">
          <cell r="G4650" t="str">
            <v>LH6979V</v>
          </cell>
          <cell r="H4650" t="str">
            <v>Cartridge Hydraulic Filter</v>
          </cell>
        </row>
        <row r="4651">
          <cell r="G4651" t="str">
            <v>LH6988V</v>
          </cell>
          <cell r="H4651" t="str">
            <v>Cartridge Hydraulic Filter</v>
          </cell>
        </row>
        <row r="4652">
          <cell r="G4652" t="str">
            <v>LH7041V</v>
          </cell>
          <cell r="H4652" t="str">
            <v>Cartridge Hydraulic Filter</v>
          </cell>
        </row>
        <row r="4653">
          <cell r="G4653" t="str">
            <v>LH7042V</v>
          </cell>
          <cell r="H4653" t="str">
            <v>Industrial Cartridge Hydraulic Filter</v>
          </cell>
        </row>
        <row r="4654">
          <cell r="G4654" t="str">
            <v>LH7083</v>
          </cell>
          <cell r="H4654" t="str">
            <v>Cartridge Hydraulic Filter</v>
          </cell>
        </row>
        <row r="4655">
          <cell r="G4655" t="str">
            <v>LH7084</v>
          </cell>
          <cell r="H4655" t="str">
            <v>Cartridge Hydraulic Filter</v>
          </cell>
        </row>
        <row r="4656">
          <cell r="G4656" t="str">
            <v>LH8336</v>
          </cell>
          <cell r="H4656" t="str">
            <v>Cartridge Hydraulic Filter</v>
          </cell>
        </row>
        <row r="4657">
          <cell r="G4657" t="str">
            <v>LH8378</v>
          </cell>
          <cell r="H4657" t="str">
            <v>Cartridge Hydraulic Filter</v>
          </cell>
        </row>
        <row r="4658">
          <cell r="G4658" t="str">
            <v>LH8519</v>
          </cell>
          <cell r="H4658" t="str">
            <v>Cartridge Hydraulic Filter</v>
          </cell>
        </row>
        <row r="4659">
          <cell r="G4659" t="str">
            <v>LH8520</v>
          </cell>
          <cell r="H4659" t="str">
            <v>Cartridge Hydraulic Filter</v>
          </cell>
        </row>
        <row r="4660">
          <cell r="G4660" t="str">
            <v>LH8521</v>
          </cell>
          <cell r="H4660" t="str">
            <v>Cartridge Hydraulic Filter</v>
          </cell>
        </row>
        <row r="4661">
          <cell r="G4661" t="str">
            <v>LH8522</v>
          </cell>
          <cell r="H4661" t="str">
            <v>Cartridge Hydraulic Filter</v>
          </cell>
        </row>
        <row r="4662">
          <cell r="G4662" t="str">
            <v>LH8523</v>
          </cell>
          <cell r="H4662" t="str">
            <v>Cartridge Hydraulic Filter</v>
          </cell>
        </row>
        <row r="4663">
          <cell r="G4663" t="str">
            <v>LH8532</v>
          </cell>
          <cell r="H4663" t="str">
            <v>Cartridge Hydraulic Filter</v>
          </cell>
        </row>
        <row r="4664">
          <cell r="G4664" t="str">
            <v>LH8540</v>
          </cell>
          <cell r="H4664" t="str">
            <v>Cartridge Hydraulic Filter</v>
          </cell>
        </row>
        <row r="4665">
          <cell r="G4665" t="str">
            <v>LH8545</v>
          </cell>
          <cell r="H4665" t="str">
            <v>Cartridge Hydraulic Filter</v>
          </cell>
        </row>
        <row r="4666">
          <cell r="G4666" t="str">
            <v>LH8546</v>
          </cell>
          <cell r="H4666" t="str">
            <v>Cartridge Hydraulic Filter</v>
          </cell>
        </row>
        <row r="4667">
          <cell r="G4667" t="str">
            <v>LH8698</v>
          </cell>
          <cell r="H4667" t="str">
            <v>Cartridge Hydraulic Filter</v>
          </cell>
        </row>
        <row r="4668">
          <cell r="G4668" t="str">
            <v>LH8699</v>
          </cell>
          <cell r="H4668" t="str">
            <v>Cartridge Hydraulic Filter</v>
          </cell>
        </row>
        <row r="4669">
          <cell r="G4669" t="str">
            <v>LH8787</v>
          </cell>
          <cell r="H4669" t="str">
            <v>Cartridge Hydraulic Filter</v>
          </cell>
        </row>
        <row r="4670">
          <cell r="G4670" t="str">
            <v>LH8883</v>
          </cell>
          <cell r="H4670" t="str">
            <v>Cartridge Hydraulic Filter</v>
          </cell>
        </row>
        <row r="4671">
          <cell r="G4671" t="str">
            <v>LH9039</v>
          </cell>
          <cell r="H4671" t="str">
            <v>Cartridge Hydraulic Filter</v>
          </cell>
        </row>
        <row r="4672">
          <cell r="G4672" t="str">
            <v>LH9227V</v>
          </cell>
          <cell r="H4672" t="str">
            <v>Cartridge Hydraulic Filter</v>
          </cell>
        </row>
        <row r="4673">
          <cell r="G4673" t="str">
            <v>LH9267</v>
          </cell>
          <cell r="H4673" t="str">
            <v>Cartridge Hydraulic Filter</v>
          </cell>
        </row>
        <row r="4674">
          <cell r="G4674" t="str">
            <v>LH9310V</v>
          </cell>
          <cell r="H4674" t="str">
            <v>Cartridge Hydraulic Filter</v>
          </cell>
        </row>
        <row r="4675">
          <cell r="G4675" t="str">
            <v>LH9359V</v>
          </cell>
          <cell r="H4675" t="str">
            <v>Cartridge Hydraulic Filter</v>
          </cell>
        </row>
        <row r="4676">
          <cell r="G4676" t="str">
            <v>LH9400</v>
          </cell>
          <cell r="H4676" t="str">
            <v>Cartridge Hydraulic Filter</v>
          </cell>
        </row>
        <row r="4677">
          <cell r="G4677" t="str">
            <v>LH9401</v>
          </cell>
          <cell r="H4677" t="str">
            <v>Cartridge Hydraulic Filter</v>
          </cell>
        </row>
        <row r="4678">
          <cell r="G4678" t="str">
            <v>LH9411</v>
          </cell>
          <cell r="H4678" t="str">
            <v>Cartridge Hydraulic Filter</v>
          </cell>
        </row>
        <row r="4679">
          <cell r="G4679" t="str">
            <v>LH9413</v>
          </cell>
          <cell r="H4679" t="str">
            <v>Cartridge Hydraulic Filter</v>
          </cell>
        </row>
        <row r="4680">
          <cell r="G4680" t="str">
            <v>LH95011</v>
          </cell>
          <cell r="H4680" t="str">
            <v>Cartridge Hydraulic Filter</v>
          </cell>
        </row>
        <row r="4681">
          <cell r="G4681" t="str">
            <v>LH95024V</v>
          </cell>
          <cell r="H4681" t="str">
            <v>Cartridge Hydraulic Filter</v>
          </cell>
        </row>
        <row r="4682">
          <cell r="G4682" t="str">
            <v>LH95027V</v>
          </cell>
          <cell r="H4682" t="str">
            <v>Cartridge Hydraulic Filter</v>
          </cell>
        </row>
        <row r="4683">
          <cell r="G4683" t="str">
            <v>LH95046V</v>
          </cell>
          <cell r="H4683" t="str">
            <v>Cartridge Hydraulic Filter</v>
          </cell>
        </row>
        <row r="4684">
          <cell r="G4684" t="str">
            <v>LH95058V</v>
          </cell>
          <cell r="H4684" t="str">
            <v>Cartridge Hydraulic Filter</v>
          </cell>
        </row>
        <row r="4685">
          <cell r="G4685" t="str">
            <v>LH95063V</v>
          </cell>
          <cell r="H4685" t="str">
            <v>Cartridge Hydraulic Filter</v>
          </cell>
        </row>
        <row r="4686">
          <cell r="G4686" t="str">
            <v>LH95115V</v>
          </cell>
          <cell r="H4686" t="str">
            <v>Cartridge Hydraulic Filter</v>
          </cell>
        </row>
        <row r="4687">
          <cell r="G4687" t="str">
            <v>LH95117V</v>
          </cell>
          <cell r="H4687" t="str">
            <v>Cartridge Hydraulic Filter</v>
          </cell>
        </row>
        <row r="4688">
          <cell r="G4688" t="str">
            <v>LH95121</v>
          </cell>
          <cell r="H4688" t="str">
            <v>Cartridge Hydraulic Filter</v>
          </cell>
        </row>
        <row r="4689">
          <cell r="G4689" t="str">
            <v>LH95121V</v>
          </cell>
          <cell r="H4689" t="str">
            <v>Cartridge Hydraulic Filter</v>
          </cell>
        </row>
        <row r="4690">
          <cell r="G4690" t="str">
            <v>LH95152</v>
          </cell>
          <cell r="H4690" t="str">
            <v>Cartridge Hydraulic Filter</v>
          </cell>
        </row>
        <row r="4691">
          <cell r="G4691" t="str">
            <v>LH95197</v>
          </cell>
          <cell r="H4691" t="str">
            <v>Cartridge Hydraulic Filter</v>
          </cell>
        </row>
        <row r="4692">
          <cell r="G4692" t="str">
            <v>LH95241</v>
          </cell>
          <cell r="H4692" t="str">
            <v>Cartridge Hydraulic Filter</v>
          </cell>
        </row>
        <row r="4693">
          <cell r="G4693" t="str">
            <v>LH95266V</v>
          </cell>
          <cell r="H4693" t="str">
            <v>Cartridge Hydraulic Filter</v>
          </cell>
        </row>
        <row r="4694">
          <cell r="G4694" t="str">
            <v>LH95271V</v>
          </cell>
          <cell r="H4694" t="str">
            <v>Cartridge Hydraulic Filter</v>
          </cell>
        </row>
        <row r="4695">
          <cell r="G4695" t="str">
            <v>LH95272V</v>
          </cell>
          <cell r="H4695" t="str">
            <v>Cartridge Hydraulic Filter</v>
          </cell>
        </row>
        <row r="4696">
          <cell r="G4696" t="str">
            <v>LH95276V</v>
          </cell>
          <cell r="H4696" t="str">
            <v>Cartridge Hydraulic Filter</v>
          </cell>
        </row>
        <row r="4697">
          <cell r="G4697" t="str">
            <v>LH95281V</v>
          </cell>
          <cell r="H4697" t="str">
            <v>Cartridge Hydraulic Filter</v>
          </cell>
        </row>
        <row r="4698">
          <cell r="G4698" t="str">
            <v>LH95314V</v>
          </cell>
          <cell r="H4698" t="str">
            <v>Cartridge Hydraulic Filter</v>
          </cell>
        </row>
        <row r="4699">
          <cell r="G4699" t="str">
            <v>LH95316V</v>
          </cell>
          <cell r="H4699" t="str">
            <v>Cartridge Hydraulic Filter</v>
          </cell>
        </row>
        <row r="4700">
          <cell r="G4700" t="str">
            <v>LH95332V</v>
          </cell>
          <cell r="H4700" t="str">
            <v>Cartridge Hydraulic Filter</v>
          </cell>
        </row>
        <row r="4701">
          <cell r="G4701" t="str">
            <v>LH95341V</v>
          </cell>
          <cell r="H4701" t="str">
            <v>Cartridge Hydraulic Filter</v>
          </cell>
        </row>
        <row r="4702">
          <cell r="G4702" t="str">
            <v>LH95394V</v>
          </cell>
          <cell r="H4702" t="str">
            <v>Cartridge Hydraulic Filter</v>
          </cell>
        </row>
        <row r="4703">
          <cell r="G4703" t="str">
            <v>LH9558</v>
          </cell>
          <cell r="H4703" t="str">
            <v>Industrial Cartridge Hydraulic Filter</v>
          </cell>
        </row>
        <row r="4704">
          <cell r="G4704" t="str">
            <v>LH95610</v>
          </cell>
          <cell r="H4704" t="str">
            <v>Cartridge Hydraulic Filter</v>
          </cell>
        </row>
        <row r="4705">
          <cell r="G4705" t="str">
            <v>LH95850</v>
          </cell>
          <cell r="H4705" t="str">
            <v>Cartridge Hydraulic Filter</v>
          </cell>
        </row>
        <row r="4706">
          <cell r="G4706" t="str">
            <v>LH95920V</v>
          </cell>
          <cell r="H4706" t="str">
            <v>Cartridge Hydraulic Filter</v>
          </cell>
        </row>
        <row r="4707">
          <cell r="G4707" t="str">
            <v>LH95996V</v>
          </cell>
          <cell r="H4707" t="str">
            <v>Cartridge Hydraulic Filter</v>
          </cell>
        </row>
        <row r="4708">
          <cell r="G4708" t="str">
            <v>LH95999V</v>
          </cell>
          <cell r="H4708" t="str">
            <v>Cartridge Hydraulic Filter</v>
          </cell>
        </row>
        <row r="4709">
          <cell r="G4709" t="str">
            <v>LK110C</v>
          </cell>
          <cell r="H4709" t="str">
            <v>Cummins Engine Maintenance Kit</v>
          </cell>
        </row>
        <row r="4710">
          <cell r="G4710" t="str">
            <v>LK153D</v>
          </cell>
          <cell r="H4710" t="str">
            <v>Detroit Diesel Engine Maintenance Kit</v>
          </cell>
        </row>
        <row r="4711">
          <cell r="G4711" t="str">
            <v>LK154D</v>
          </cell>
          <cell r="H4711" t="str">
            <v>Detroit Diesel Engine Maintenance Kit</v>
          </cell>
        </row>
        <row r="4712">
          <cell r="G4712" t="str">
            <v>LK159D</v>
          </cell>
          <cell r="H4712" t="str">
            <v>Detroit Diesel Engine Maintenance Kit</v>
          </cell>
        </row>
        <row r="4713">
          <cell r="G4713" t="str">
            <v>LK160CA</v>
          </cell>
          <cell r="H4713" t="str">
            <v>Caterpillar Engine Maintenance Kit</v>
          </cell>
        </row>
        <row r="4714">
          <cell r="G4714" t="str">
            <v>LK164D</v>
          </cell>
          <cell r="H4714" t="str">
            <v>Detroit Diesel Engine Maintenance Kit</v>
          </cell>
        </row>
        <row r="4715">
          <cell r="G4715" t="str">
            <v>LK166D</v>
          </cell>
          <cell r="H4715" t="str">
            <v>Detroit Diesel Engine Maintenance Kit</v>
          </cell>
        </row>
        <row r="4716">
          <cell r="G4716" t="str">
            <v>LK179D</v>
          </cell>
          <cell r="H4716" t="str">
            <v>Detroit Diesel Engine Maintenance Kit</v>
          </cell>
        </row>
        <row r="4717">
          <cell r="G4717" t="str">
            <v>LK181D</v>
          </cell>
          <cell r="H4717" t="str">
            <v>Detroit Diesel Engine Maintenance Kit</v>
          </cell>
        </row>
        <row r="4718">
          <cell r="G4718" t="str">
            <v>LK184D</v>
          </cell>
          <cell r="H4718" t="str">
            <v>Detroit Diesel Engine Maintenance Kit</v>
          </cell>
        </row>
        <row r="4719">
          <cell r="G4719" t="str">
            <v>LK186I</v>
          </cell>
          <cell r="H4719" t="str">
            <v>International Engine Maintenance Kit</v>
          </cell>
        </row>
        <row r="4720">
          <cell r="G4720" t="str">
            <v>LK195T</v>
          </cell>
          <cell r="H4720" t="str">
            <v>Thermo King Engine Maintenance Kit</v>
          </cell>
        </row>
        <row r="4721">
          <cell r="G4721" t="str">
            <v>LK202C</v>
          </cell>
          <cell r="H4721" t="str">
            <v>Cummins Engine Maintenance Kit</v>
          </cell>
        </row>
        <row r="4722">
          <cell r="G4722" t="str">
            <v>LK204I</v>
          </cell>
          <cell r="H4722" t="str">
            <v>International Engine Maintenance Kit</v>
          </cell>
        </row>
        <row r="4723">
          <cell r="G4723" t="str">
            <v>LK206I</v>
          </cell>
          <cell r="H4723" t="str">
            <v>International Engine Maintenance Kit</v>
          </cell>
        </row>
        <row r="4724">
          <cell r="G4724" t="str">
            <v>LK207I</v>
          </cell>
          <cell r="H4724" t="str">
            <v>International Engine Maintenance Kit</v>
          </cell>
        </row>
        <row r="4725">
          <cell r="G4725" t="str">
            <v>LK215V</v>
          </cell>
          <cell r="H4725" t="str">
            <v>Volvo Engine Maintenance Kit</v>
          </cell>
        </row>
        <row r="4726">
          <cell r="G4726" t="str">
            <v>LK219I</v>
          </cell>
          <cell r="H4726" t="str">
            <v>International Engine Maintenance Kit</v>
          </cell>
        </row>
        <row r="4727">
          <cell r="G4727" t="str">
            <v>LK224I</v>
          </cell>
          <cell r="H4727" t="str">
            <v>International Engine Maintenance Kit</v>
          </cell>
        </row>
        <row r="4728">
          <cell r="G4728" t="str">
            <v>LK229I</v>
          </cell>
          <cell r="H4728" t="str">
            <v>International Engine Maintenance Kit</v>
          </cell>
        </row>
        <row r="4729">
          <cell r="G4729" t="str">
            <v>LK238D</v>
          </cell>
          <cell r="H4729" t="str">
            <v>Detroit Diesel Engine Maintenance Kit</v>
          </cell>
        </row>
        <row r="4730">
          <cell r="G4730" t="str">
            <v>LK243C</v>
          </cell>
          <cell r="H4730" t="str">
            <v>Cummins Engine Maintenance Kit</v>
          </cell>
        </row>
        <row r="4731">
          <cell r="G4731" t="str">
            <v>LK247C</v>
          </cell>
          <cell r="H4731" t="str">
            <v>Cummins Engine Maintenance Kit</v>
          </cell>
        </row>
        <row r="4732">
          <cell r="G4732" t="str">
            <v>LK248I</v>
          </cell>
          <cell r="H4732" t="str">
            <v>International Engine Maintenance Kit</v>
          </cell>
        </row>
        <row r="4733">
          <cell r="G4733" t="str">
            <v>LK249I</v>
          </cell>
          <cell r="H4733" t="str">
            <v>International Engine Maintenance Kit</v>
          </cell>
        </row>
        <row r="4734">
          <cell r="G4734" t="str">
            <v>LK252C</v>
          </cell>
          <cell r="H4734" t="str">
            <v>Cummins Engine Maintenance Kit</v>
          </cell>
        </row>
        <row r="4735">
          <cell r="G4735" t="str">
            <v>LK255CA</v>
          </cell>
          <cell r="H4735" t="str">
            <v>Caterpillar Engine Maintenance Kit</v>
          </cell>
        </row>
        <row r="4736">
          <cell r="G4736" t="str">
            <v>LK256C</v>
          </cell>
          <cell r="H4736" t="str">
            <v>Cummins Engine Maintenance Kit</v>
          </cell>
        </row>
        <row r="4737">
          <cell r="G4737" t="str">
            <v>LK258C</v>
          </cell>
          <cell r="H4737" t="str">
            <v>Cummins Engine Maintenance Kit</v>
          </cell>
        </row>
        <row r="4738">
          <cell r="G4738" t="str">
            <v>LK263C</v>
          </cell>
          <cell r="H4738" t="str">
            <v>Cummins Engine Maintenance Kit</v>
          </cell>
        </row>
        <row r="4739">
          <cell r="G4739" t="str">
            <v>LK264C</v>
          </cell>
          <cell r="H4739" t="str">
            <v>Cummins Engine Maintenance Kit</v>
          </cell>
        </row>
        <row r="4740">
          <cell r="G4740" t="str">
            <v>LK269V</v>
          </cell>
          <cell r="H4740" t="str">
            <v>Volvo Engine Maintenance Kit</v>
          </cell>
        </row>
        <row r="4741">
          <cell r="G4741" t="str">
            <v>LK271V</v>
          </cell>
          <cell r="H4741" t="str">
            <v>Volvo Engine Maintenance Kit</v>
          </cell>
        </row>
        <row r="4742">
          <cell r="G4742" t="str">
            <v>LK274V</v>
          </cell>
          <cell r="H4742" t="str">
            <v>Volvo Engine Maintenance Kit</v>
          </cell>
        </row>
        <row r="4743">
          <cell r="G4743" t="str">
            <v>LK275D</v>
          </cell>
          <cell r="H4743" t="str">
            <v>Detroit Diesel Engine Maintenance Kit</v>
          </cell>
        </row>
        <row r="4744">
          <cell r="G4744" t="str">
            <v>LK277D</v>
          </cell>
          <cell r="H4744" t="str">
            <v>Detroit Diesel Engine Maintenance Kit</v>
          </cell>
        </row>
        <row r="4745">
          <cell r="G4745" t="str">
            <v>LK278D</v>
          </cell>
          <cell r="H4745" t="str">
            <v>Detroit Diesel Engine Maintenance Kit</v>
          </cell>
        </row>
        <row r="4746">
          <cell r="G4746" t="str">
            <v>LK280CA</v>
          </cell>
          <cell r="H4746" t="str">
            <v>Caterpillar Engine Maintenance Kit</v>
          </cell>
        </row>
        <row r="4747">
          <cell r="G4747" t="str">
            <v>LK281MB</v>
          </cell>
          <cell r="H4747" t="str">
            <v>Mercedes Benz Engine Maintenance Kit</v>
          </cell>
        </row>
        <row r="4748">
          <cell r="G4748" t="str">
            <v>LK283D</v>
          </cell>
          <cell r="H4748" t="str">
            <v>Detroit Diesel Engine Maintenance Kit</v>
          </cell>
        </row>
        <row r="4749">
          <cell r="G4749" t="str">
            <v>LK284CA</v>
          </cell>
          <cell r="H4749" t="str">
            <v>Caterpillar Engine Maintenance Kit</v>
          </cell>
        </row>
        <row r="4750">
          <cell r="G4750" t="str">
            <v>LK286DXL</v>
          </cell>
          <cell r="H4750" t="str">
            <v>Extended Life Detroit Diesel Engine Maintenance Kit</v>
          </cell>
        </row>
        <row r="4751">
          <cell r="G4751" t="str">
            <v>LK287V</v>
          </cell>
          <cell r="H4751" t="str">
            <v>Volvo Engine Maintenance Kit</v>
          </cell>
        </row>
        <row r="4752">
          <cell r="G4752" t="str">
            <v>LK290D</v>
          </cell>
          <cell r="H4752" t="str">
            <v>Detroit Diesel Engine Maintenance Kit</v>
          </cell>
        </row>
        <row r="4753">
          <cell r="G4753" t="str">
            <v>LK293M</v>
          </cell>
          <cell r="H4753" t="str">
            <v>Mack Engine Maintenance Kit</v>
          </cell>
        </row>
        <row r="4754">
          <cell r="G4754" t="str">
            <v>LK296V</v>
          </cell>
          <cell r="H4754" t="str">
            <v>Volvo Engine Maintenance Kit</v>
          </cell>
        </row>
        <row r="4755">
          <cell r="G4755" t="str">
            <v>LK299C</v>
          </cell>
          <cell r="H4755" t="str">
            <v>Cummins Engine Maintenance Kit</v>
          </cell>
        </row>
        <row r="4756">
          <cell r="G4756" t="str">
            <v>LK2M</v>
          </cell>
          <cell r="H4756" t="str">
            <v>Mack Engine Maintenance Kit</v>
          </cell>
        </row>
        <row r="4757">
          <cell r="G4757" t="str">
            <v>LK302DF</v>
          </cell>
          <cell r="H4757" t="str">
            <v>International Engine Maintenance Kit</v>
          </cell>
        </row>
        <row r="4758">
          <cell r="G4758" t="str">
            <v>LK304CA</v>
          </cell>
          <cell r="H4758" t="str">
            <v>Caterpillar Engine Maintenance Kit</v>
          </cell>
        </row>
        <row r="4759">
          <cell r="G4759" t="str">
            <v>LK305GM</v>
          </cell>
          <cell r="H4759" t="str">
            <v>General Motors Engine Maintenance Kit</v>
          </cell>
        </row>
        <row r="4760">
          <cell r="G4760" t="str">
            <v>LK307C</v>
          </cell>
          <cell r="H4760" t="str">
            <v>Cummins Engine Maintenance Kit</v>
          </cell>
        </row>
        <row r="4761">
          <cell r="G4761" t="str">
            <v>LK308DF</v>
          </cell>
          <cell r="H4761" t="str">
            <v>International Engine Maintenance Kit</v>
          </cell>
        </row>
        <row r="4762">
          <cell r="G4762" t="str">
            <v>LK309DF</v>
          </cell>
          <cell r="H4762" t="str">
            <v>International Engine Maintenance Kit</v>
          </cell>
        </row>
        <row r="4763">
          <cell r="G4763" t="str">
            <v>LK310DF</v>
          </cell>
          <cell r="H4763" t="str">
            <v>Cummins Engine Maintenance Kit</v>
          </cell>
        </row>
        <row r="4764">
          <cell r="G4764" t="str">
            <v>LK311DF</v>
          </cell>
          <cell r="H4764" t="str">
            <v>Cummins Engine Maintenance Kit</v>
          </cell>
        </row>
        <row r="4765">
          <cell r="G4765" t="str">
            <v>LK312DF</v>
          </cell>
          <cell r="H4765" t="str">
            <v>Cummins Engine Maintenance Kit</v>
          </cell>
        </row>
        <row r="4766">
          <cell r="G4766" t="str">
            <v>LK313DF</v>
          </cell>
          <cell r="H4766" t="str">
            <v>Cummins Engine Maintenance Kit</v>
          </cell>
        </row>
        <row r="4767">
          <cell r="G4767" t="str">
            <v>LK316D</v>
          </cell>
          <cell r="H4767" t="str">
            <v>Detroit Diesel Engine Maintenance Kit</v>
          </cell>
        </row>
        <row r="4768">
          <cell r="G4768" t="str">
            <v>LK318DF</v>
          </cell>
          <cell r="H4768" t="str">
            <v>International Engine Maintenance Kit</v>
          </cell>
        </row>
        <row r="4769">
          <cell r="G4769" t="str">
            <v>LK319DF</v>
          </cell>
          <cell r="H4769" t="str">
            <v>Detroit Diesel Engine Maintenance Kit</v>
          </cell>
        </row>
        <row r="4770">
          <cell r="G4770" t="str">
            <v>LK320DF</v>
          </cell>
          <cell r="H4770" t="str">
            <v>Detroit Diesel Engine Maintenance Kit</v>
          </cell>
        </row>
        <row r="4771">
          <cell r="G4771" t="str">
            <v>LK323DF</v>
          </cell>
          <cell r="H4771" t="str">
            <v>Mercedes Benz Engine Maintenance Kit</v>
          </cell>
        </row>
        <row r="4772">
          <cell r="G4772" t="str">
            <v>LK324DF</v>
          </cell>
          <cell r="H4772" t="str">
            <v>Mercedes Benz Engine Maintenance Kit</v>
          </cell>
        </row>
        <row r="4773">
          <cell r="G4773" t="str">
            <v>LK325DF</v>
          </cell>
          <cell r="H4773" t="str">
            <v>Detroit Diesel Engine Maintenance Kit</v>
          </cell>
        </row>
        <row r="4774">
          <cell r="G4774" t="str">
            <v>LK326DF</v>
          </cell>
          <cell r="H4774" t="str">
            <v>Cummins Engine Maintenance Kit</v>
          </cell>
        </row>
        <row r="4775">
          <cell r="G4775" t="str">
            <v>LK328DF</v>
          </cell>
          <cell r="H4775" t="str">
            <v>Thermo King Engine Maintenance Kit</v>
          </cell>
        </row>
        <row r="4776">
          <cell r="G4776" t="str">
            <v>LK330DF</v>
          </cell>
          <cell r="H4776" t="str">
            <v>International Engine Maintenance Kit</v>
          </cell>
        </row>
        <row r="4777">
          <cell r="G4777" t="str">
            <v>LK331DF</v>
          </cell>
          <cell r="H4777" t="str">
            <v>International Engine Maintenance Kit</v>
          </cell>
        </row>
        <row r="4778">
          <cell r="G4778" t="str">
            <v>LK332DF</v>
          </cell>
          <cell r="H4778" t="str">
            <v>Mack Engine Maintenance Kit</v>
          </cell>
        </row>
        <row r="4779">
          <cell r="G4779" t="str">
            <v>LK333DF</v>
          </cell>
          <cell r="H4779" t="str">
            <v>Mack Engine Maintenance Kit</v>
          </cell>
        </row>
        <row r="4780">
          <cell r="G4780" t="str">
            <v>LK334DF</v>
          </cell>
          <cell r="H4780" t="str">
            <v>Mack Engine Maintenance Kit</v>
          </cell>
        </row>
        <row r="4781">
          <cell r="G4781" t="str">
            <v>LK335DF</v>
          </cell>
          <cell r="H4781" t="str">
            <v>Thermo King Engine Maintenance Kit</v>
          </cell>
        </row>
        <row r="4782">
          <cell r="G4782" t="str">
            <v>LK336DF</v>
          </cell>
          <cell r="H4782" t="str">
            <v>Thermo King Engine Maintenance Kit</v>
          </cell>
        </row>
        <row r="4783">
          <cell r="G4783" t="str">
            <v>LK337DF</v>
          </cell>
          <cell r="H4783" t="str">
            <v>Cummins Engine Maintenance Kit</v>
          </cell>
        </row>
        <row r="4784">
          <cell r="G4784" t="str">
            <v>LK340C</v>
          </cell>
          <cell r="H4784" t="str">
            <v>Cummins Engine Maintenance Kit</v>
          </cell>
        </row>
        <row r="4785">
          <cell r="G4785" t="str">
            <v>LK343DXL</v>
          </cell>
          <cell r="H4785" t="str">
            <v>Extended Life Detroit Diesel Engine Maintenance Kit</v>
          </cell>
        </row>
        <row r="4786">
          <cell r="G4786" t="str">
            <v>LK346M</v>
          </cell>
          <cell r="H4786" t="str">
            <v>Mack Engine Maintenance Kit</v>
          </cell>
        </row>
        <row r="4787">
          <cell r="G4787" t="str">
            <v>LK352CA</v>
          </cell>
          <cell r="H4787" t="str">
            <v>Caterpillar Engine Maintenance Kit</v>
          </cell>
        </row>
        <row r="4788">
          <cell r="G4788" t="str">
            <v>LK353M</v>
          </cell>
          <cell r="H4788" t="str">
            <v>Mack Engine Maintenance Kit</v>
          </cell>
        </row>
        <row r="4789">
          <cell r="G4789" t="str">
            <v>LK354C</v>
          </cell>
          <cell r="H4789" t="str">
            <v>Cummins Engine Maintenance Kit</v>
          </cell>
        </row>
        <row r="4790">
          <cell r="G4790" t="str">
            <v>LK355DF</v>
          </cell>
          <cell r="H4790" t="str">
            <v>International Engine Maintenance Kit</v>
          </cell>
        </row>
        <row r="4791">
          <cell r="G4791" t="str">
            <v>LK356DF</v>
          </cell>
          <cell r="H4791" t="str">
            <v>Cummins Engine Maintenance Kit</v>
          </cell>
        </row>
        <row r="4792">
          <cell r="G4792" t="str">
            <v>LK358DF</v>
          </cell>
          <cell r="H4792" t="str">
            <v>Mercedes Benz Engine Maintenance Kit</v>
          </cell>
        </row>
        <row r="4793">
          <cell r="G4793" t="str">
            <v>LK359DF</v>
          </cell>
          <cell r="H4793" t="str">
            <v>International Engine Maintenance Kit</v>
          </cell>
        </row>
        <row r="4794">
          <cell r="G4794" t="str">
            <v>LK360DF</v>
          </cell>
          <cell r="H4794" t="str">
            <v>International Engine Maintenance Kit</v>
          </cell>
        </row>
        <row r="4795">
          <cell r="G4795" t="str">
            <v>LK361CA</v>
          </cell>
          <cell r="H4795" t="str">
            <v>Caterpillar Engine Maintenance Kit</v>
          </cell>
        </row>
        <row r="4796">
          <cell r="G4796" t="str">
            <v>LK365D</v>
          </cell>
          <cell r="H4796" t="str">
            <v>Detroit Diesel Maintenance kit</v>
          </cell>
        </row>
        <row r="4797">
          <cell r="G4797" t="str">
            <v>LK369C</v>
          </cell>
          <cell r="H4797" t="str">
            <v>Cummin Maintenance Kit</v>
          </cell>
        </row>
        <row r="4798">
          <cell r="G4798" t="str">
            <v>LK54CA</v>
          </cell>
          <cell r="H4798" t="str">
            <v>Caterpillar Engine Maintenance Kit</v>
          </cell>
        </row>
        <row r="4799">
          <cell r="G4799" t="str">
            <v>LK60C</v>
          </cell>
          <cell r="H4799" t="str">
            <v>Cummins Engine Maintenance Kit</v>
          </cell>
        </row>
        <row r="4800">
          <cell r="G4800" t="str">
            <v>LK69C</v>
          </cell>
          <cell r="H4800" t="str">
            <v>Cummins Engine Maintenance Kit</v>
          </cell>
        </row>
        <row r="4801">
          <cell r="G4801" t="str">
            <v>LK84C</v>
          </cell>
          <cell r="H4801" t="str">
            <v>Cummins Engine Maintenance Kit</v>
          </cell>
        </row>
        <row r="4802">
          <cell r="G4802" t="str">
            <v>LK96CA</v>
          </cell>
          <cell r="H4802" t="str">
            <v>Caterpillar Engine Maintenance Kit</v>
          </cell>
        </row>
        <row r="4803">
          <cell r="G4803" t="str">
            <v>LMB1002</v>
          </cell>
          <cell r="H4803" t="str">
            <v>Base for LFF8010 or LFP944F</v>
          </cell>
        </row>
        <row r="4804">
          <cell r="G4804" t="str">
            <v>LP112</v>
          </cell>
          <cell r="H4804" t="str">
            <v>Cartridge Oil Filter</v>
          </cell>
        </row>
        <row r="4805">
          <cell r="G4805" t="str">
            <v>LP1138</v>
          </cell>
          <cell r="H4805" t="str">
            <v>Cartridge Oil Filter</v>
          </cell>
        </row>
        <row r="4806">
          <cell r="G4806" t="str">
            <v>LP2214N</v>
          </cell>
          <cell r="H4806" t="str">
            <v>Cartridge Oil Filter</v>
          </cell>
        </row>
        <row r="4807">
          <cell r="G4807" t="str">
            <v>LP2218</v>
          </cell>
          <cell r="H4807" t="str">
            <v>Cartridge Oil Filter</v>
          </cell>
        </row>
        <row r="4808">
          <cell r="G4808" t="str">
            <v>LP2220X</v>
          </cell>
          <cell r="H4808" t="str">
            <v>Cartridge Oil Filter</v>
          </cell>
        </row>
        <row r="4809">
          <cell r="G4809" t="str">
            <v>LP2220Z</v>
          </cell>
          <cell r="H4809" t="str">
            <v>Cartridge Oil Filter</v>
          </cell>
        </row>
        <row r="4810">
          <cell r="G4810" t="str">
            <v>LP2266</v>
          </cell>
          <cell r="H4810" t="str">
            <v>Cartridge Oil Filter</v>
          </cell>
        </row>
        <row r="4811">
          <cell r="G4811" t="str">
            <v>LP2278</v>
          </cell>
          <cell r="H4811" t="str">
            <v>Spin-on Oil Filter</v>
          </cell>
        </row>
        <row r="4812">
          <cell r="G4812" t="str">
            <v>LP2280</v>
          </cell>
          <cell r="H4812" t="str">
            <v>Cartridge Hydraulic Filter</v>
          </cell>
        </row>
        <row r="4813">
          <cell r="G4813" t="str">
            <v>LP2328</v>
          </cell>
          <cell r="H4813" t="str">
            <v>Cartridge Oil Filter</v>
          </cell>
        </row>
        <row r="4814">
          <cell r="G4814" t="str">
            <v>LP3361</v>
          </cell>
          <cell r="H4814" t="str">
            <v>Cartridge Hydraulic Filter</v>
          </cell>
        </row>
        <row r="4815">
          <cell r="G4815" t="str">
            <v>LP3362</v>
          </cell>
          <cell r="H4815" t="str">
            <v>Cartridge Oil Filter</v>
          </cell>
        </row>
        <row r="4816">
          <cell r="G4816" t="str">
            <v>LP4083</v>
          </cell>
          <cell r="H4816" t="str">
            <v>Cartridge Centrifugal Oil Filter</v>
          </cell>
        </row>
        <row r="4817">
          <cell r="G4817" t="str">
            <v>LP4413</v>
          </cell>
          <cell r="H4817" t="str">
            <v>Cartridge Oil Filter</v>
          </cell>
        </row>
        <row r="4818">
          <cell r="G4818" t="str">
            <v>LP4429</v>
          </cell>
          <cell r="H4818" t="str">
            <v>Cartridge Hydraulic Filter</v>
          </cell>
        </row>
        <row r="4819">
          <cell r="G4819" t="str">
            <v>LP4433</v>
          </cell>
          <cell r="H4819" t="str">
            <v>Cartridge Hydraulic Filter</v>
          </cell>
        </row>
        <row r="4820">
          <cell r="G4820" t="str">
            <v>LP4452</v>
          </cell>
          <cell r="H4820" t="str">
            <v>Cartridge Oil Filter</v>
          </cell>
        </row>
        <row r="4821">
          <cell r="G4821" t="str">
            <v>LP4453</v>
          </cell>
          <cell r="H4821" t="str">
            <v>Cartridge Hydraulic Filter</v>
          </cell>
        </row>
        <row r="4822">
          <cell r="G4822" t="str">
            <v>LP4460</v>
          </cell>
          <cell r="H4822" t="str">
            <v>Cartridge Oil Filter</v>
          </cell>
        </row>
        <row r="4823">
          <cell r="G4823" t="str">
            <v>LP5043</v>
          </cell>
          <cell r="H4823" t="str">
            <v>Cartridge Oil Filter</v>
          </cell>
        </row>
        <row r="4824">
          <cell r="G4824" t="str">
            <v>LP5578</v>
          </cell>
          <cell r="H4824" t="str">
            <v>Cartridge Oil Filter</v>
          </cell>
        </row>
        <row r="4825">
          <cell r="G4825" t="str">
            <v>LP5777</v>
          </cell>
          <cell r="H4825" t="str">
            <v>Cartridge Oil Filter</v>
          </cell>
        </row>
        <row r="4826">
          <cell r="G4826" t="str">
            <v>LP5900</v>
          </cell>
          <cell r="H4826" t="str">
            <v>Cartridge Oil Filter</v>
          </cell>
        </row>
        <row r="4827">
          <cell r="G4827" t="str">
            <v>LP5903</v>
          </cell>
          <cell r="H4827" t="str">
            <v>Cartridge Oil Filter</v>
          </cell>
        </row>
        <row r="4828">
          <cell r="G4828" t="str">
            <v>LP5952</v>
          </cell>
          <cell r="H4828" t="str">
            <v>Cartridge Oil Filter</v>
          </cell>
        </row>
        <row r="4829">
          <cell r="G4829" t="str">
            <v>LP614</v>
          </cell>
          <cell r="H4829" t="str">
            <v>Cartridge Oil Filter</v>
          </cell>
        </row>
        <row r="4830">
          <cell r="G4830" t="str">
            <v>LP7518</v>
          </cell>
          <cell r="H4830" t="str">
            <v>Cartridge Oil Filter</v>
          </cell>
        </row>
        <row r="4831">
          <cell r="G4831" t="str">
            <v>LP798</v>
          </cell>
          <cell r="H4831" t="str">
            <v>Cartridge Oil Filter</v>
          </cell>
        </row>
        <row r="4832">
          <cell r="G4832" t="str">
            <v>LP8106</v>
          </cell>
          <cell r="H4832" t="str">
            <v>Cartridge Oil Filter</v>
          </cell>
        </row>
        <row r="4833">
          <cell r="G4833" t="str">
            <v>LP8107</v>
          </cell>
          <cell r="H4833" t="str">
            <v>Cartridge Oil Filter</v>
          </cell>
        </row>
        <row r="4834">
          <cell r="G4834" t="str">
            <v>LP8214</v>
          </cell>
          <cell r="H4834" t="str">
            <v>Cartridge Hydraulic Filter</v>
          </cell>
        </row>
        <row r="4835">
          <cell r="G4835" t="str">
            <v>LP8290</v>
          </cell>
          <cell r="H4835" t="str">
            <v>Cartridge Hydraulic Filter</v>
          </cell>
        </row>
        <row r="4836">
          <cell r="G4836" t="str">
            <v>LP8317</v>
          </cell>
          <cell r="H4836" t="str">
            <v>Cartridge Oil Filter</v>
          </cell>
        </row>
        <row r="4837">
          <cell r="G4837" t="str">
            <v>LP8334</v>
          </cell>
          <cell r="H4837" t="str">
            <v>Cartridge Oil Filter</v>
          </cell>
        </row>
        <row r="4838">
          <cell r="G4838" t="str">
            <v>LP8346</v>
          </cell>
          <cell r="H4838" t="str">
            <v>Cartridge Oil Filter</v>
          </cell>
        </row>
        <row r="4839">
          <cell r="G4839" t="str">
            <v>LP8347</v>
          </cell>
          <cell r="H4839" t="str">
            <v>Cartridge Oil Filter</v>
          </cell>
        </row>
        <row r="4840">
          <cell r="G4840" t="str">
            <v>LP8413</v>
          </cell>
          <cell r="H4840" t="str">
            <v>Cartridge Hydraulic Filter</v>
          </cell>
        </row>
        <row r="4841">
          <cell r="G4841" t="str">
            <v>LP8447</v>
          </cell>
          <cell r="H4841" t="str">
            <v>Cartridge Hydraulic Filter</v>
          </cell>
        </row>
        <row r="4842">
          <cell r="G4842" t="str">
            <v>LP8466</v>
          </cell>
          <cell r="H4842" t="str">
            <v>Cartridge Hydraulic Filter</v>
          </cell>
        </row>
        <row r="4843">
          <cell r="G4843" t="str">
            <v>LP8467</v>
          </cell>
          <cell r="H4843" t="str">
            <v>Cartridge Oil Filter</v>
          </cell>
        </row>
        <row r="4844">
          <cell r="G4844" t="str">
            <v>LP8472</v>
          </cell>
          <cell r="H4844" t="str">
            <v>Cartridge Hydraulic Filter</v>
          </cell>
        </row>
        <row r="4845">
          <cell r="G4845" t="str">
            <v>LP8511</v>
          </cell>
          <cell r="H4845" t="str">
            <v>Cartridge Oil Filter</v>
          </cell>
        </row>
        <row r="4846">
          <cell r="G4846" t="str">
            <v>LP8556</v>
          </cell>
          <cell r="H4846" t="str">
            <v>Cartridge Oil Filter</v>
          </cell>
        </row>
        <row r="4847">
          <cell r="G4847" t="str">
            <v>LP8723</v>
          </cell>
          <cell r="H4847" t="str">
            <v>Cartridge Oil Filter</v>
          </cell>
        </row>
        <row r="4848">
          <cell r="G4848" t="str">
            <v>LP8724</v>
          </cell>
          <cell r="H4848" t="str">
            <v>Cartridge Oil Filter</v>
          </cell>
        </row>
        <row r="4849">
          <cell r="G4849" t="str">
            <v>LP8912</v>
          </cell>
          <cell r="H4849" t="str">
            <v>Cartridge Oil Filter</v>
          </cell>
        </row>
        <row r="4850">
          <cell r="G4850" t="str">
            <v>LP8941</v>
          </cell>
          <cell r="H4850" t="str">
            <v>Cartridge Oil Filter</v>
          </cell>
        </row>
        <row r="4851">
          <cell r="G4851" t="str">
            <v>LP970-25</v>
          </cell>
          <cell r="H4851" t="str">
            <v>Cartridge Oil Filter</v>
          </cell>
        </row>
        <row r="4852">
          <cell r="G4852" t="str">
            <v>LTTK55</v>
          </cell>
          <cell r="H4852" t="str">
            <v>750C to 750CT Converstion Kit</v>
          </cell>
        </row>
        <row r="4853">
          <cell r="G4853" t="str">
            <v>LWG4864</v>
          </cell>
          <cell r="H4853" t="str">
            <v>Gasket</v>
          </cell>
        </row>
        <row r="4854">
          <cell r="G4854" t="str">
            <v>P1070</v>
          </cell>
          <cell r="H4854" t="str">
            <v>Cartridge Oil Filter</v>
          </cell>
        </row>
        <row r="4855">
          <cell r="G4855" t="str">
            <v>P128</v>
          </cell>
          <cell r="H4855" t="str">
            <v>Cartridge Oil Filter</v>
          </cell>
        </row>
        <row r="4856">
          <cell r="G4856" t="str">
            <v>P22065</v>
          </cell>
          <cell r="H4856" t="str">
            <v>Cartridge Oil Filter</v>
          </cell>
        </row>
        <row r="4857">
          <cell r="G4857" t="str">
            <v>P22066</v>
          </cell>
          <cell r="H4857" t="str">
            <v>Cartridge Oil Filter</v>
          </cell>
        </row>
        <row r="4858">
          <cell r="G4858" t="str">
            <v>P22075</v>
          </cell>
          <cell r="H4858" t="str">
            <v>Cartridge Oil Filter</v>
          </cell>
        </row>
        <row r="4859">
          <cell r="G4859" t="str">
            <v>P3723</v>
          </cell>
          <cell r="H4859" t="str">
            <v>Cartridge Oil Filter</v>
          </cell>
        </row>
        <row r="4860">
          <cell r="G4860" t="str">
            <v>P7001</v>
          </cell>
          <cell r="H4860" t="str">
            <v>Cartridge Oil Filter</v>
          </cell>
        </row>
        <row r="4861">
          <cell r="G4861" t="str">
            <v>P7012</v>
          </cell>
          <cell r="H4861" t="str">
            <v>Cartridge Oil Filter</v>
          </cell>
        </row>
        <row r="4862">
          <cell r="G4862" t="str">
            <v>P7019</v>
          </cell>
          <cell r="H4862" t="str">
            <v>Cartridge Oil Filter</v>
          </cell>
        </row>
        <row r="4863">
          <cell r="G4863" t="str">
            <v>P7029</v>
          </cell>
          <cell r="H4863" t="str">
            <v>HD Product</v>
          </cell>
        </row>
        <row r="4864">
          <cell r="G4864" t="str">
            <v>P771</v>
          </cell>
          <cell r="H4864" t="str">
            <v>Cartridge Oil Filter</v>
          </cell>
        </row>
        <row r="4865">
          <cell r="G4865" t="str">
            <v>PC101</v>
          </cell>
          <cell r="H4865" t="str">
            <v>PCV Valve</v>
          </cell>
        </row>
        <row r="4866">
          <cell r="G4866" t="str">
            <v>PC102</v>
          </cell>
          <cell r="H4866" t="str">
            <v>PCV Valve</v>
          </cell>
        </row>
        <row r="4867">
          <cell r="G4867" t="str">
            <v>PC103</v>
          </cell>
          <cell r="H4867" t="str">
            <v>PCV Valve</v>
          </cell>
        </row>
        <row r="4868">
          <cell r="G4868" t="str">
            <v>PC107</v>
          </cell>
          <cell r="H4868" t="str">
            <v>PCV Valve</v>
          </cell>
        </row>
        <row r="4869">
          <cell r="G4869" t="str">
            <v>PC108</v>
          </cell>
          <cell r="H4869" t="str">
            <v>PCV Valve</v>
          </cell>
        </row>
        <row r="4870">
          <cell r="G4870" t="str">
            <v>PC112</v>
          </cell>
          <cell r="H4870" t="str">
            <v>PCV Valve</v>
          </cell>
        </row>
        <row r="4871">
          <cell r="G4871" t="str">
            <v>PC114</v>
          </cell>
          <cell r="H4871" t="str">
            <v>PCV Valve</v>
          </cell>
        </row>
        <row r="4872">
          <cell r="G4872" t="str">
            <v>PC115</v>
          </cell>
          <cell r="H4872" t="str">
            <v>PCV Valve</v>
          </cell>
        </row>
        <row r="4873">
          <cell r="G4873" t="str">
            <v>PC116</v>
          </cell>
          <cell r="H4873" t="str">
            <v>PCV Valve</v>
          </cell>
        </row>
        <row r="4874">
          <cell r="G4874" t="str">
            <v>PC117</v>
          </cell>
          <cell r="H4874" t="str">
            <v>PCV Valve</v>
          </cell>
        </row>
        <row r="4875">
          <cell r="G4875" t="str">
            <v>PC118</v>
          </cell>
          <cell r="H4875" t="str">
            <v>PCV Valve</v>
          </cell>
        </row>
        <row r="4876">
          <cell r="G4876" t="str">
            <v>PC119</v>
          </cell>
          <cell r="H4876" t="str">
            <v>PCV Valve</v>
          </cell>
        </row>
        <row r="4877">
          <cell r="G4877" t="str">
            <v>PC122</v>
          </cell>
          <cell r="H4877" t="str">
            <v>PCV Valve</v>
          </cell>
        </row>
        <row r="4878">
          <cell r="G4878" t="str">
            <v>PC124</v>
          </cell>
          <cell r="H4878" t="str">
            <v>PCV Valve</v>
          </cell>
        </row>
        <row r="4879">
          <cell r="G4879" t="str">
            <v>PC127</v>
          </cell>
          <cell r="H4879" t="str">
            <v>PCV Valve</v>
          </cell>
        </row>
        <row r="4880">
          <cell r="G4880" t="str">
            <v>PC128</v>
          </cell>
          <cell r="H4880" t="str">
            <v>PCV Valve</v>
          </cell>
        </row>
        <row r="4881">
          <cell r="G4881" t="str">
            <v>PC129</v>
          </cell>
          <cell r="H4881" t="str">
            <v>PCV Valve</v>
          </cell>
        </row>
        <row r="4882">
          <cell r="G4882" t="str">
            <v>PC130</v>
          </cell>
          <cell r="H4882" t="str">
            <v>PCV Valve</v>
          </cell>
        </row>
        <row r="4883">
          <cell r="G4883" t="str">
            <v>PC133</v>
          </cell>
          <cell r="H4883" t="str">
            <v>PCV Valve</v>
          </cell>
        </row>
        <row r="4884">
          <cell r="G4884" t="str">
            <v>PC134</v>
          </cell>
          <cell r="H4884" t="str">
            <v>PCV Valve</v>
          </cell>
        </row>
        <row r="4885">
          <cell r="G4885" t="str">
            <v>PC137</v>
          </cell>
          <cell r="H4885" t="str">
            <v>PCV Valve</v>
          </cell>
        </row>
        <row r="4886">
          <cell r="G4886" t="str">
            <v>PC146</v>
          </cell>
          <cell r="H4886" t="str">
            <v>PCV Valve</v>
          </cell>
        </row>
        <row r="4887">
          <cell r="G4887" t="str">
            <v>PC147</v>
          </cell>
          <cell r="H4887" t="str">
            <v>PCV Valve</v>
          </cell>
        </row>
        <row r="4888">
          <cell r="G4888" t="str">
            <v>PC170</v>
          </cell>
          <cell r="H4888" t="str">
            <v>PCV Valve</v>
          </cell>
        </row>
        <row r="4889">
          <cell r="G4889" t="str">
            <v>PC171</v>
          </cell>
          <cell r="H4889" t="str">
            <v>PCV Valve</v>
          </cell>
        </row>
        <row r="4890">
          <cell r="G4890" t="str">
            <v>PC174</v>
          </cell>
          <cell r="H4890" t="str">
            <v>PCV Valve</v>
          </cell>
        </row>
        <row r="4891">
          <cell r="G4891" t="str">
            <v>PC182</v>
          </cell>
          <cell r="H4891" t="str">
            <v>PCV Valve</v>
          </cell>
        </row>
        <row r="4892">
          <cell r="G4892" t="str">
            <v>PC186</v>
          </cell>
          <cell r="H4892" t="str">
            <v>PCV Valve</v>
          </cell>
        </row>
        <row r="4893">
          <cell r="G4893" t="str">
            <v>PC189</v>
          </cell>
          <cell r="H4893" t="str">
            <v>PCV Valve</v>
          </cell>
        </row>
        <row r="4894">
          <cell r="G4894" t="str">
            <v>PC192</v>
          </cell>
          <cell r="H4894" t="str">
            <v>PCV Valve</v>
          </cell>
        </row>
        <row r="4895">
          <cell r="G4895" t="str">
            <v>PC195</v>
          </cell>
          <cell r="H4895" t="str">
            <v>PCV Valve</v>
          </cell>
        </row>
        <row r="4896">
          <cell r="G4896" t="str">
            <v>PC202</v>
          </cell>
          <cell r="H4896" t="str">
            <v>PCV Valve</v>
          </cell>
        </row>
        <row r="4897">
          <cell r="G4897" t="str">
            <v>PC212</v>
          </cell>
          <cell r="H4897" t="str">
            <v>PCV Valve</v>
          </cell>
        </row>
        <row r="4898">
          <cell r="G4898" t="str">
            <v>PC219</v>
          </cell>
          <cell r="H4898" t="str">
            <v>PCV Valve</v>
          </cell>
        </row>
        <row r="4899">
          <cell r="G4899" t="str">
            <v>PC220</v>
          </cell>
          <cell r="H4899" t="str">
            <v>PCV Valve</v>
          </cell>
        </row>
        <row r="4900">
          <cell r="G4900" t="str">
            <v>PC230</v>
          </cell>
          <cell r="H4900" t="str">
            <v>PCV Valve</v>
          </cell>
        </row>
        <row r="4901">
          <cell r="G4901" t="str">
            <v>PC233</v>
          </cell>
          <cell r="H4901" t="str">
            <v>PCV Valve</v>
          </cell>
        </row>
        <row r="4902">
          <cell r="G4902" t="str">
            <v>PC235</v>
          </cell>
          <cell r="H4902" t="str">
            <v>PCV Valve</v>
          </cell>
        </row>
        <row r="4903">
          <cell r="G4903" t="str">
            <v>PC237</v>
          </cell>
          <cell r="H4903" t="str">
            <v>PCV Valve</v>
          </cell>
        </row>
        <row r="4904">
          <cell r="G4904" t="str">
            <v>PC239</v>
          </cell>
          <cell r="H4904" t="str">
            <v>PCV Valve</v>
          </cell>
        </row>
        <row r="4905">
          <cell r="G4905" t="str">
            <v>PC264</v>
          </cell>
          <cell r="H4905" t="str">
            <v>PCV Valve</v>
          </cell>
        </row>
        <row r="4906">
          <cell r="G4906" t="str">
            <v>PC275</v>
          </cell>
          <cell r="H4906" t="str">
            <v>PCV Valve</v>
          </cell>
        </row>
        <row r="4907">
          <cell r="G4907" t="str">
            <v>PC283</v>
          </cell>
          <cell r="H4907" t="str">
            <v>PCV Valve</v>
          </cell>
        </row>
        <row r="4908">
          <cell r="G4908" t="str">
            <v>PC33</v>
          </cell>
          <cell r="H4908" t="str">
            <v>PCV Valve</v>
          </cell>
        </row>
        <row r="4909">
          <cell r="G4909" t="str">
            <v>PC336</v>
          </cell>
          <cell r="H4909" t="str">
            <v>PCV Valve</v>
          </cell>
        </row>
        <row r="4910">
          <cell r="G4910" t="str">
            <v>PC338</v>
          </cell>
          <cell r="H4910" t="str">
            <v>PCV Valve</v>
          </cell>
        </row>
        <row r="4911">
          <cell r="G4911" t="str">
            <v>PC345</v>
          </cell>
          <cell r="H4911" t="str">
            <v>PCV Valve</v>
          </cell>
        </row>
        <row r="4912">
          <cell r="G4912" t="str">
            <v>PC365</v>
          </cell>
          <cell r="H4912" t="str">
            <v>PCV Valve</v>
          </cell>
        </row>
        <row r="4913">
          <cell r="G4913" t="str">
            <v>PC384</v>
          </cell>
          <cell r="H4913" t="str">
            <v>PCV Valve</v>
          </cell>
        </row>
        <row r="4914">
          <cell r="G4914" t="str">
            <v>PC406</v>
          </cell>
          <cell r="H4914" t="str">
            <v>PCV Valve</v>
          </cell>
        </row>
        <row r="4915">
          <cell r="G4915" t="str">
            <v>PC410</v>
          </cell>
          <cell r="H4915" t="str">
            <v>PCV Valve</v>
          </cell>
        </row>
        <row r="4916">
          <cell r="G4916" t="str">
            <v>PC413</v>
          </cell>
          <cell r="H4916" t="str">
            <v>PCV Valve</v>
          </cell>
        </row>
        <row r="4917">
          <cell r="G4917" t="str">
            <v>PC429</v>
          </cell>
          <cell r="H4917" t="str">
            <v>PCV Valve</v>
          </cell>
        </row>
        <row r="4918">
          <cell r="G4918" t="str">
            <v>PC437</v>
          </cell>
          <cell r="H4918" t="str">
            <v>PCV Valve</v>
          </cell>
        </row>
        <row r="4919">
          <cell r="G4919" t="str">
            <v>PC54</v>
          </cell>
          <cell r="H4919" t="str">
            <v>PCV Valve</v>
          </cell>
        </row>
        <row r="4920">
          <cell r="G4920" t="str">
            <v>PC70</v>
          </cell>
          <cell r="H4920" t="str">
            <v>PCV Valve</v>
          </cell>
        </row>
        <row r="4921">
          <cell r="G4921" t="str">
            <v>PC73</v>
          </cell>
          <cell r="H4921" t="str">
            <v>PCV Valve</v>
          </cell>
        </row>
        <row r="4922">
          <cell r="G4922" t="str">
            <v>PC741</v>
          </cell>
          <cell r="H4922" t="str">
            <v>PCV Valve</v>
          </cell>
        </row>
        <row r="4923">
          <cell r="G4923" t="str">
            <v>PC75</v>
          </cell>
          <cell r="H4923" t="str">
            <v>PCV Valve</v>
          </cell>
        </row>
        <row r="4924">
          <cell r="G4924" t="str">
            <v>PC754</v>
          </cell>
          <cell r="H4924" t="str">
            <v>PCV Valve</v>
          </cell>
        </row>
        <row r="4925">
          <cell r="G4925" t="str">
            <v>PC79</v>
          </cell>
          <cell r="H4925" t="str">
            <v>PCV Valve</v>
          </cell>
        </row>
        <row r="4926">
          <cell r="G4926" t="str">
            <v>PC793</v>
          </cell>
          <cell r="H4926" t="str">
            <v>PCV Valve</v>
          </cell>
        </row>
        <row r="4927">
          <cell r="G4927" t="str">
            <v>PC80</v>
          </cell>
          <cell r="H4927" t="str">
            <v>PCV Valve</v>
          </cell>
        </row>
        <row r="4928">
          <cell r="G4928" t="str">
            <v>PC81</v>
          </cell>
          <cell r="H4928" t="str">
            <v>PCV Valve</v>
          </cell>
        </row>
        <row r="4929">
          <cell r="G4929" t="str">
            <v>PC82</v>
          </cell>
          <cell r="H4929" t="str">
            <v>PCV Valve</v>
          </cell>
        </row>
        <row r="4930">
          <cell r="G4930" t="str">
            <v>PC83</v>
          </cell>
          <cell r="H4930" t="str">
            <v>PCV Valve</v>
          </cell>
        </row>
        <row r="4931">
          <cell r="G4931" t="str">
            <v>PC85</v>
          </cell>
          <cell r="H4931" t="str">
            <v>PCV Valve</v>
          </cell>
        </row>
        <row r="4932">
          <cell r="G4932" t="str">
            <v>PC86</v>
          </cell>
          <cell r="H4932" t="str">
            <v>PCV Valve</v>
          </cell>
        </row>
        <row r="4933">
          <cell r="G4933" t="str">
            <v>PC89</v>
          </cell>
          <cell r="H4933" t="str">
            <v>PCV Valve</v>
          </cell>
        </row>
        <row r="4934">
          <cell r="G4934" t="str">
            <v>PC90</v>
          </cell>
          <cell r="H4934" t="str">
            <v>PCV Valve</v>
          </cell>
        </row>
        <row r="4935">
          <cell r="G4935" t="str">
            <v>PC91</v>
          </cell>
          <cell r="H4935" t="str">
            <v>PCV Valve</v>
          </cell>
        </row>
        <row r="4936">
          <cell r="G4936" t="str">
            <v>PC93</v>
          </cell>
          <cell r="H4936" t="str">
            <v>PCV Valve</v>
          </cell>
        </row>
        <row r="4937">
          <cell r="G4937" t="str">
            <v>PC94</v>
          </cell>
          <cell r="H4937" t="str">
            <v>PCV Valve</v>
          </cell>
        </row>
        <row r="4938">
          <cell r="G4938" t="str">
            <v>PC97</v>
          </cell>
          <cell r="H4938" t="str">
            <v>PCV Valve</v>
          </cell>
        </row>
        <row r="4939">
          <cell r="G4939" t="str">
            <v>PH2874</v>
          </cell>
          <cell r="H4939" t="str">
            <v>Spin-on Oil Filter</v>
          </cell>
        </row>
        <row r="4940">
          <cell r="G4940" t="str">
            <v>PH7024</v>
          </cell>
          <cell r="H4940" t="str">
            <v>Spin-on Oil Filter</v>
          </cell>
        </row>
        <row r="4941">
          <cell r="G4941" t="str">
            <v>T110</v>
          </cell>
          <cell r="H4941" t="str">
            <v>Transmission Filter Kit</v>
          </cell>
        </row>
        <row r="4942">
          <cell r="G4942" t="str">
            <v>T124</v>
          </cell>
          <cell r="H4942" t="str">
            <v>Transmission Filter Kit</v>
          </cell>
        </row>
        <row r="4943">
          <cell r="G4943" t="str">
            <v>T138</v>
          </cell>
          <cell r="H4943" t="str">
            <v>Transmission Filter Kit</v>
          </cell>
        </row>
        <row r="4944">
          <cell r="G4944" t="str">
            <v>T141</v>
          </cell>
          <cell r="H4944" t="str">
            <v>Transmission Filter Kit</v>
          </cell>
        </row>
        <row r="4945">
          <cell r="G4945" t="str">
            <v>T157</v>
          </cell>
          <cell r="H4945" t="str">
            <v>LUBER-FINER TRANSMISSION FLTR</v>
          </cell>
        </row>
        <row r="4946">
          <cell r="G4946" t="str">
            <v>T159</v>
          </cell>
          <cell r="H4946" t="str">
            <v>LUBER-FINER TRANSMISSION FLTR</v>
          </cell>
        </row>
        <row r="4947">
          <cell r="G4947" t="str">
            <v>T162</v>
          </cell>
          <cell r="H4947" t="str">
            <v>LUBER-FINER TRANSMISSION FLTR</v>
          </cell>
        </row>
        <row r="4948">
          <cell r="G4948" t="str">
            <v>T170</v>
          </cell>
          <cell r="H4948" t="str">
            <v>LUBER-FINER TRANSMISSION FLTR</v>
          </cell>
        </row>
        <row r="4949">
          <cell r="G4949" t="str">
            <v>T175</v>
          </cell>
          <cell r="H4949" t="str">
            <v>LUBER-FINER TRANSMISSION FLTR</v>
          </cell>
        </row>
        <row r="4950">
          <cell r="G4950" t="str">
            <v>T185</v>
          </cell>
          <cell r="H4950" t="str">
            <v>LUBER-FINER TRANSMISSION FLTR</v>
          </cell>
        </row>
        <row r="4951">
          <cell r="G4951" t="str">
            <v>T186</v>
          </cell>
          <cell r="H4951" t="str">
            <v>LUBER-FINER TRANSMISSION FLTR</v>
          </cell>
        </row>
        <row r="4952">
          <cell r="G4952" t="str">
            <v>T188</v>
          </cell>
          <cell r="H4952" t="str">
            <v>LUBER-FINER TRANSMISSION FLTR</v>
          </cell>
        </row>
        <row r="4953">
          <cell r="G4953" t="str">
            <v>T236</v>
          </cell>
          <cell r="H4953" t="str">
            <v>LUBER-FINER TRANSMISSION FLT</v>
          </cell>
        </row>
        <row r="4954">
          <cell r="G4954" t="str">
            <v>T414</v>
          </cell>
          <cell r="H4954" t="str">
            <v>LUBER-FINER TRANSMISSION FLTR</v>
          </cell>
        </row>
        <row r="4955">
          <cell r="G4955" t="str">
            <v>T529</v>
          </cell>
          <cell r="H4955" t="str">
            <v>LUBER-FINER TRANSMISSION FLTR</v>
          </cell>
        </row>
        <row r="4956">
          <cell r="G4956" t="str">
            <v>T628</v>
          </cell>
          <cell r="H4956" t="str">
            <v>LUBER-FINER TRANSMISSION FLTR</v>
          </cell>
        </row>
        <row r="4957">
          <cell r="G4957" t="str">
            <v>T630</v>
          </cell>
          <cell r="H4957" t="str">
            <v>LUBER-FINER TRANSMISSION FLTR</v>
          </cell>
        </row>
        <row r="4958">
          <cell r="G4958" t="str">
            <v>T655</v>
          </cell>
          <cell r="H4958" t="str">
            <v>Transmission Filter Kit</v>
          </cell>
        </row>
        <row r="4959">
          <cell r="G4959" t="str">
            <v>T690</v>
          </cell>
          <cell r="H4959" t="str">
            <v>Transmission Filter Kit</v>
          </cell>
        </row>
        <row r="4960">
          <cell r="G4960" t="str">
            <v>T716</v>
          </cell>
          <cell r="H4960" t="str">
            <v>LUBER-FINER TRANSMISSION FLTR</v>
          </cell>
        </row>
        <row r="4961">
          <cell r="G4961" t="str">
            <v>T719</v>
          </cell>
          <cell r="H4961" t="str">
            <v>Transmission Filter</v>
          </cell>
        </row>
        <row r="4962">
          <cell r="G4962" t="str">
            <v>T722</v>
          </cell>
          <cell r="H4962" t="str">
            <v>Transmission Filter Kit</v>
          </cell>
        </row>
        <row r="4963">
          <cell r="G4963" t="str">
            <v>T726</v>
          </cell>
          <cell r="H4963" t="str">
            <v>Transmission Filter Kit</v>
          </cell>
        </row>
        <row r="4964">
          <cell r="G4964" t="str">
            <v>T738</v>
          </cell>
          <cell r="H4964" t="str">
            <v>Transmission Filter Kit</v>
          </cell>
        </row>
        <row r="4965">
          <cell r="G4965" t="str">
            <v>T877</v>
          </cell>
          <cell r="H4965" t="str">
            <v>Transmission Filter Kit</v>
          </cell>
        </row>
        <row r="4966">
          <cell r="G4966" t="str">
            <v>AF3957</v>
          </cell>
          <cell r="H4966" t="str">
            <v>Rigid Panel Air Filter</v>
          </cell>
        </row>
        <row r="4967">
          <cell r="G4967" t="str">
            <v>AF56</v>
          </cell>
          <cell r="H4967" t="str">
            <v>Air Filter</v>
          </cell>
        </row>
        <row r="4968">
          <cell r="G4968" t="str">
            <v>AF5983</v>
          </cell>
          <cell r="H4968" t="str">
            <v>Air Filter</v>
          </cell>
        </row>
        <row r="4969">
          <cell r="G4969" t="str">
            <v>AF661</v>
          </cell>
          <cell r="H4969" t="str">
            <v>Oval Air Filter</v>
          </cell>
        </row>
        <row r="4970">
          <cell r="G4970" t="str">
            <v>AF7855</v>
          </cell>
          <cell r="H4970" t="str">
            <v>Air Filter</v>
          </cell>
        </row>
        <row r="4971">
          <cell r="G4971" t="str">
            <v>AFB8406</v>
          </cell>
          <cell r="H4971" t="str">
            <v>Breather Filter</v>
          </cell>
        </row>
        <row r="4972">
          <cell r="G4972" t="str">
            <v>CAF7705</v>
          </cell>
          <cell r="H4972" t="str">
            <v>Cabin Air Filter (Carbon)</v>
          </cell>
        </row>
        <row r="4973">
          <cell r="G4973" t="str">
            <v>CAF7746</v>
          </cell>
          <cell r="H4973" t="str">
            <v>Cabin Air Filter (Carbon)</v>
          </cell>
        </row>
        <row r="4974">
          <cell r="G4974" t="str">
            <v>CAF7750</v>
          </cell>
          <cell r="H4974" t="str">
            <v>Cabin Air Filter (Carbon)</v>
          </cell>
        </row>
        <row r="4975">
          <cell r="G4975" t="str">
            <v>FW3C</v>
          </cell>
          <cell r="H4975" t="str">
            <v>End Cap Filter Removal Wrench 3" 14 flute filter.</v>
          </cell>
        </row>
        <row r="4976">
          <cell r="G4976" t="str">
            <v>G2947</v>
          </cell>
          <cell r="H4976" t="str">
            <v>In-Line Fuel Filter</v>
          </cell>
        </row>
        <row r="4977">
          <cell r="G4977" t="str">
            <v>G497</v>
          </cell>
          <cell r="H4977" t="str">
            <v>In-Line Fuel Filter</v>
          </cell>
        </row>
        <row r="4978">
          <cell r="G4978" t="str">
            <v>L6286F</v>
          </cell>
          <cell r="H4978" t="str">
            <v>Box Type Fuel Filter</v>
          </cell>
        </row>
        <row r="4979">
          <cell r="G4979" t="str">
            <v>LAF1730</v>
          </cell>
          <cell r="H4979" t="str">
            <v>HD Round Air Filter with Attached Lid</v>
          </cell>
        </row>
        <row r="4980">
          <cell r="G4980" t="str">
            <v>LAF1807</v>
          </cell>
          <cell r="H4980" t="str">
            <v>Metal-End Air Filter with Closed Top End Cap</v>
          </cell>
        </row>
        <row r="4981">
          <cell r="G4981" t="str">
            <v>LAF1969</v>
          </cell>
          <cell r="H4981" t="str">
            <v>Round Air Filter</v>
          </cell>
        </row>
        <row r="4982">
          <cell r="G4982" t="str">
            <v>LAF2738</v>
          </cell>
          <cell r="H4982" t="str">
            <v>HD Metal-End Inner Air Filter</v>
          </cell>
        </row>
        <row r="4983">
          <cell r="G4983" t="str">
            <v>LAF4205</v>
          </cell>
          <cell r="H4983" t="str">
            <v>Round Air Filter</v>
          </cell>
        </row>
        <row r="4984">
          <cell r="G4984" t="str">
            <v>LAF5801</v>
          </cell>
          <cell r="H4984" t="str">
            <v>Flexible Panel Air Filter</v>
          </cell>
        </row>
        <row r="4985">
          <cell r="G4985" t="str">
            <v>LAF8310</v>
          </cell>
          <cell r="H4985" t="str">
            <v xml:space="preserve">Round Plastisol Air Filter </v>
          </cell>
        </row>
        <row r="4986">
          <cell r="G4986" t="str">
            <v>LAF8646</v>
          </cell>
          <cell r="H4986" t="str">
            <v>Finned Vane Air Filter</v>
          </cell>
        </row>
        <row r="4987">
          <cell r="G4987" t="str">
            <v>LH11014V</v>
          </cell>
          <cell r="H4987" t="str">
            <v>Industrial Cartridge Hydraulic Filter</v>
          </cell>
        </row>
        <row r="4988">
          <cell r="G4988" t="str">
            <v>LK78D</v>
          </cell>
          <cell r="H4988" t="str">
            <v>Detroit Diesel Engine Maintenance Kit</v>
          </cell>
        </row>
        <row r="4989">
          <cell r="G4989" t="str">
            <v>P7011</v>
          </cell>
          <cell r="H4989" t="str">
            <v>Cartridge Oil Filter</v>
          </cell>
        </row>
        <row r="4990">
          <cell r="G4990" t="str">
            <v>AF105A</v>
          </cell>
          <cell r="H4990" t="str">
            <v>Round Air Filter</v>
          </cell>
        </row>
        <row r="4991">
          <cell r="G4991" t="str">
            <v>AF641</v>
          </cell>
          <cell r="H4991" t="str">
            <v>Air Filter</v>
          </cell>
        </row>
        <row r="4992">
          <cell r="G4992" t="str">
            <v>AF665</v>
          </cell>
          <cell r="H4992" t="str">
            <v>Oval Air Filter</v>
          </cell>
        </row>
        <row r="4993">
          <cell r="G4993" t="str">
            <v>AF736</v>
          </cell>
          <cell r="H4993" t="str">
            <v>Round Air Filter</v>
          </cell>
        </row>
        <row r="4994">
          <cell r="G4994" t="str">
            <v>CAF7732</v>
          </cell>
          <cell r="H4994" t="str">
            <v>Cabin Air Filter (Carbon)</v>
          </cell>
        </row>
        <row r="4995">
          <cell r="G4995" t="str">
            <v>G6303</v>
          </cell>
          <cell r="H4995" t="str">
            <v>In-Line Fuel Filter</v>
          </cell>
        </row>
        <row r="4996">
          <cell r="G4996" t="str">
            <v>G6369</v>
          </cell>
          <cell r="H4996" t="str">
            <v>In-Line Fuel Filter</v>
          </cell>
        </row>
        <row r="4997">
          <cell r="G4997" t="str">
            <v>G6563</v>
          </cell>
          <cell r="H4997" t="str">
            <v>In-Line Fuel Filter</v>
          </cell>
        </row>
        <row r="4998">
          <cell r="G4998" t="str">
            <v>G6582</v>
          </cell>
          <cell r="H4998" t="str">
            <v>In-Line Fuel Filter</v>
          </cell>
        </row>
        <row r="4999">
          <cell r="G4999" t="str">
            <v>LAF1886</v>
          </cell>
          <cell r="H4999" t="str">
            <v xml:space="preserve">HD Round Air Filter </v>
          </cell>
        </row>
        <row r="5000">
          <cell r="G5000" t="str">
            <v>LAF1937</v>
          </cell>
          <cell r="H5000" t="str">
            <v>Finned Vane Air Filter</v>
          </cell>
        </row>
        <row r="5001">
          <cell r="G5001" t="str">
            <v>LAF4317</v>
          </cell>
          <cell r="H5001" t="str">
            <v>HD Metal-End Inner Air Filter</v>
          </cell>
        </row>
        <row r="5002">
          <cell r="G5002" t="str">
            <v>LAF4361</v>
          </cell>
          <cell r="H5002" t="str">
            <v>Round Air Filter</v>
          </cell>
        </row>
        <row r="5003">
          <cell r="G5003" t="str">
            <v>LAF8605</v>
          </cell>
          <cell r="H5003" t="str">
            <v>HD Metal-End Air Filter-Inner</v>
          </cell>
        </row>
        <row r="5004">
          <cell r="G5004" t="str">
            <v>LK285C</v>
          </cell>
          <cell r="H5004" t="str">
            <v>Cummins Engine Maintenance Kit</v>
          </cell>
        </row>
        <row r="5005">
          <cell r="G5005" t="str">
            <v>LK315CA</v>
          </cell>
          <cell r="H5005" t="str">
            <v>Caterpillar Engine Maintenance Kit</v>
          </cell>
        </row>
        <row r="5006">
          <cell r="G5006" t="str">
            <v>LP212</v>
          </cell>
          <cell r="H5006" t="str">
            <v>Cartridge Oil Filter</v>
          </cell>
        </row>
        <row r="5007">
          <cell r="G5007" t="str">
            <v>AF251</v>
          </cell>
          <cell r="H5007" t="str">
            <v>Flexible Panel Air Filter</v>
          </cell>
        </row>
        <row r="5008">
          <cell r="G5008" t="str">
            <v>AF40</v>
          </cell>
          <cell r="H5008" t="str">
            <v>Round Air Filter</v>
          </cell>
        </row>
        <row r="5009">
          <cell r="G5009" t="str">
            <v>AF412</v>
          </cell>
          <cell r="H5009" t="str">
            <v>Round Air Filter</v>
          </cell>
        </row>
        <row r="5010">
          <cell r="G5010" t="str">
            <v>AF826</v>
          </cell>
          <cell r="H5010" t="str">
            <v>Round Air Filter</v>
          </cell>
        </row>
        <row r="5011">
          <cell r="G5011" t="str">
            <v>CAF24008XL</v>
          </cell>
          <cell r="H5011" t="str">
            <v>Cabin Air Filter (Carbon) Extreme Clean</v>
          </cell>
        </row>
        <row r="5012">
          <cell r="G5012" t="str">
            <v>G2985</v>
          </cell>
          <cell r="H5012" t="str">
            <v>In-Line Fuel Filter</v>
          </cell>
        </row>
        <row r="5013">
          <cell r="G5013" t="str">
            <v>G341</v>
          </cell>
          <cell r="H5013" t="str">
            <v>In-Line Fuel Filter</v>
          </cell>
        </row>
        <row r="5014">
          <cell r="G5014" t="str">
            <v>G562</v>
          </cell>
          <cell r="H5014" t="str">
            <v>In-Line Fuel Filter</v>
          </cell>
        </row>
        <row r="5015">
          <cell r="G5015" t="str">
            <v>G6371</v>
          </cell>
          <cell r="H5015" t="str">
            <v>In-Line Fuel Filter</v>
          </cell>
        </row>
        <row r="5016">
          <cell r="G5016" t="str">
            <v>L93FP</v>
          </cell>
          <cell r="H5016" t="str">
            <v>Cartridge Fuel Filter</v>
          </cell>
        </row>
        <row r="5017">
          <cell r="G5017" t="str">
            <v>LAF1949</v>
          </cell>
          <cell r="H5017" t="str">
            <v>Round Inner Air Filter</v>
          </cell>
        </row>
        <row r="5018">
          <cell r="G5018" t="str">
            <v>LAF5082</v>
          </cell>
          <cell r="H5018" t="str">
            <v>Round Inner Air Filter with Flanged Endcap</v>
          </cell>
        </row>
        <row r="5019">
          <cell r="G5019" t="str">
            <v>LAF8516</v>
          </cell>
          <cell r="H5019" t="str">
            <v>HD Metal-End Air Filter-Inner</v>
          </cell>
        </row>
        <row r="5020">
          <cell r="G5020" t="str">
            <v>LFP2274</v>
          </cell>
          <cell r="H5020" t="str">
            <v>Spin-on Oil Filter</v>
          </cell>
        </row>
        <row r="5021">
          <cell r="G5021" t="str">
            <v>LGK2</v>
          </cell>
          <cell r="H5021" t="str">
            <v>Service Gasket Kit for A922 Spin-on Conversion Kit</v>
          </cell>
        </row>
        <row r="5022">
          <cell r="G5022" t="str">
            <v>LH5739</v>
          </cell>
          <cell r="H5022" t="str">
            <v>Cartridge Hydraulic Filter</v>
          </cell>
        </row>
        <row r="5023">
          <cell r="G5023" t="str">
            <v>LH95107V</v>
          </cell>
          <cell r="H5023" t="str">
            <v>Cartridge Hydraulic Filter</v>
          </cell>
        </row>
        <row r="5024">
          <cell r="G5024" t="str">
            <v>P49</v>
          </cell>
          <cell r="H5024" t="str">
            <v>Cartridge Oil Filter</v>
          </cell>
        </row>
        <row r="5025">
          <cell r="G5025" t="str">
            <v>PC236</v>
          </cell>
          <cell r="H5025" t="str">
            <v>PCV Valve</v>
          </cell>
        </row>
        <row r="5026">
          <cell r="G5026" t="str">
            <v>AF7824</v>
          </cell>
          <cell r="H5026" t="str">
            <v>Rigid Panel Air Filter</v>
          </cell>
        </row>
        <row r="5027">
          <cell r="G5027" t="str">
            <v>LAF8389</v>
          </cell>
          <cell r="H5027" t="str">
            <v>HD Metal-End Air Filter</v>
          </cell>
        </row>
        <row r="5028">
          <cell r="G5028" t="str">
            <v>LFH5083</v>
          </cell>
          <cell r="H5028" t="str">
            <v>Spin-on Hydraulic Filter</v>
          </cell>
        </row>
        <row r="5029">
          <cell r="G5029" t="str">
            <v>LK257C</v>
          </cell>
          <cell r="H5029" t="str">
            <v>Cummins Engine Maintenance Kit</v>
          </cell>
        </row>
        <row r="5030">
          <cell r="G5030" t="str">
            <v>LK295C</v>
          </cell>
          <cell r="H5030" t="str">
            <v>Cummins Engine Maintenance Kit</v>
          </cell>
        </row>
        <row r="5031">
          <cell r="G5031" t="str">
            <v>LK306C</v>
          </cell>
          <cell r="H5031" t="str">
            <v>Cummins Engine Maintenance Kit</v>
          </cell>
        </row>
        <row r="5032">
          <cell r="G5032" t="str">
            <v>AF367</v>
          </cell>
          <cell r="H5032" t="str">
            <v>Special Configuration Air Filter</v>
          </cell>
        </row>
        <row r="5033">
          <cell r="G5033" t="str">
            <v>AF383</v>
          </cell>
          <cell r="H5033" t="str">
            <v>Flexible Panel Air Filter</v>
          </cell>
        </row>
        <row r="5034">
          <cell r="G5034" t="str">
            <v>AF633</v>
          </cell>
          <cell r="H5034" t="str">
            <v>Round Air Filter</v>
          </cell>
        </row>
        <row r="5035">
          <cell r="G5035" t="str">
            <v>AF9007</v>
          </cell>
          <cell r="H5035" t="str">
            <v>Flexible Panel Air Filter</v>
          </cell>
        </row>
        <row r="5036">
          <cell r="G5036" t="str">
            <v>LAF8526</v>
          </cell>
          <cell r="H5036" t="str">
            <v>HD Metal-End Air Filter-Inner</v>
          </cell>
        </row>
        <row r="5037">
          <cell r="G5037" t="str">
            <v>AF7861</v>
          </cell>
          <cell r="H5037" t="str">
            <v>Rigid Panel Air Filter</v>
          </cell>
        </row>
        <row r="5038">
          <cell r="G5038" t="str">
            <v>AF7949</v>
          </cell>
          <cell r="H5038" t="str">
            <v>Flexible Panel Air Filter</v>
          </cell>
        </row>
        <row r="5039">
          <cell r="G5039" t="str">
            <v>CAF24014XL</v>
          </cell>
          <cell r="H5039" t="str">
            <v>Cabin Air Filter (Carbon) Extreme Clean</v>
          </cell>
        </row>
        <row r="5040">
          <cell r="G5040" t="str">
            <v>CAF24017XL</v>
          </cell>
          <cell r="H5040" t="str">
            <v>Cabin Air Filter (Carbon) Extreme Clean</v>
          </cell>
        </row>
        <row r="5041">
          <cell r="G5041" t="str">
            <v>L8852F</v>
          </cell>
          <cell r="H5041" t="str">
            <v>Cartridge Fuel Filter</v>
          </cell>
        </row>
        <row r="5042">
          <cell r="G5042" t="str">
            <v>LAF5800</v>
          </cell>
          <cell r="H5042" t="str">
            <v>Oval Air Filter</v>
          </cell>
        </row>
        <row r="5043">
          <cell r="G5043" t="str">
            <v>LAF8203</v>
          </cell>
          <cell r="H5043" t="str">
            <v>Round Plastisol Air Filter</v>
          </cell>
        </row>
        <row r="5044">
          <cell r="G5044" t="str">
            <v>LAF8651</v>
          </cell>
          <cell r="H5044" t="str">
            <v>HD Metal-End Air Filter</v>
          </cell>
        </row>
        <row r="5045">
          <cell r="G5045" t="str">
            <v>LFF3502</v>
          </cell>
          <cell r="H5045" t="str">
            <v>Spin-on Fuel Filter</v>
          </cell>
        </row>
        <row r="5046">
          <cell r="G5046" t="str">
            <v>LAF1892</v>
          </cell>
          <cell r="H5046" t="str">
            <v>Cone Shaped Conical Air Filter</v>
          </cell>
        </row>
        <row r="5047">
          <cell r="G5047" t="str">
            <v>LFH4223XL</v>
          </cell>
          <cell r="H5047" t="str">
            <v>Extended Life Hydraulic Spin-on Filter</v>
          </cell>
        </row>
        <row r="5048">
          <cell r="G5048" t="str">
            <v>LK339C</v>
          </cell>
          <cell r="H5048" t="str">
            <v>Cummins Engine Maintenance Kit</v>
          </cell>
        </row>
        <row r="5049">
          <cell r="G5049" t="str">
            <v>AF7978</v>
          </cell>
          <cell r="H5049" t="str">
            <v>Rigid Panel Air Filter</v>
          </cell>
        </row>
        <row r="5050">
          <cell r="G5050" t="str">
            <v>G342</v>
          </cell>
          <cell r="H5050" t="str">
            <v>In-Line Fuel Filter</v>
          </cell>
        </row>
        <row r="5051">
          <cell r="G5051" t="str">
            <v>G6307</v>
          </cell>
          <cell r="H5051" t="str">
            <v>In-Line Fuel Filter</v>
          </cell>
        </row>
        <row r="5052">
          <cell r="G5052" t="str">
            <v>G6514</v>
          </cell>
          <cell r="H5052" t="str">
            <v>In-Line Fuel Filter</v>
          </cell>
        </row>
        <row r="5053">
          <cell r="G5053" t="str">
            <v>AF289</v>
          </cell>
          <cell r="H5053" t="str">
            <v>Air Filter</v>
          </cell>
        </row>
        <row r="5054">
          <cell r="G5054" t="str">
            <v>PC435</v>
          </cell>
          <cell r="H5054" t="str">
            <v>PCV Valve</v>
          </cell>
        </row>
        <row r="5055">
          <cell r="G5055" t="str">
            <v>AF88</v>
          </cell>
          <cell r="H5055" t="str">
            <v>Breather Filter</v>
          </cell>
        </row>
        <row r="5056">
          <cell r="G5056" t="str">
            <v>G6333</v>
          </cell>
          <cell r="H5056" t="str">
            <v>In-Line Fuel Filter</v>
          </cell>
        </row>
        <row r="5057">
          <cell r="G5057" t="str">
            <v>L50F</v>
          </cell>
          <cell r="H5057" t="str">
            <v>Cartridge Fuel Filter</v>
          </cell>
        </row>
        <row r="5058">
          <cell r="G5058" t="str">
            <v>LFF6962</v>
          </cell>
          <cell r="H5058" t="str">
            <v>Spin-on Fuel Water Separator Filter</v>
          </cell>
        </row>
        <row r="5059">
          <cell r="G5059" t="str">
            <v>AF361</v>
          </cell>
          <cell r="H5059" t="str">
            <v>Round Panel Air Filter</v>
          </cell>
        </row>
        <row r="5060">
          <cell r="G5060" t="str">
            <v>LH4996</v>
          </cell>
          <cell r="H5060" t="str">
            <v>Cartridge Hydraulic Filter</v>
          </cell>
        </row>
        <row r="5061">
          <cell r="G5061" t="str">
            <v>G2954</v>
          </cell>
          <cell r="H5061" t="str">
            <v>In-Line Fuel Filter</v>
          </cell>
        </row>
        <row r="5062">
          <cell r="G5062" t="str">
            <v>AF89</v>
          </cell>
          <cell r="H5062" t="str">
            <v>Breather Filter</v>
          </cell>
        </row>
        <row r="5063">
          <cell r="G5063" t="str">
            <v>LFF3368</v>
          </cell>
          <cell r="H5063" t="str">
            <v>Spin-on Fuel Filter</v>
          </cell>
        </row>
        <row r="5064">
          <cell r="G5064" t="str">
            <v>LP2225</v>
          </cell>
          <cell r="H5064" t="str">
            <v>Cartridge Oil Filter</v>
          </cell>
        </row>
        <row r="5065">
          <cell r="G5065" t="str">
            <v>AF7967</v>
          </cell>
          <cell r="H5065" t="str">
            <v>Rigid Panel Air Filter</v>
          </cell>
        </row>
        <row r="5066">
          <cell r="G5066" t="str">
            <v>AFB7846</v>
          </cell>
          <cell r="H5066" t="str">
            <v>Foam Pad</v>
          </cell>
        </row>
        <row r="5067">
          <cell r="G5067" t="str">
            <v>G2906</v>
          </cell>
          <cell r="H5067" t="str">
            <v>In-Line Fuel Filter</v>
          </cell>
        </row>
        <row r="5068">
          <cell r="G5068" t="str">
            <v>PC140</v>
          </cell>
          <cell r="H5068" t="str">
            <v>PCV Valve</v>
          </cell>
        </row>
        <row r="5069">
          <cell r="G5069" t="str">
            <v>LH4261</v>
          </cell>
          <cell r="H5069" t="str">
            <v>Cartridge Power Steering (Hydraulic) Filter</v>
          </cell>
        </row>
        <row r="5070">
          <cell r="G5070" t="str">
            <v>AF62</v>
          </cell>
          <cell r="H5070" t="str">
            <v>Vapor Cannister Filter, Foam Pad</v>
          </cell>
        </row>
        <row r="5071">
          <cell r="G5071" t="str">
            <v>LFH5004</v>
          </cell>
          <cell r="H5071" t="str">
            <v>Spin-on Hydraulic Filter</v>
          </cell>
        </row>
        <row r="5072">
          <cell r="G5072" t="str">
            <v>G6389</v>
          </cell>
          <cell r="H5072" t="str">
            <v>In-Line Fuel Filter</v>
          </cell>
        </row>
        <row r="5073">
          <cell r="G5073" t="str">
            <v>LFP911G</v>
          </cell>
          <cell r="H5073" t="str">
            <v>Extended Life Spin-on Oil Filter</v>
          </cell>
        </row>
        <row r="5074">
          <cell r="G5074" t="str">
            <v>L2020FN-2</v>
          </cell>
          <cell r="H5074" t="str">
            <v>Cartridge Fuel Filter</v>
          </cell>
        </row>
        <row r="5075">
          <cell r="G5075" t="str">
            <v>LH95279V</v>
          </cell>
          <cell r="H5075" t="str">
            <v>Cartridge Hydraulic Filter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60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A6" sqref="A6"/>
    </sheetView>
  </sheetViews>
  <sheetFormatPr defaultColWidth="9.140625" defaultRowHeight="15" x14ac:dyDescent="0.25"/>
  <cols>
    <col min="1" max="1" width="13.28515625" style="4" customWidth="1"/>
    <col min="2" max="2" width="10.28515625" style="4" hidden="1" customWidth="1"/>
    <col min="3" max="3" width="14.7109375" style="15" customWidth="1"/>
    <col min="4" max="4" width="8.7109375" style="15" customWidth="1"/>
    <col min="5" max="5" width="45.7109375" style="4" customWidth="1"/>
    <col min="6" max="6" width="51.42578125" style="11" customWidth="1"/>
    <col min="7" max="7" width="32.5703125" style="4" customWidth="1"/>
    <col min="8" max="8" width="18.42578125" style="4" customWidth="1"/>
    <col min="9" max="9" width="14" style="4" customWidth="1"/>
    <col min="10" max="10" width="14.28515625" style="4" customWidth="1"/>
    <col min="11" max="11" width="21" style="4" customWidth="1"/>
    <col min="12" max="12" width="14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5.42578125" style="4" customWidth="1"/>
    <col min="17" max="17" width="12" style="4" customWidth="1"/>
    <col min="18" max="18" width="10.28515625" style="4" customWidth="1"/>
    <col min="19" max="19" width="11" style="4" customWidth="1"/>
    <col min="20" max="20" width="10.7109375" style="4" customWidth="1"/>
    <col min="21" max="21" width="12.7109375" style="4" customWidth="1"/>
    <col min="22" max="22" width="11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9.85546875" style="4" customWidth="1"/>
    <col min="33" max="33" width="10.28515625" style="4" customWidth="1"/>
    <col min="34" max="34" width="15.5703125" style="4" customWidth="1"/>
    <col min="35" max="36" width="10.5703125" style="4" customWidth="1"/>
    <col min="37" max="37" width="8" style="4" customWidth="1"/>
    <col min="38" max="39" width="9.28515625" style="4" customWidth="1"/>
    <col min="40" max="41" width="14.140625" style="4" customWidth="1"/>
    <col min="42" max="42" width="10.28515625" style="4" customWidth="1"/>
    <col min="43" max="43" width="9" style="4" customWidth="1"/>
    <col min="44" max="44" width="8.28515625" style="4" customWidth="1"/>
    <col min="45" max="45" width="9.42578125" style="4" customWidth="1"/>
    <col min="46" max="46" width="13.140625" style="4" customWidth="1"/>
    <col min="47" max="47" width="15.140625" style="4" customWidth="1"/>
    <col min="48" max="48" width="7" style="4" customWidth="1"/>
    <col min="49" max="49" width="6.5703125" style="4" customWidth="1"/>
    <col min="50" max="50" width="6.85546875" style="4" customWidth="1"/>
    <col min="51" max="51" width="5.5703125" style="4" customWidth="1"/>
    <col min="52" max="52" width="6.85546875" style="4" customWidth="1"/>
    <col min="53" max="53" width="4.5703125" style="4" customWidth="1"/>
    <col min="54" max="54" width="7" style="4" customWidth="1"/>
    <col min="55" max="55" width="6.5703125" style="4" customWidth="1"/>
    <col min="56" max="56" width="6.85546875" style="4" customWidth="1"/>
    <col min="57" max="57" width="5.5703125" style="4" customWidth="1"/>
    <col min="58" max="58" width="7.5703125" style="4" customWidth="1"/>
    <col min="59" max="59" width="7" style="4" customWidth="1"/>
    <col min="60" max="60" width="6.5703125" style="4" customWidth="1"/>
    <col min="61" max="61" width="6.85546875" style="4" customWidth="1"/>
    <col min="62" max="62" width="5.5703125" style="4" customWidth="1"/>
    <col min="63" max="65" width="7.5703125" style="4" customWidth="1"/>
    <col min="66" max="66" width="17.85546875" style="4" customWidth="1"/>
    <col min="67" max="67" width="10.42578125" style="4" customWidth="1"/>
    <col min="68" max="68" width="12" style="4" customWidth="1"/>
    <col min="69" max="70" width="14.42578125" style="4" customWidth="1"/>
    <col min="71" max="71" width="13.28515625" style="4" customWidth="1"/>
    <col min="72" max="72" width="16.28515625" style="4" customWidth="1"/>
    <col min="73" max="73" width="22.28515625" style="4" customWidth="1"/>
    <col min="74" max="74" width="12.140625" style="4" hidden="1" customWidth="1"/>
    <col min="75" max="75" width="15.42578125" style="4" hidden="1" customWidth="1"/>
    <col min="76" max="76" width="12.42578125" style="4" hidden="1" customWidth="1"/>
    <col min="77" max="77" width="15.5703125" style="4" hidden="1" customWidth="1"/>
    <col min="78" max="16384" width="9.140625" style="4"/>
  </cols>
  <sheetData>
    <row r="1" spans="1:77" x14ac:dyDescent="0.25">
      <c r="F1" s="179" t="s">
        <v>2027</v>
      </c>
    </row>
    <row r="2" spans="1:77" ht="23.25" x14ac:dyDescent="0.25">
      <c r="F2" s="2" t="s">
        <v>2821</v>
      </c>
      <c r="H2" s="2"/>
      <c r="I2" s="3"/>
    </row>
    <row r="3" spans="1:77" ht="20.25" x14ac:dyDescent="0.25">
      <c r="F3" s="35">
        <v>43035</v>
      </c>
    </row>
    <row r="4" spans="1:77" ht="15.75" customHeight="1" x14ac:dyDescent="0.25">
      <c r="A4" s="410" t="s">
        <v>17</v>
      </c>
      <c r="B4" s="410"/>
      <c r="C4" s="410"/>
      <c r="D4" s="410"/>
      <c r="E4" s="410"/>
      <c r="F4" s="410"/>
      <c r="G4" s="411" t="s">
        <v>15</v>
      </c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3"/>
      <c r="U4" s="414" t="s">
        <v>16</v>
      </c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6"/>
      <c r="AR4" s="417" t="s">
        <v>81</v>
      </c>
      <c r="AS4" s="417"/>
      <c r="AT4" s="418" t="s">
        <v>19</v>
      </c>
      <c r="AU4" s="418"/>
      <c r="AV4" s="428" t="s">
        <v>87</v>
      </c>
      <c r="AW4" s="428"/>
      <c r="AX4" s="428"/>
      <c r="AY4" s="428"/>
      <c r="AZ4" s="428"/>
      <c r="BA4" s="428"/>
      <c r="BB4" s="429" t="s">
        <v>22</v>
      </c>
      <c r="BC4" s="430"/>
      <c r="BD4" s="430"/>
      <c r="BE4" s="430"/>
      <c r="BF4" s="431"/>
      <c r="BG4" s="422" t="s">
        <v>28</v>
      </c>
      <c r="BH4" s="423"/>
      <c r="BI4" s="423"/>
      <c r="BJ4" s="423"/>
      <c r="BK4" s="424"/>
      <c r="BL4" s="425" t="s">
        <v>34</v>
      </c>
      <c r="BM4" s="426"/>
      <c r="BN4" s="426"/>
      <c r="BO4" s="426"/>
      <c r="BP4" s="426"/>
      <c r="BQ4" s="426"/>
      <c r="BR4" s="426"/>
      <c r="BS4" s="426"/>
      <c r="BT4" s="426"/>
      <c r="BU4" s="427"/>
    </row>
    <row r="5" spans="1:77" ht="30" x14ac:dyDescent="0.25">
      <c r="A5" s="165" t="s">
        <v>242</v>
      </c>
      <c r="B5" s="166" t="s">
        <v>243</v>
      </c>
      <c r="C5" s="167" t="s">
        <v>0</v>
      </c>
      <c r="D5" s="168" t="s">
        <v>79</v>
      </c>
      <c r="E5" s="167" t="s">
        <v>2</v>
      </c>
      <c r="F5" s="169" t="s">
        <v>1</v>
      </c>
      <c r="G5" s="170" t="s">
        <v>3</v>
      </c>
      <c r="H5" s="171" t="s">
        <v>7</v>
      </c>
      <c r="I5" s="171" t="s">
        <v>4</v>
      </c>
      <c r="J5" s="171" t="s">
        <v>6</v>
      </c>
      <c r="K5" s="171" t="s">
        <v>5</v>
      </c>
      <c r="L5" s="171" t="s">
        <v>56</v>
      </c>
      <c r="M5" s="171" t="s">
        <v>54</v>
      </c>
      <c r="N5" s="171" t="s">
        <v>57</v>
      </c>
      <c r="O5" s="171" t="s">
        <v>58</v>
      </c>
      <c r="P5" s="171" t="s">
        <v>59</v>
      </c>
      <c r="Q5" s="171" t="s">
        <v>60</v>
      </c>
      <c r="R5" s="171" t="s">
        <v>61</v>
      </c>
      <c r="S5" s="171" t="s">
        <v>77</v>
      </c>
      <c r="T5" s="172" t="s">
        <v>61</v>
      </c>
      <c r="U5" s="162" t="s">
        <v>8</v>
      </c>
      <c r="V5" s="163" t="s">
        <v>47</v>
      </c>
      <c r="W5" s="163" t="s">
        <v>9</v>
      </c>
      <c r="X5" s="163" t="s">
        <v>36</v>
      </c>
      <c r="Y5" s="163" t="s">
        <v>10</v>
      </c>
      <c r="Z5" s="163" t="s">
        <v>48</v>
      </c>
      <c r="AA5" s="163" t="s">
        <v>11</v>
      </c>
      <c r="AB5" s="163" t="s">
        <v>53</v>
      </c>
      <c r="AC5" s="163" t="s">
        <v>12</v>
      </c>
      <c r="AD5" s="163" t="s">
        <v>52</v>
      </c>
      <c r="AE5" s="163" t="s">
        <v>49</v>
      </c>
      <c r="AF5" s="163" t="s">
        <v>2407</v>
      </c>
      <c r="AG5" s="163" t="s">
        <v>14</v>
      </c>
      <c r="AH5" s="163" t="s">
        <v>37</v>
      </c>
      <c r="AI5" s="163" t="s">
        <v>997</v>
      </c>
      <c r="AJ5" s="163" t="s">
        <v>51</v>
      </c>
      <c r="AK5" s="163" t="s">
        <v>46</v>
      </c>
      <c r="AL5" s="163" t="s">
        <v>38</v>
      </c>
      <c r="AM5" s="163" t="s">
        <v>82</v>
      </c>
      <c r="AN5" s="163" t="s">
        <v>39</v>
      </c>
      <c r="AO5" s="163" t="s">
        <v>2065</v>
      </c>
      <c r="AP5" s="163" t="s">
        <v>40</v>
      </c>
      <c r="AQ5" s="164" t="s">
        <v>13</v>
      </c>
      <c r="AR5" s="173" t="s">
        <v>20</v>
      </c>
      <c r="AS5" s="174" t="s">
        <v>21</v>
      </c>
      <c r="AT5" s="175" t="s">
        <v>18</v>
      </c>
      <c r="AU5" s="176" t="s">
        <v>55</v>
      </c>
      <c r="AV5" s="180" t="s">
        <v>23</v>
      </c>
      <c r="AW5" s="181" t="s">
        <v>24</v>
      </c>
      <c r="AX5" s="181" t="s">
        <v>25</v>
      </c>
      <c r="AY5" s="181" t="s">
        <v>88</v>
      </c>
      <c r="AZ5" s="181" t="s">
        <v>25</v>
      </c>
      <c r="BA5" s="182" t="s">
        <v>89</v>
      </c>
      <c r="BB5" s="177" t="s">
        <v>23</v>
      </c>
      <c r="BC5" s="161" t="s">
        <v>24</v>
      </c>
      <c r="BD5" s="161" t="s">
        <v>25</v>
      </c>
      <c r="BE5" s="161" t="s">
        <v>26</v>
      </c>
      <c r="BF5" s="178" t="s">
        <v>27</v>
      </c>
      <c r="BG5" s="398" t="s">
        <v>23</v>
      </c>
      <c r="BH5" s="399" t="s">
        <v>24</v>
      </c>
      <c r="BI5" s="399" t="s">
        <v>25</v>
      </c>
      <c r="BJ5" s="399" t="s">
        <v>26</v>
      </c>
      <c r="BK5" s="400" t="s">
        <v>27</v>
      </c>
      <c r="BL5" s="401" t="s">
        <v>2825</v>
      </c>
      <c r="BM5" s="401" t="s">
        <v>2826</v>
      </c>
      <c r="BN5" s="185" t="s">
        <v>45</v>
      </c>
      <c r="BO5" s="185" t="s">
        <v>29</v>
      </c>
      <c r="BP5" s="185" t="s">
        <v>30</v>
      </c>
      <c r="BQ5" s="185" t="s">
        <v>31</v>
      </c>
      <c r="BR5" s="185" t="s">
        <v>32</v>
      </c>
      <c r="BS5" s="185" t="s">
        <v>33</v>
      </c>
      <c r="BT5" s="185" t="s">
        <v>35</v>
      </c>
      <c r="BU5" s="185" t="s">
        <v>44</v>
      </c>
      <c r="BV5" s="8" t="s">
        <v>41</v>
      </c>
      <c r="BW5" s="8" t="s">
        <v>42</v>
      </c>
      <c r="BX5" s="8" t="s">
        <v>43</v>
      </c>
      <c r="BY5" s="167" t="s">
        <v>3605</v>
      </c>
    </row>
    <row r="6" spans="1:77" s="1" customFormat="1" ht="30" x14ac:dyDescent="0.25">
      <c r="A6" s="372">
        <v>43035</v>
      </c>
      <c r="B6" s="4"/>
      <c r="C6" s="216" t="s">
        <v>3667</v>
      </c>
      <c r="D6" s="45" t="s">
        <v>73</v>
      </c>
      <c r="E6" s="45" t="s">
        <v>3632</v>
      </c>
      <c r="F6" s="34" t="s">
        <v>3670</v>
      </c>
      <c r="G6" s="1" t="s">
        <v>3671</v>
      </c>
      <c r="H6" s="17" t="s">
        <v>3676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 t="s">
        <v>3669</v>
      </c>
      <c r="V6" s="17"/>
      <c r="W6" s="17"/>
      <c r="X6" s="17"/>
      <c r="Y6" s="17" t="s">
        <v>3672</v>
      </c>
      <c r="Z6" s="17"/>
      <c r="AA6" s="17" t="s">
        <v>3673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63">
        <v>38.729999999999997</v>
      </c>
      <c r="AS6" s="27">
        <f>AR6/0.444</f>
        <v>87.229729729729726</v>
      </c>
      <c r="AT6" s="403" t="s">
        <v>3679</v>
      </c>
      <c r="AU6" s="409">
        <v>10038568745337</v>
      </c>
      <c r="AV6" s="44"/>
      <c r="AW6" s="44"/>
      <c r="AX6" s="44"/>
      <c r="AY6" s="122">
        <v>7.29</v>
      </c>
      <c r="AZ6" s="122">
        <v>13.94</v>
      </c>
      <c r="BA6" s="385"/>
      <c r="BB6" s="419" t="s">
        <v>1059</v>
      </c>
      <c r="BC6" s="420"/>
      <c r="BD6" s="420"/>
      <c r="BE6" s="420"/>
      <c r="BF6" s="421"/>
      <c r="BG6" s="209">
        <v>8.11</v>
      </c>
      <c r="BH6" s="209">
        <v>7.77</v>
      </c>
      <c r="BI6" s="209">
        <v>15.34</v>
      </c>
      <c r="BJ6" s="371">
        <v>0.55940000000000001</v>
      </c>
      <c r="BK6" s="209">
        <v>0.85</v>
      </c>
      <c r="BL6" s="209">
        <v>2.63</v>
      </c>
      <c r="BM6" s="371">
        <f>BK6+BL6</f>
        <v>3.48</v>
      </c>
      <c r="BN6" s="209" t="s">
        <v>3658</v>
      </c>
      <c r="BO6" s="17">
        <v>1</v>
      </c>
      <c r="BP6" s="78">
        <v>30</v>
      </c>
      <c r="BQ6" s="78">
        <v>2</v>
      </c>
      <c r="BR6" s="209">
        <v>60</v>
      </c>
      <c r="BS6" s="17">
        <v>258.8</v>
      </c>
      <c r="BT6" s="209" t="s">
        <v>62</v>
      </c>
      <c r="BU6" s="225" t="s">
        <v>67</v>
      </c>
      <c r="BV6" s="191"/>
      <c r="BW6" s="191"/>
      <c r="BX6" s="82"/>
      <c r="BY6" s="397"/>
    </row>
    <row r="7" spans="1:77" s="1" customFormat="1" ht="30" x14ac:dyDescent="0.25">
      <c r="A7" s="372">
        <v>43035</v>
      </c>
      <c r="B7" s="45" t="s">
        <v>14</v>
      </c>
      <c r="C7" s="45" t="s">
        <v>3668</v>
      </c>
      <c r="D7" s="45" t="s">
        <v>73</v>
      </c>
      <c r="E7" s="45" t="s">
        <v>3637</v>
      </c>
      <c r="F7" s="96" t="s">
        <v>3674</v>
      </c>
      <c r="G7" s="59" t="s">
        <v>66</v>
      </c>
      <c r="H7" s="406" t="s">
        <v>3675</v>
      </c>
      <c r="I7" s="396"/>
      <c r="J7" s="396"/>
      <c r="K7" s="396"/>
      <c r="L7" s="30"/>
      <c r="M7" s="30"/>
      <c r="N7" s="30"/>
      <c r="O7" s="30"/>
      <c r="P7" s="30"/>
      <c r="Q7" s="30"/>
      <c r="R7" s="30"/>
      <c r="S7" s="30"/>
      <c r="T7" s="30"/>
      <c r="U7" s="407" t="s">
        <v>3677</v>
      </c>
      <c r="V7" s="41"/>
      <c r="W7" s="29"/>
      <c r="X7" s="41"/>
      <c r="Y7" s="37"/>
      <c r="Z7" s="41"/>
      <c r="AA7" s="29"/>
      <c r="AB7" s="396"/>
      <c r="AC7" s="396"/>
      <c r="AD7" s="59"/>
      <c r="AE7" s="396"/>
      <c r="AF7" s="396"/>
      <c r="AG7" s="396"/>
      <c r="AH7" s="396"/>
      <c r="AI7" s="396"/>
      <c r="AJ7" s="396"/>
      <c r="AK7" s="396"/>
      <c r="AL7" s="37"/>
      <c r="AM7" s="396"/>
      <c r="AN7" s="396"/>
      <c r="AO7" s="396"/>
      <c r="AP7" s="396"/>
      <c r="AQ7" s="396"/>
      <c r="AR7" s="63">
        <v>76.260000000000005</v>
      </c>
      <c r="AS7" s="27">
        <f>AR7/0.444</f>
        <v>171.75675675675677</v>
      </c>
      <c r="AT7" s="271" t="s">
        <v>3680</v>
      </c>
      <c r="AU7" s="402">
        <v>10038568745344</v>
      </c>
      <c r="AV7" s="44"/>
      <c r="AW7" s="44"/>
      <c r="AX7" s="44"/>
      <c r="AY7" s="408">
        <v>8</v>
      </c>
      <c r="AZ7" s="408">
        <v>11.64</v>
      </c>
      <c r="BA7" s="385"/>
      <c r="BB7" s="419" t="s">
        <v>1059</v>
      </c>
      <c r="BC7" s="420"/>
      <c r="BD7" s="420"/>
      <c r="BE7" s="420"/>
      <c r="BF7" s="421"/>
      <c r="BG7" s="202">
        <v>8.93</v>
      </c>
      <c r="BH7" s="202">
        <v>8.59</v>
      </c>
      <c r="BI7" s="202">
        <v>12.59</v>
      </c>
      <c r="BJ7" s="202">
        <v>0.55000000000000004</v>
      </c>
      <c r="BK7" s="370">
        <v>0.89</v>
      </c>
      <c r="BL7" s="371">
        <v>2.5</v>
      </c>
      <c r="BM7" s="371">
        <f>BK7+BL7</f>
        <v>3.39</v>
      </c>
      <c r="BN7" s="209" t="s">
        <v>3658</v>
      </c>
      <c r="BO7" s="209">
        <v>1</v>
      </c>
      <c r="BP7" s="209">
        <v>20</v>
      </c>
      <c r="BQ7" s="209">
        <v>3</v>
      </c>
      <c r="BR7" s="209">
        <v>60</v>
      </c>
      <c r="BS7" s="17">
        <v>253.4</v>
      </c>
      <c r="BT7" s="209" t="s">
        <v>62</v>
      </c>
      <c r="BU7" s="225" t="s">
        <v>67</v>
      </c>
      <c r="BV7" s="191"/>
      <c r="BW7" s="191"/>
      <c r="BX7" s="82"/>
      <c r="BY7" s="397"/>
    </row>
    <row r="9" spans="1:77" ht="7.5" customHeight="1" x14ac:dyDescent="0.25">
      <c r="C9" s="11"/>
      <c r="D9" s="12"/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3"/>
      <c r="AS9" s="14"/>
      <c r="AU9" s="15"/>
      <c r="AV9" s="15"/>
      <c r="AW9" s="15"/>
      <c r="AX9" s="15"/>
      <c r="AY9" s="15"/>
      <c r="AZ9" s="15"/>
      <c r="BA9" s="15"/>
      <c r="BB9" s="9"/>
      <c r="BC9" s="9"/>
      <c r="BD9" s="9"/>
      <c r="BF9" s="9"/>
      <c r="BG9" s="9"/>
      <c r="BH9" s="9"/>
      <c r="BI9" s="9"/>
      <c r="BK9" s="9"/>
      <c r="BL9" s="9"/>
      <c r="BM9" s="9"/>
      <c r="BP9" s="15"/>
      <c r="BQ9" s="15"/>
      <c r="BR9" s="15"/>
      <c r="BS9" s="15"/>
      <c r="BU9" s="10"/>
      <c r="BV9" s="15"/>
      <c r="BW9" s="15"/>
      <c r="BX9" s="15"/>
    </row>
    <row r="10" spans="1:77" ht="7.5" customHeight="1" x14ac:dyDescent="0.25">
      <c r="A10" s="58"/>
      <c r="B10" s="58"/>
      <c r="C10" s="58"/>
      <c r="D10" s="19"/>
      <c r="E10" s="19"/>
      <c r="F10" s="19"/>
      <c r="G10" s="19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0"/>
      <c r="V10" s="21"/>
      <c r="W10" s="21"/>
      <c r="X10" s="21"/>
      <c r="Y10" s="21"/>
      <c r="Z10" s="21"/>
      <c r="AA10" s="20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2"/>
      <c r="AS10" s="23"/>
      <c r="AT10" s="20"/>
      <c r="AU10" s="21"/>
      <c r="AV10" s="21"/>
      <c r="AW10" s="21"/>
      <c r="AX10" s="21"/>
      <c r="AY10" s="21"/>
      <c r="AZ10" s="21"/>
      <c r="BA10" s="21"/>
      <c r="BB10" s="24"/>
      <c r="BC10" s="24"/>
      <c r="BD10" s="24"/>
      <c r="BE10" s="20"/>
      <c r="BF10" s="24"/>
      <c r="BG10" s="24"/>
      <c r="BH10" s="24"/>
      <c r="BI10" s="24"/>
      <c r="BJ10" s="20"/>
      <c r="BK10" s="24"/>
      <c r="BL10" s="24"/>
      <c r="BM10" s="24"/>
      <c r="BN10" s="20"/>
      <c r="BO10" s="20"/>
      <c r="BP10" s="21"/>
      <c r="BQ10" s="21"/>
      <c r="BR10" s="21"/>
      <c r="BS10" s="21"/>
      <c r="BT10" s="20"/>
      <c r="BU10" s="25"/>
      <c r="BV10" s="21"/>
      <c r="BW10" s="15"/>
      <c r="BX10" s="15"/>
    </row>
    <row r="11" spans="1:77" ht="23.25" customHeight="1" x14ac:dyDescent="0.25">
      <c r="C11" s="11"/>
      <c r="D11" s="12"/>
      <c r="E11" s="12"/>
      <c r="F11" s="60" t="s">
        <v>3406</v>
      </c>
      <c r="H11" s="12"/>
      <c r="V11" s="15"/>
      <c r="W11" s="15"/>
      <c r="X11" s="15"/>
      <c r="Z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3"/>
      <c r="AS11" s="14"/>
      <c r="AU11" s="15"/>
      <c r="AV11" s="15"/>
      <c r="AW11" s="15"/>
      <c r="AX11" s="15"/>
      <c r="AY11" s="15"/>
      <c r="AZ11" s="15"/>
      <c r="BA11" s="15"/>
      <c r="BB11" s="9"/>
      <c r="BC11" s="9"/>
      <c r="BD11" s="9"/>
      <c r="BF11" s="9"/>
      <c r="BG11" s="9"/>
      <c r="BH11" s="9"/>
      <c r="BI11" s="9"/>
      <c r="BK11" s="9"/>
      <c r="BL11" s="9"/>
      <c r="BM11" s="9"/>
      <c r="BP11" s="15"/>
      <c r="BQ11" s="15"/>
      <c r="BR11" s="15"/>
      <c r="BS11" s="15"/>
      <c r="BU11" s="10"/>
      <c r="BV11" s="15"/>
      <c r="BW11" s="15"/>
      <c r="BX11" s="15"/>
    </row>
    <row r="12" spans="1:77" s="15" customFormat="1" ht="15" customHeight="1" x14ac:dyDescent="0.25">
      <c r="C12" s="11"/>
      <c r="D12" s="12"/>
      <c r="E12" s="12"/>
      <c r="F12" s="12"/>
      <c r="G12" s="12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13"/>
      <c r="AS12" s="14"/>
      <c r="AT12" s="4"/>
      <c r="AU12" s="4"/>
      <c r="AV12" s="4"/>
      <c r="AW12" s="4"/>
      <c r="AX12" s="4"/>
      <c r="AY12" s="4"/>
      <c r="AZ12" s="4"/>
      <c r="BA12" s="4"/>
      <c r="BB12" s="9"/>
      <c r="BC12" s="9"/>
      <c r="BD12" s="9"/>
      <c r="BE12" s="4"/>
      <c r="BF12" s="9"/>
      <c r="BG12" s="9"/>
      <c r="BH12" s="9"/>
      <c r="BI12" s="9"/>
      <c r="BJ12" s="4"/>
      <c r="BK12" s="9"/>
      <c r="BL12" s="9"/>
      <c r="BM12" s="9"/>
      <c r="BN12" s="4"/>
      <c r="BO12" s="4"/>
      <c r="BP12" s="4"/>
      <c r="BQ12" s="4"/>
      <c r="BT12" s="4"/>
      <c r="BU12" s="10"/>
      <c r="BV12" s="4"/>
      <c r="BW12" s="4"/>
      <c r="BX12" s="4"/>
    </row>
    <row r="13" spans="1:77" ht="15" customHeight="1" x14ac:dyDescent="0.25">
      <c r="A13" s="165" t="s">
        <v>242</v>
      </c>
      <c r="B13" s="166" t="s">
        <v>243</v>
      </c>
      <c r="C13" s="167" t="s">
        <v>0</v>
      </c>
      <c r="D13" s="168" t="s">
        <v>79</v>
      </c>
      <c r="E13" s="167" t="s">
        <v>2</v>
      </c>
      <c r="F13" s="5" t="s">
        <v>74</v>
      </c>
      <c r="G13" s="7" t="s">
        <v>83</v>
      </c>
      <c r="H13" s="7" t="s">
        <v>2158</v>
      </c>
      <c r="AR13" s="13"/>
      <c r="AS13" s="14"/>
      <c r="BB13" s="9"/>
      <c r="BC13" s="9"/>
      <c r="BD13" s="9"/>
      <c r="BF13" s="9"/>
      <c r="BG13" s="9"/>
      <c r="BH13" s="9"/>
      <c r="BI13" s="9"/>
      <c r="BK13" s="9"/>
      <c r="BL13" s="9"/>
      <c r="BM13" s="9"/>
      <c r="BR13" s="15"/>
      <c r="BS13" s="15"/>
      <c r="BU13" s="10"/>
    </row>
    <row r="14" spans="1:77" ht="15" customHeight="1" x14ac:dyDescent="0.25">
      <c r="A14" s="372"/>
      <c r="B14" s="45"/>
      <c r="C14" s="216"/>
      <c r="D14" s="16"/>
      <c r="E14" s="323"/>
      <c r="F14" s="48"/>
      <c r="G14" s="275"/>
      <c r="H14" s="276"/>
      <c r="AR14" s="13"/>
      <c r="AS14" s="14"/>
      <c r="BB14" s="9"/>
      <c r="BC14" s="9"/>
      <c r="BD14" s="9"/>
      <c r="BF14" s="9"/>
      <c r="BG14" s="9"/>
      <c r="BH14" s="9"/>
      <c r="BI14" s="9"/>
      <c r="BK14" s="9"/>
      <c r="BL14" s="9"/>
      <c r="BM14" s="9"/>
      <c r="BR14" s="15"/>
      <c r="BS14" s="15"/>
      <c r="BU14" s="10"/>
    </row>
    <row r="15" spans="1:77" ht="15" customHeight="1" x14ac:dyDescent="0.25">
      <c r="A15" s="372"/>
      <c r="B15" s="323"/>
      <c r="C15" s="216"/>
      <c r="D15" s="16"/>
      <c r="E15" s="323"/>
      <c r="F15" s="48"/>
      <c r="G15" s="275"/>
      <c r="H15" s="276"/>
      <c r="AR15" s="13"/>
      <c r="AS15" s="14"/>
      <c r="BB15" s="9"/>
      <c r="BC15" s="9"/>
      <c r="BD15" s="9"/>
      <c r="BF15" s="9"/>
      <c r="BG15" s="9"/>
      <c r="BH15" s="9"/>
      <c r="BI15" s="9"/>
      <c r="BK15" s="9"/>
      <c r="BL15" s="9"/>
      <c r="BM15" s="9"/>
      <c r="BR15" s="15"/>
      <c r="BS15" s="15"/>
      <c r="BU15" s="10"/>
    </row>
    <row r="16" spans="1:77" ht="15" customHeight="1" x14ac:dyDescent="0.25">
      <c r="A16" s="241"/>
      <c r="B16" s="206"/>
      <c r="C16" s="216"/>
      <c r="D16" s="16"/>
      <c r="E16" s="323"/>
      <c r="F16" s="48"/>
      <c r="G16" s="275"/>
      <c r="H16" s="276"/>
      <c r="AR16" s="13"/>
      <c r="AS16" s="14"/>
      <c r="BB16" s="9"/>
      <c r="BC16" s="9"/>
      <c r="BD16" s="9"/>
      <c r="BF16" s="9"/>
      <c r="BG16" s="9"/>
      <c r="BH16" s="9"/>
      <c r="BI16" s="9"/>
      <c r="BK16" s="9"/>
      <c r="BL16" s="9"/>
      <c r="BM16" s="9"/>
      <c r="BR16" s="15"/>
      <c r="BS16" s="15"/>
      <c r="BU16" s="10"/>
    </row>
    <row r="17" spans="1:76" ht="15" customHeight="1" x14ac:dyDescent="0.25">
      <c r="A17" s="241"/>
      <c r="B17" s="206"/>
      <c r="C17" s="34"/>
      <c r="D17" s="16"/>
      <c r="E17" s="33"/>
      <c r="F17" s="48"/>
      <c r="G17" s="221"/>
      <c r="H17" s="3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V17" s="15"/>
      <c r="W17" s="15"/>
      <c r="X17" s="15"/>
      <c r="Y17" s="15"/>
      <c r="Z17" s="15"/>
      <c r="AE17" s="15"/>
      <c r="AF17" s="15"/>
      <c r="AG17" s="15"/>
      <c r="AH17" s="15"/>
      <c r="AI17" s="15"/>
      <c r="AJ17" s="15"/>
      <c r="AK17" s="15"/>
      <c r="AN17" s="15"/>
      <c r="AO17" s="15"/>
      <c r="AP17" s="15"/>
      <c r="AQ17" s="15"/>
      <c r="AR17" s="13"/>
      <c r="AS17" s="14"/>
      <c r="AU17" s="15"/>
      <c r="AV17" s="15"/>
      <c r="AW17" s="15"/>
      <c r="AX17" s="15"/>
      <c r="AY17" s="15"/>
      <c r="AZ17" s="15"/>
      <c r="BA17" s="15"/>
      <c r="BB17" s="9"/>
      <c r="BC17" s="9"/>
      <c r="BD17" s="9"/>
      <c r="BF17" s="9"/>
      <c r="BG17" s="9"/>
      <c r="BH17" s="9"/>
      <c r="BI17" s="9"/>
      <c r="BK17" s="9"/>
      <c r="BL17" s="9"/>
      <c r="BM17" s="9"/>
      <c r="BP17" s="15"/>
      <c r="BQ17" s="15"/>
      <c r="BR17" s="15"/>
      <c r="BS17" s="15"/>
      <c r="BU17" s="10"/>
      <c r="BV17" s="15"/>
      <c r="BW17" s="15"/>
      <c r="BX17" s="15"/>
    </row>
    <row r="18" spans="1:76" ht="15" customHeight="1" x14ac:dyDescent="0.25">
      <c r="A18" s="376"/>
      <c r="B18" s="377"/>
      <c r="C18" s="11"/>
      <c r="D18" s="12"/>
      <c r="E18" s="378"/>
      <c r="F18" s="379"/>
      <c r="G18" s="380"/>
      <c r="H18" s="381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V18" s="15"/>
      <c r="W18" s="15"/>
      <c r="X18" s="15"/>
      <c r="Y18" s="15"/>
      <c r="Z18" s="15"/>
      <c r="AE18" s="15"/>
      <c r="AF18" s="15"/>
      <c r="AG18" s="15"/>
      <c r="AH18" s="15"/>
      <c r="AI18" s="15"/>
      <c r="AJ18" s="15"/>
      <c r="AK18" s="15"/>
      <c r="AN18" s="15"/>
      <c r="AO18" s="15"/>
      <c r="AP18" s="15"/>
      <c r="AQ18" s="15"/>
      <c r="AR18" s="13"/>
      <c r="AS18" s="14"/>
      <c r="AU18" s="15"/>
      <c r="AV18" s="15"/>
      <c r="AW18" s="15"/>
      <c r="AX18" s="15"/>
      <c r="AY18" s="15"/>
      <c r="AZ18" s="15"/>
      <c r="BA18" s="15"/>
      <c r="BB18" s="9"/>
      <c r="BC18" s="9"/>
      <c r="BD18" s="9"/>
      <c r="BF18" s="9"/>
      <c r="BG18" s="9"/>
      <c r="BH18" s="9"/>
      <c r="BI18" s="9"/>
      <c r="BK18" s="9"/>
      <c r="BL18" s="9"/>
      <c r="BM18" s="9"/>
      <c r="BP18" s="15"/>
      <c r="BQ18" s="15"/>
      <c r="BR18" s="15"/>
      <c r="BS18" s="15"/>
      <c r="BU18" s="10"/>
      <c r="BV18" s="15"/>
      <c r="BW18" s="15"/>
      <c r="BX18" s="15"/>
    </row>
    <row r="19" spans="1:76" x14ac:dyDescent="0.25">
      <c r="C19" s="11"/>
      <c r="D19" s="12"/>
      <c r="E19" s="12"/>
      <c r="F19" s="12"/>
      <c r="G19" s="12"/>
      <c r="H19" s="12"/>
      <c r="AS19" s="14"/>
      <c r="AT19" s="15"/>
      <c r="BS19" s="15"/>
      <c r="BU19" s="10"/>
    </row>
    <row r="20" spans="1:76" ht="7.5" customHeight="1" x14ac:dyDescent="0.25">
      <c r="A20" s="58"/>
      <c r="B20" s="58"/>
      <c r="C20" s="58"/>
      <c r="D20" s="19"/>
      <c r="E20" s="19"/>
      <c r="F20" s="19"/>
      <c r="G20" s="19"/>
      <c r="H20" s="1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0"/>
      <c r="V20" s="21"/>
      <c r="W20" s="21"/>
      <c r="X20" s="21"/>
      <c r="Y20" s="21"/>
      <c r="Z20" s="21"/>
      <c r="AA20" s="20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3"/>
      <c r="AT20" s="20"/>
      <c r="AU20" s="21"/>
      <c r="AV20" s="21"/>
      <c r="AW20" s="21"/>
      <c r="AX20" s="21"/>
      <c r="AY20" s="21"/>
      <c r="AZ20" s="21"/>
      <c r="BA20" s="21"/>
      <c r="BB20" s="24"/>
      <c r="BC20" s="24"/>
      <c r="BD20" s="24"/>
      <c r="BE20" s="20"/>
      <c r="BF20" s="24"/>
      <c r="BG20" s="24"/>
      <c r="BH20" s="24"/>
      <c r="BI20" s="24"/>
      <c r="BJ20" s="20"/>
      <c r="BK20" s="24"/>
      <c r="BL20" s="24"/>
      <c r="BM20" s="24"/>
      <c r="BN20" s="20"/>
      <c r="BO20" s="20"/>
      <c r="BP20" s="21"/>
      <c r="BQ20" s="21"/>
      <c r="BR20" s="21"/>
      <c r="BS20" s="21"/>
      <c r="BT20" s="20"/>
      <c r="BU20" s="25"/>
      <c r="BV20" s="21"/>
      <c r="BW20" s="15"/>
      <c r="BX20" s="15"/>
    </row>
    <row r="21" spans="1:76" ht="7.5" customHeight="1" x14ac:dyDescent="0.25">
      <c r="C21" s="11"/>
      <c r="D21" s="12"/>
      <c r="E21" s="12"/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V21" s="15"/>
      <c r="W21" s="15"/>
      <c r="X21" s="15"/>
      <c r="Y21" s="15"/>
      <c r="Z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3"/>
      <c r="AS21" s="14"/>
      <c r="AU21" s="15"/>
      <c r="AV21" s="15"/>
      <c r="AW21" s="15"/>
      <c r="AX21" s="15"/>
      <c r="AY21" s="15"/>
      <c r="AZ21" s="15"/>
      <c r="BA21" s="15"/>
      <c r="BB21" s="9"/>
      <c r="BC21" s="9"/>
      <c r="BD21" s="9"/>
      <c r="BF21" s="9"/>
      <c r="BG21" s="9"/>
      <c r="BH21" s="9"/>
      <c r="BI21" s="9"/>
      <c r="BK21" s="9"/>
      <c r="BL21" s="9"/>
      <c r="BM21" s="9"/>
      <c r="BP21" s="15"/>
      <c r="BQ21" s="15"/>
      <c r="BR21" s="15"/>
      <c r="BS21" s="15"/>
      <c r="BU21" s="10"/>
      <c r="BV21" s="15"/>
      <c r="BW21" s="15"/>
      <c r="BX21" s="15"/>
    </row>
    <row r="22" spans="1:76" ht="23.25" x14ac:dyDescent="0.25">
      <c r="C22" s="11"/>
      <c r="D22" s="12"/>
      <c r="E22" s="12"/>
      <c r="F22" s="60" t="s">
        <v>76</v>
      </c>
      <c r="H22" s="12"/>
      <c r="AS22" s="14"/>
      <c r="AT22" s="15"/>
      <c r="BS22" s="15"/>
      <c r="BU22" s="10"/>
    </row>
    <row r="23" spans="1:76" ht="16.5" customHeight="1" x14ac:dyDescent="0.25">
      <c r="C23" s="11"/>
      <c r="D23" s="12"/>
      <c r="E23" s="12"/>
      <c r="F23" s="12"/>
      <c r="G23" s="18"/>
      <c r="H23" s="12"/>
      <c r="AS23" s="14"/>
      <c r="AT23" s="15"/>
      <c r="BS23" s="15"/>
      <c r="BU23" s="10"/>
    </row>
    <row r="24" spans="1:76" s="11" customFormat="1" x14ac:dyDescent="0.25">
      <c r="A24" s="165" t="s">
        <v>242</v>
      </c>
      <c r="B24" s="166" t="s">
        <v>243</v>
      </c>
      <c r="C24" s="167" t="s">
        <v>0</v>
      </c>
      <c r="D24" s="168" t="s">
        <v>79</v>
      </c>
      <c r="E24" s="167" t="s">
        <v>2</v>
      </c>
      <c r="F24" s="470" t="s">
        <v>75</v>
      </c>
      <c r="G24" s="470" t="s">
        <v>3748</v>
      </c>
      <c r="H24" s="470" t="s">
        <v>2228</v>
      </c>
      <c r="I24" s="73"/>
      <c r="J24" s="6"/>
      <c r="K24" s="73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13"/>
      <c r="AS24" s="14"/>
      <c r="AT24" s="15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15"/>
      <c r="BT24" s="4"/>
      <c r="BU24" s="4"/>
      <c r="BV24" s="4"/>
      <c r="BW24" s="4"/>
      <c r="BX24" s="4"/>
    </row>
    <row r="25" spans="1:76" s="11" customFormat="1" x14ac:dyDescent="0.25">
      <c r="A25" s="372">
        <v>43035</v>
      </c>
      <c r="B25" s="206" t="s">
        <v>14</v>
      </c>
      <c r="C25" s="356" t="s">
        <v>3681</v>
      </c>
      <c r="D25" s="17" t="s">
        <v>73</v>
      </c>
      <c r="E25" s="59" t="str">
        <f>VLOOKUP(C25,'[1]2018 Pricing'!$K$12:$O$3176,5,0)</f>
        <v>Cartridge Fuel Filter</v>
      </c>
      <c r="F25" s="26" t="s">
        <v>117</v>
      </c>
      <c r="G25" s="216" t="s">
        <v>3745</v>
      </c>
      <c r="H25" s="327" t="s">
        <v>3715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s="11" customFormat="1" x14ac:dyDescent="0.25">
      <c r="A26" s="372">
        <v>43035</v>
      </c>
      <c r="B26" s="323" t="s">
        <v>14</v>
      </c>
      <c r="C26" s="356" t="s">
        <v>3682</v>
      </c>
      <c r="D26" s="17" t="s">
        <v>3706</v>
      </c>
      <c r="E26" s="59" t="str">
        <f>VLOOKUP(C26,'[2]L-F Filters'!$G$14:$H$5075,2,0)</f>
        <v>Spin-on Oil Filter</v>
      </c>
      <c r="F26" s="26" t="s">
        <v>117</v>
      </c>
      <c r="G26" s="216" t="s">
        <v>3745</v>
      </c>
      <c r="H26" s="327" t="s">
        <v>3716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s="11" customFormat="1" x14ac:dyDescent="0.25">
      <c r="A27" s="372">
        <v>43035</v>
      </c>
      <c r="B27" s="323" t="s">
        <v>14</v>
      </c>
      <c r="C27" s="356" t="s">
        <v>3707</v>
      </c>
      <c r="D27" s="17" t="s">
        <v>73</v>
      </c>
      <c r="E27" s="59" t="s">
        <v>3713</v>
      </c>
      <c r="F27" s="26" t="s">
        <v>117</v>
      </c>
      <c r="G27" s="216" t="s">
        <v>3745</v>
      </c>
      <c r="H27" s="327" t="s">
        <v>3717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s="11" customFormat="1" x14ac:dyDescent="0.25">
      <c r="A28" s="372">
        <v>43035</v>
      </c>
      <c r="B28" s="323" t="s">
        <v>14</v>
      </c>
      <c r="C28" s="356" t="s">
        <v>3683</v>
      </c>
      <c r="D28" s="17" t="s">
        <v>73</v>
      </c>
      <c r="E28" s="59" t="str">
        <f>VLOOKUP(C28,'[1]2018 Pricing'!$K$12:$O$3176,5,0)</f>
        <v>Radial Seal Outer Air Filter</v>
      </c>
      <c r="F28" s="26" t="s">
        <v>117</v>
      </c>
      <c r="G28" s="216" t="s">
        <v>3745</v>
      </c>
      <c r="H28" s="327" t="s">
        <v>3718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s="11" customFormat="1" x14ac:dyDescent="0.25">
      <c r="A29" s="372">
        <v>43035</v>
      </c>
      <c r="B29" s="323" t="s">
        <v>14</v>
      </c>
      <c r="C29" s="356" t="s">
        <v>3684</v>
      </c>
      <c r="D29" s="17" t="s">
        <v>73</v>
      </c>
      <c r="E29" s="59" t="str">
        <f>VLOOKUP(C29,'[1]2018 Pricing'!$K$12:$O$3176,5,0)</f>
        <v>HD Metal-End Air Filter</v>
      </c>
      <c r="F29" s="26" t="s">
        <v>117</v>
      </c>
      <c r="G29" s="216" t="s">
        <v>3745</v>
      </c>
      <c r="H29" s="327" t="s">
        <v>3719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s="11" customFormat="1" x14ac:dyDescent="0.25">
      <c r="A30" s="372">
        <v>43035</v>
      </c>
      <c r="B30" s="323" t="s">
        <v>14</v>
      </c>
      <c r="C30" s="356" t="s">
        <v>3685</v>
      </c>
      <c r="D30" s="17" t="s">
        <v>73</v>
      </c>
      <c r="E30" s="59" t="str">
        <f>VLOOKUP(C30,'[1]2018 Pricing'!$K$12:$O$3176,5,0)</f>
        <v>HD Metal-End Inner Air Filter</v>
      </c>
      <c r="F30" s="26" t="s">
        <v>117</v>
      </c>
      <c r="G30" s="216" t="s">
        <v>3745</v>
      </c>
      <c r="H30" s="327" t="s">
        <v>3720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s="11" customFormat="1" x14ac:dyDescent="0.25">
      <c r="A31" s="372">
        <v>43035</v>
      </c>
      <c r="B31" s="323" t="s">
        <v>14</v>
      </c>
      <c r="C31" s="356" t="s">
        <v>3686</v>
      </c>
      <c r="D31" s="17" t="s">
        <v>240</v>
      </c>
      <c r="E31" s="59" t="str">
        <f>VLOOKUP(C31,'[2]L-F Filters'!$G$14:$H$5075,2,0)</f>
        <v>Oval Air Filter</v>
      </c>
      <c r="F31" s="26" t="s">
        <v>117</v>
      </c>
      <c r="G31" s="216" t="s">
        <v>3745</v>
      </c>
      <c r="H31" s="327" t="s">
        <v>3721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s="11" customFormat="1" x14ac:dyDescent="0.25">
      <c r="A32" s="372">
        <v>43035</v>
      </c>
      <c r="B32" s="323" t="s">
        <v>14</v>
      </c>
      <c r="C32" s="356" t="s">
        <v>3687</v>
      </c>
      <c r="D32" s="17" t="s">
        <v>240</v>
      </c>
      <c r="E32" s="59" t="str">
        <f>VLOOKUP(C32,'[2]L-F Filters'!$G$14:$H$5075,2,0)</f>
        <v>Round Air Filter</v>
      </c>
      <c r="F32" s="26" t="s">
        <v>117</v>
      </c>
      <c r="G32" s="216" t="s">
        <v>3745</v>
      </c>
      <c r="H32" s="327" t="s">
        <v>3722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11" customFormat="1" x14ac:dyDescent="0.25">
      <c r="A33" s="372">
        <v>43035</v>
      </c>
      <c r="B33" s="323" t="s">
        <v>14</v>
      </c>
      <c r="C33" s="356" t="s">
        <v>3688</v>
      </c>
      <c r="D33" s="17" t="s">
        <v>240</v>
      </c>
      <c r="E33" s="59" t="str">
        <f>VLOOKUP(C33,'[2]L-F Filters'!$G$14:$H$5075,2,0)</f>
        <v>Air Filter</v>
      </c>
      <c r="F33" s="26" t="s">
        <v>117</v>
      </c>
      <c r="G33" s="216" t="s">
        <v>3745</v>
      </c>
      <c r="H33" s="327" t="s">
        <v>3723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11" customFormat="1" x14ac:dyDescent="0.25">
      <c r="A34" s="372">
        <v>43035</v>
      </c>
      <c r="B34" s="323" t="s">
        <v>14</v>
      </c>
      <c r="C34" s="356" t="s">
        <v>3689</v>
      </c>
      <c r="D34" s="17" t="s">
        <v>73</v>
      </c>
      <c r="E34" s="59" t="str">
        <f>VLOOKUP(C34,'[1]2018 Pricing'!$K$12:$O$3176,5,0)</f>
        <v>Cartridge Fuel Filter</v>
      </c>
      <c r="F34" s="26" t="s">
        <v>3746</v>
      </c>
      <c r="G34" s="216" t="s">
        <v>3747</v>
      </c>
      <c r="H34" s="327" t="s">
        <v>3724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11" customFormat="1" x14ac:dyDescent="0.25">
      <c r="A35" s="372">
        <v>43035</v>
      </c>
      <c r="B35" s="323" t="s">
        <v>14</v>
      </c>
      <c r="C35" s="356" t="s">
        <v>3411</v>
      </c>
      <c r="D35" s="17" t="s">
        <v>240</v>
      </c>
      <c r="E35" s="59" t="s">
        <v>3410</v>
      </c>
      <c r="F35" s="26" t="s">
        <v>117</v>
      </c>
      <c r="G35" s="216" t="s">
        <v>3745</v>
      </c>
      <c r="H35" s="327" t="s">
        <v>3412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s="11" customFormat="1" x14ac:dyDescent="0.25">
      <c r="A36" s="372">
        <v>43035</v>
      </c>
      <c r="B36" s="323" t="s">
        <v>14</v>
      </c>
      <c r="C36" s="356" t="s">
        <v>3690</v>
      </c>
      <c r="D36" s="17" t="s">
        <v>73</v>
      </c>
      <c r="E36" s="59" t="str">
        <f>VLOOKUP(C36,'[1]2018 Pricing'!$K$12:$O$3176,5,0)</f>
        <v>HD Metal-End Air Filter-Inner</v>
      </c>
      <c r="F36" s="26" t="s">
        <v>117</v>
      </c>
      <c r="G36" s="216" t="s">
        <v>3745</v>
      </c>
      <c r="H36" s="327" t="s">
        <v>3725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11" customFormat="1" x14ac:dyDescent="0.25">
      <c r="A37" s="372">
        <v>43035</v>
      </c>
      <c r="B37" s="323" t="s">
        <v>14</v>
      </c>
      <c r="C37" s="356" t="s">
        <v>3691</v>
      </c>
      <c r="D37" s="17" t="s">
        <v>73</v>
      </c>
      <c r="E37" s="59" t="str">
        <f>VLOOKUP(C37,'[1]2018 Pricing'!$K$12:$O$3176,5,0)</f>
        <v>HD Round Finned Air Filter with Attached Lid</v>
      </c>
      <c r="F37" s="26" t="s">
        <v>117</v>
      </c>
      <c r="G37" s="216" t="s">
        <v>3745</v>
      </c>
      <c r="H37" s="327" t="s">
        <v>3726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11" customFormat="1" x14ac:dyDescent="0.25">
      <c r="A38" s="372">
        <v>43035</v>
      </c>
      <c r="B38" s="323" t="s">
        <v>14</v>
      </c>
      <c r="C38" s="356" t="s">
        <v>3708</v>
      </c>
      <c r="D38" s="17" t="s">
        <v>240</v>
      </c>
      <c r="E38" s="59" t="str">
        <f>VLOOKUP(C38,'[2]L-F Filters'!$G$14:$H$5075,2,0)</f>
        <v>Flexible Panel Air Filter</v>
      </c>
      <c r="F38" s="26" t="s">
        <v>3746</v>
      </c>
      <c r="G38" s="216" t="s">
        <v>3747</v>
      </c>
      <c r="H38" s="327" t="s">
        <v>3727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11" customFormat="1" x14ac:dyDescent="0.25">
      <c r="A39" s="372">
        <v>43035</v>
      </c>
      <c r="B39" s="323" t="s">
        <v>14</v>
      </c>
      <c r="C39" s="356" t="s">
        <v>3692</v>
      </c>
      <c r="D39" s="17" t="s">
        <v>73</v>
      </c>
      <c r="E39" s="59" t="str">
        <f>VLOOKUP(C39,'[1]2018 Pricing'!$K$12:$O$3176,5,0)</f>
        <v>Round Inner Air Filter</v>
      </c>
      <c r="F39" s="26" t="s">
        <v>3746</v>
      </c>
      <c r="G39" s="216" t="s">
        <v>3747</v>
      </c>
      <c r="H39" s="327" t="s">
        <v>3728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s="11" customFormat="1" x14ac:dyDescent="0.25">
      <c r="A40" s="372">
        <v>43035</v>
      </c>
      <c r="B40" s="323" t="s">
        <v>14</v>
      </c>
      <c r="C40" s="356" t="s">
        <v>3693</v>
      </c>
      <c r="D40" s="17" t="s">
        <v>73</v>
      </c>
      <c r="E40" s="59" t="str">
        <f>VLOOKUP(C40,'[1]2018 Pricing'!$K$12:$O$3176,5,0)</f>
        <v>Oval Air Filter</v>
      </c>
      <c r="F40" s="26" t="s">
        <v>117</v>
      </c>
      <c r="G40" s="216" t="s">
        <v>3745</v>
      </c>
      <c r="H40" s="327" t="s">
        <v>3729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s="11" customFormat="1" x14ac:dyDescent="0.25">
      <c r="A41" s="372">
        <v>43035</v>
      </c>
      <c r="B41" s="323" t="s">
        <v>14</v>
      </c>
      <c r="C41" s="356" t="s">
        <v>3694</v>
      </c>
      <c r="D41" s="17" t="s">
        <v>73</v>
      </c>
      <c r="E41" s="59" t="str">
        <f>VLOOKUP(C41,'[1]2018 Pricing'!$K$12:$O$3176,5,0)</f>
        <v>Cone Shaped Air Filter With Attached Lid</v>
      </c>
      <c r="F41" s="26" t="s">
        <v>117</v>
      </c>
      <c r="G41" s="216" t="s">
        <v>3745</v>
      </c>
      <c r="H41" s="327" t="s">
        <v>3730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s="11" customFormat="1" x14ac:dyDescent="0.25">
      <c r="A42" s="372">
        <v>43035</v>
      </c>
      <c r="B42" s="323" t="s">
        <v>14</v>
      </c>
      <c r="C42" s="356" t="s">
        <v>3695</v>
      </c>
      <c r="D42" s="17" t="s">
        <v>73</v>
      </c>
      <c r="E42" s="59" t="str">
        <f>VLOOKUP(C42,'[1]2018 Pricing'!$K$12:$O$3176,5,0)</f>
        <v>Spin-on Fuel Filter</v>
      </c>
      <c r="F42" s="26" t="s">
        <v>117</v>
      </c>
      <c r="G42" s="216" t="s">
        <v>3745</v>
      </c>
      <c r="H42" s="327" t="s">
        <v>3731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s="11" customFormat="1" x14ac:dyDescent="0.25">
      <c r="A43" s="372">
        <v>43035</v>
      </c>
      <c r="B43" s="323" t="s">
        <v>14</v>
      </c>
      <c r="C43" s="356" t="s">
        <v>3709</v>
      </c>
      <c r="D43" s="17" t="s">
        <v>73</v>
      </c>
      <c r="E43" s="59" t="s">
        <v>3712</v>
      </c>
      <c r="F43" s="26" t="s">
        <v>117</v>
      </c>
      <c r="G43" s="216" t="s">
        <v>3745</v>
      </c>
      <c r="H43" s="327" t="s">
        <v>3732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s="11" customFormat="1" x14ac:dyDescent="0.25">
      <c r="A44" s="372">
        <v>43035</v>
      </c>
      <c r="B44" s="323" t="s">
        <v>14</v>
      </c>
      <c r="C44" s="356" t="s">
        <v>3696</v>
      </c>
      <c r="D44" s="17" t="s">
        <v>240</v>
      </c>
      <c r="E44" s="59" t="str">
        <f>VLOOKUP(C44,'[2]L-F Filters'!$G$14:$H$5075,2,0)</f>
        <v>Oval Air Filter</v>
      </c>
      <c r="F44" s="26" t="s">
        <v>117</v>
      </c>
      <c r="G44" s="216" t="s">
        <v>3745</v>
      </c>
      <c r="H44" s="327" t="s">
        <v>3733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s="11" customFormat="1" x14ac:dyDescent="0.25">
      <c r="A45" s="372">
        <v>43035</v>
      </c>
      <c r="B45" s="323" t="s">
        <v>14</v>
      </c>
      <c r="C45" s="356" t="s">
        <v>3697</v>
      </c>
      <c r="D45" s="17" t="s">
        <v>240</v>
      </c>
      <c r="E45" s="59" t="str">
        <f>VLOOKUP(C45,'[2]L-F Filters'!$G$14:$H$5075,2,0)</f>
        <v>In-Line Fuel Filter</v>
      </c>
      <c r="F45" s="26" t="s">
        <v>117</v>
      </c>
      <c r="G45" s="216" t="s">
        <v>3745</v>
      </c>
      <c r="H45" s="327" t="s">
        <v>3734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s="11" customFormat="1" x14ac:dyDescent="0.25">
      <c r="A46" s="372">
        <v>43035</v>
      </c>
      <c r="B46" s="323" t="s">
        <v>14</v>
      </c>
      <c r="C46" s="356" t="s">
        <v>3698</v>
      </c>
      <c r="D46" s="17" t="s">
        <v>73</v>
      </c>
      <c r="E46" s="59" t="str">
        <f>VLOOKUP(C46,'[1]2018 Pricing'!$K$12:$O$3176,5,0)</f>
        <v>Cartridge Oil Filter</v>
      </c>
      <c r="F46" s="26" t="s">
        <v>117</v>
      </c>
      <c r="G46" s="216" t="s">
        <v>3745</v>
      </c>
      <c r="H46" s="327" t="s">
        <v>3735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s="11" customFormat="1" x14ac:dyDescent="0.25">
      <c r="A47" s="372">
        <v>43035</v>
      </c>
      <c r="B47" s="323" t="s">
        <v>14</v>
      </c>
      <c r="C47" s="356" t="s">
        <v>3699</v>
      </c>
      <c r="D47" s="17" t="s">
        <v>73</v>
      </c>
      <c r="E47" s="59" t="str">
        <f>VLOOKUP(C47,'[1]2018 Pricing'!$K$12:$O$3176,5,0)</f>
        <v>Finned Vane Air Filter</v>
      </c>
      <c r="F47" s="26" t="s">
        <v>117</v>
      </c>
      <c r="G47" s="216" t="s">
        <v>3745</v>
      </c>
      <c r="H47" s="327" t="s">
        <v>3736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s="11" customFormat="1" x14ac:dyDescent="0.25">
      <c r="A48" s="372">
        <v>43035</v>
      </c>
      <c r="B48" s="323" t="s">
        <v>14</v>
      </c>
      <c r="C48" s="356" t="s">
        <v>3700</v>
      </c>
      <c r="D48" s="17" t="s">
        <v>73</v>
      </c>
      <c r="E48" s="59" t="str">
        <f>VLOOKUP(C48,'[1]2018 Pricing'!$K$12:$O$3176,5,0)</f>
        <v>Round Air Filter</v>
      </c>
      <c r="F48" s="26" t="s">
        <v>117</v>
      </c>
      <c r="G48" s="216" t="s">
        <v>3745</v>
      </c>
      <c r="H48" s="327" t="s">
        <v>3737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s="11" customFormat="1" x14ac:dyDescent="0.25">
      <c r="A49" s="372">
        <v>43035</v>
      </c>
      <c r="B49" s="323" t="s">
        <v>14</v>
      </c>
      <c r="C49" s="356" t="s">
        <v>3701</v>
      </c>
      <c r="D49" s="17" t="s">
        <v>240</v>
      </c>
      <c r="E49" s="59" t="str">
        <f>VLOOKUP(C49,'[2]L-F Filters'!$G$14:$H$5075,2,0)</f>
        <v>Breather Filter</v>
      </c>
      <c r="F49" s="26" t="s">
        <v>117</v>
      </c>
      <c r="G49" s="216" t="s">
        <v>3745</v>
      </c>
      <c r="H49" s="327" t="s">
        <v>3738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s="11" customFormat="1" x14ac:dyDescent="0.25">
      <c r="A50" s="372">
        <v>43035</v>
      </c>
      <c r="B50" s="323" t="s">
        <v>14</v>
      </c>
      <c r="C50" s="356" t="s">
        <v>3702</v>
      </c>
      <c r="D50" s="17" t="s">
        <v>240</v>
      </c>
      <c r="E50" s="59" t="str">
        <f>VLOOKUP(C50,'[2]L-F Filters'!$G$14:$H$5075,2,0)</f>
        <v>In-Line Fuel Filter</v>
      </c>
      <c r="F50" s="26" t="s">
        <v>117</v>
      </c>
      <c r="G50" s="216" t="s">
        <v>3745</v>
      </c>
      <c r="H50" s="327" t="s">
        <v>3739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s="11" customFormat="1" x14ac:dyDescent="0.25">
      <c r="A51" s="372">
        <v>43035</v>
      </c>
      <c r="B51" s="323" t="s">
        <v>14</v>
      </c>
      <c r="C51" s="356" t="s">
        <v>3703</v>
      </c>
      <c r="D51" s="17" t="s">
        <v>240</v>
      </c>
      <c r="E51" s="59" t="str">
        <f>VLOOKUP(C51,'[2]L-F Filters'!$G$14:$H$5075,2,0)</f>
        <v>In-Line Fuel Filter</v>
      </c>
      <c r="F51" s="26" t="s">
        <v>117</v>
      </c>
      <c r="G51" s="216" t="s">
        <v>3745</v>
      </c>
      <c r="H51" s="327" t="s">
        <v>3740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s="11" customFormat="1" x14ac:dyDescent="0.25">
      <c r="A52" s="372">
        <v>43035</v>
      </c>
      <c r="B52" s="323" t="s">
        <v>14</v>
      </c>
      <c r="C52" s="356" t="s">
        <v>3704</v>
      </c>
      <c r="D52" s="17" t="s">
        <v>73</v>
      </c>
      <c r="E52" s="59" t="str">
        <f>VLOOKUP(C52,'[1]2018 Pricing'!$K$12:$O$3176,5,0)</f>
        <v>HD Round Air Filter with Attached Boot</v>
      </c>
      <c r="F52" s="26" t="s">
        <v>3746</v>
      </c>
      <c r="G52" s="216" t="s">
        <v>3747</v>
      </c>
      <c r="H52" s="327" t="s">
        <v>3741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s="11" customFormat="1" x14ac:dyDescent="0.25">
      <c r="A53" s="372">
        <v>43035</v>
      </c>
      <c r="B53" s="323" t="s">
        <v>14</v>
      </c>
      <c r="C53" s="356" t="s">
        <v>3705</v>
      </c>
      <c r="D53" s="17" t="s">
        <v>73</v>
      </c>
      <c r="E53" s="59" t="str">
        <f>VLOOKUP(C53,'[1]2018 Pricing'!$K$12:$O$3176,5,0)</f>
        <v>Finned Vane Air Filter</v>
      </c>
      <c r="F53" s="26" t="s">
        <v>117</v>
      </c>
      <c r="G53" s="216" t="s">
        <v>3745</v>
      </c>
      <c r="H53" s="327" t="s">
        <v>3742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s="11" customFormat="1" x14ac:dyDescent="0.25">
      <c r="A54" s="372">
        <v>43035</v>
      </c>
      <c r="B54" s="323" t="s">
        <v>14</v>
      </c>
      <c r="C54" s="356" t="s">
        <v>3711</v>
      </c>
      <c r="D54" s="17" t="s">
        <v>73</v>
      </c>
      <c r="E54" s="59" t="s">
        <v>3714</v>
      </c>
      <c r="F54" s="26" t="s">
        <v>117</v>
      </c>
      <c r="G54" s="216" t="s">
        <v>3745</v>
      </c>
      <c r="H54" s="327" t="s">
        <v>3743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1:76" s="11" customFormat="1" x14ac:dyDescent="0.25">
      <c r="A55" s="372">
        <v>43035</v>
      </c>
      <c r="B55" s="323" t="s">
        <v>14</v>
      </c>
      <c r="C55" s="356" t="s">
        <v>3710</v>
      </c>
      <c r="D55" s="17" t="s">
        <v>73</v>
      </c>
      <c r="E55" s="59" t="str">
        <f>VLOOKUP(C55,'[1]2018 Pricing'!$K$12:$O$3176,5,0)</f>
        <v>Cartridge Fuel Filter</v>
      </c>
      <c r="F55" s="26" t="s">
        <v>117</v>
      </c>
      <c r="G55" s="216" t="s">
        <v>3745</v>
      </c>
      <c r="H55" s="327" t="s">
        <v>3744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</row>
    <row r="56" spans="1:76" s="11" customFormat="1" x14ac:dyDescent="0.25">
      <c r="A56" s="372"/>
      <c r="B56" s="323"/>
      <c r="C56" s="363"/>
      <c r="D56" s="17"/>
      <c r="E56" s="59"/>
      <c r="F56" s="360"/>
      <c r="G56" s="216"/>
      <c r="H56" s="32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1:76" s="11" customFormat="1" x14ac:dyDescent="0.25">
      <c r="A57" s="372"/>
      <c r="B57" s="323"/>
      <c r="C57" s="363"/>
      <c r="D57" s="17"/>
      <c r="E57" s="59"/>
      <c r="F57" s="360"/>
      <c r="G57" s="216"/>
      <c r="H57" s="32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x14ac:dyDescent="0.25">
      <c r="A58" s="241"/>
      <c r="B58" s="323"/>
      <c r="C58" s="356"/>
      <c r="D58" s="17"/>
      <c r="E58" s="59"/>
      <c r="F58" s="360"/>
      <c r="G58" s="216"/>
      <c r="H58" s="327"/>
    </row>
    <row r="59" spans="1:76" x14ac:dyDescent="0.25">
      <c r="A59" s="241"/>
      <c r="B59" s="323"/>
      <c r="C59" s="356"/>
      <c r="D59" s="17"/>
      <c r="E59" s="59"/>
      <c r="F59" s="360"/>
      <c r="G59" s="216"/>
      <c r="H59" s="327"/>
    </row>
    <row r="60" spans="1:76" ht="7.5" customHeight="1" x14ac:dyDescent="0.25">
      <c r="A60" s="58"/>
      <c r="B60" s="58"/>
      <c r="C60" s="58"/>
      <c r="D60" s="19"/>
      <c r="E60" s="19"/>
      <c r="F60" s="19"/>
      <c r="G60" s="19"/>
      <c r="H60" s="19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0"/>
      <c r="V60" s="21"/>
      <c r="W60" s="21"/>
      <c r="X60" s="21"/>
      <c r="Y60" s="21"/>
      <c r="Z60" s="21"/>
      <c r="AA60" s="20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2"/>
      <c r="AS60" s="23"/>
      <c r="AT60" s="20"/>
      <c r="AU60" s="21"/>
      <c r="AV60" s="21"/>
      <c r="AW60" s="21"/>
      <c r="AX60" s="21"/>
      <c r="AY60" s="21"/>
      <c r="AZ60" s="21"/>
      <c r="BA60" s="21"/>
      <c r="BB60" s="24"/>
      <c r="BC60" s="24"/>
      <c r="BD60" s="24"/>
      <c r="BE60" s="20"/>
      <c r="BF60" s="24"/>
      <c r="BG60" s="24"/>
      <c r="BH60" s="24"/>
      <c r="BI60" s="24"/>
      <c r="BJ60" s="20"/>
      <c r="BK60" s="24"/>
      <c r="BL60" s="24"/>
      <c r="BM60" s="24"/>
      <c r="BN60" s="20"/>
      <c r="BO60" s="20"/>
      <c r="BP60" s="21"/>
      <c r="BQ60" s="21"/>
      <c r="BR60" s="21"/>
      <c r="BS60" s="21"/>
      <c r="BT60" s="20"/>
      <c r="BU60" s="25"/>
      <c r="BV60" s="21"/>
      <c r="BW60" s="15"/>
      <c r="BX60" s="15"/>
    </row>
  </sheetData>
  <mergeCells count="11">
    <mergeCell ref="BB7:BF7"/>
    <mergeCell ref="BB6:BF6"/>
    <mergeCell ref="BG4:BK4"/>
    <mergeCell ref="BL4:BU4"/>
    <mergeCell ref="AV4:BA4"/>
    <mergeCell ref="BB4:BF4"/>
    <mergeCell ref="A4:F4"/>
    <mergeCell ref="G4:T4"/>
    <mergeCell ref="U4:AQ4"/>
    <mergeCell ref="AR4:AS4"/>
    <mergeCell ref="AT4:AU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CF400"/>
  <sheetViews>
    <sheetView showGridLines="0" zoomScaleNormal="100" workbookViewId="0">
      <pane xSplit="3" ySplit="6" topLeftCell="D7" activePane="bottomRight" state="frozen"/>
      <selection activeCell="F97" sqref="F97"/>
      <selection pane="topRight" activeCell="F97" sqref="F97"/>
      <selection pane="bottomLeft" activeCell="F97" sqref="F97"/>
      <selection pane="bottomRight" activeCell="A8" sqref="A8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13.7109375" style="15" customWidth="1"/>
    <col min="4" max="4" width="8.7109375" style="15" customWidth="1"/>
    <col min="5" max="5" width="35.140625" style="4" customWidth="1"/>
    <col min="6" max="6" width="53.85546875" style="11" customWidth="1"/>
    <col min="7" max="7" width="23.85546875" style="4" bestFit="1" customWidth="1"/>
    <col min="8" max="8" width="18.42578125" style="4" bestFit="1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hidden="1" customWidth="1"/>
    <col min="18" max="18" width="9.7109375" style="4" hidden="1" customWidth="1"/>
    <col min="19" max="19" width="13.140625" style="4" hidden="1" customWidth="1"/>
    <col min="20" max="20" width="12.140625" style="4" hidden="1" customWidth="1"/>
    <col min="21" max="21" width="11.42578125" style="4" customWidth="1"/>
    <col min="22" max="22" width="11" style="4" bestFit="1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bestFit="1" customWidth="1"/>
    <col min="33" max="33" width="10.28515625" style="4" customWidth="1"/>
    <col min="34" max="34" width="15.5703125" style="4" customWidth="1"/>
    <col min="35" max="35" width="9.5703125" style="4" bestFit="1" customWidth="1"/>
    <col min="36" max="36" width="10.5703125" style="4" customWidth="1"/>
    <col min="37" max="37" width="7" style="4" bestFit="1" customWidth="1"/>
    <col min="38" max="38" width="9.28515625" style="4" customWidth="1"/>
    <col min="39" max="39" width="9.5703125" style="4" bestFit="1" customWidth="1"/>
    <col min="40" max="40" width="14.140625" style="4" customWidth="1"/>
    <col min="41" max="41" width="9.42578125" style="4" bestFit="1" customWidth="1"/>
    <col min="42" max="42" width="10.28515625" style="4" bestFit="1" customWidth="1"/>
    <col min="43" max="43" width="11.42578125" style="4" bestFit="1" customWidth="1"/>
    <col min="44" max="44" width="7.5703125" style="4" bestFit="1" customWidth="1"/>
    <col min="45" max="45" width="8.28515625" style="4" bestFit="1" customWidth="1"/>
    <col min="46" max="46" width="15.140625" style="4" bestFit="1" customWidth="1"/>
    <col min="47" max="47" width="16.140625" style="4" bestFit="1" customWidth="1"/>
    <col min="48" max="48" width="7" style="4" bestFit="1" customWidth="1"/>
    <col min="49" max="49" width="6.5703125" style="4" bestFit="1" customWidth="1"/>
    <col min="50" max="50" width="6.85546875" style="4" bestFit="1" customWidth="1"/>
    <col min="51" max="51" width="5.5703125" style="4" bestFit="1" customWidth="1"/>
    <col min="52" max="52" width="6.85546875" style="4" bestFit="1" customWidth="1"/>
    <col min="53" max="53" width="5.5703125" style="4" bestFit="1" customWidth="1"/>
    <col min="54" max="54" width="14.28515625" style="4" customWidth="1"/>
    <col min="55" max="56" width="7" style="4" bestFit="1" customWidth="1"/>
    <col min="57" max="57" width="12" style="4" bestFit="1" customWidth="1"/>
    <col min="58" max="58" width="7.5703125" style="4" bestFit="1" customWidth="1"/>
    <col min="59" max="61" width="7" style="4" bestFit="1" customWidth="1"/>
    <col min="62" max="62" width="12" style="4" bestFit="1" customWidth="1"/>
    <col min="63" max="63" width="7.5703125" style="4" bestFit="1" customWidth="1"/>
    <col min="64" max="65" width="7.5703125" style="4" customWidth="1"/>
    <col min="66" max="66" width="17.85546875" style="4" customWidth="1"/>
    <col min="67" max="67" width="10.42578125" style="4" bestFit="1" customWidth="1"/>
    <col min="68" max="68" width="12" style="4" bestFit="1" customWidth="1"/>
    <col min="69" max="70" width="14.42578125" style="4" bestFit="1" customWidth="1"/>
    <col min="71" max="71" width="13.28515625" style="4" bestFit="1" customWidth="1"/>
    <col min="72" max="72" width="16.28515625" style="4" bestFit="1" customWidth="1"/>
    <col min="73" max="73" width="22.28515625" style="4" customWidth="1"/>
    <col min="74" max="74" width="12.140625" style="4" hidden="1" customWidth="1"/>
    <col min="75" max="75" width="15.42578125" style="4" hidden="1" customWidth="1"/>
    <col min="76" max="76" width="12.42578125" style="4" hidden="1" customWidth="1"/>
    <col min="77" max="77" width="17.5703125" style="4" hidden="1" customWidth="1"/>
    <col min="78" max="16384" width="9.140625" style="4"/>
  </cols>
  <sheetData>
    <row r="1" spans="1:81" ht="23.25" x14ac:dyDescent="0.25">
      <c r="C1" s="56"/>
      <c r="F1" s="2" t="s">
        <v>1013</v>
      </c>
    </row>
    <row r="2" spans="1:81" ht="23.25" x14ac:dyDescent="0.25">
      <c r="F2" s="76" t="s">
        <v>3678</v>
      </c>
      <c r="H2" s="2"/>
      <c r="I2" s="3"/>
    </row>
    <row r="3" spans="1:81" ht="20.25" x14ac:dyDescent="0.25">
      <c r="F3" s="77"/>
    </row>
    <row r="4" spans="1:81" ht="20.25" x14ac:dyDescent="0.25">
      <c r="F4" s="35"/>
    </row>
    <row r="5" spans="1:81" ht="15.75" customHeight="1" x14ac:dyDescent="0.25">
      <c r="A5" s="460" t="s">
        <v>17</v>
      </c>
      <c r="B5" s="461"/>
      <c r="C5" s="461"/>
      <c r="D5" s="461"/>
      <c r="E5" s="461"/>
      <c r="F5" s="462"/>
      <c r="G5" s="463" t="s">
        <v>15</v>
      </c>
      <c r="H5" s="463"/>
      <c r="I5" s="463"/>
      <c r="J5" s="463"/>
      <c r="K5" s="463"/>
      <c r="L5" s="463"/>
      <c r="M5" s="463"/>
      <c r="N5" s="463"/>
      <c r="O5" s="463"/>
      <c r="P5" s="463"/>
      <c r="Q5" s="154"/>
      <c r="R5" s="79"/>
      <c r="S5" s="79"/>
      <c r="T5" s="79"/>
      <c r="U5" s="464" t="s">
        <v>16</v>
      </c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52" t="s">
        <v>81</v>
      </c>
      <c r="AS5" s="453"/>
      <c r="AT5" s="465" t="s">
        <v>19</v>
      </c>
      <c r="AU5" s="466"/>
      <c r="AV5" s="467" t="s">
        <v>87</v>
      </c>
      <c r="AW5" s="468"/>
      <c r="AX5" s="468"/>
      <c r="AY5" s="468"/>
      <c r="AZ5" s="468"/>
      <c r="BA5" s="469"/>
      <c r="BB5" s="447" t="s">
        <v>22</v>
      </c>
      <c r="BC5" s="447"/>
      <c r="BD5" s="447"/>
      <c r="BE5" s="447"/>
      <c r="BF5" s="447"/>
      <c r="BG5" s="448" t="s">
        <v>28</v>
      </c>
      <c r="BH5" s="448"/>
      <c r="BI5" s="448"/>
      <c r="BJ5" s="448"/>
      <c r="BK5" s="448"/>
      <c r="BL5" s="425" t="s">
        <v>34</v>
      </c>
      <c r="BM5" s="426"/>
      <c r="BN5" s="426"/>
      <c r="BO5" s="426"/>
      <c r="BP5" s="426"/>
      <c r="BQ5" s="426"/>
      <c r="BR5" s="426"/>
      <c r="BS5" s="426"/>
      <c r="BT5" s="426"/>
      <c r="BU5" s="427"/>
    </row>
    <row r="6" spans="1:81" s="56" customFormat="1" ht="30" x14ac:dyDescent="0.25">
      <c r="A6" s="165" t="s">
        <v>242</v>
      </c>
      <c r="B6" s="166" t="s">
        <v>243</v>
      </c>
      <c r="C6" s="167" t="s">
        <v>0</v>
      </c>
      <c r="D6" s="168" t="s">
        <v>79</v>
      </c>
      <c r="E6" s="167" t="s">
        <v>2</v>
      </c>
      <c r="F6" s="169" t="s">
        <v>1</v>
      </c>
      <c r="G6" s="155" t="s">
        <v>3</v>
      </c>
      <c r="H6" s="155" t="s">
        <v>7</v>
      </c>
      <c r="I6" s="155" t="s">
        <v>4</v>
      </c>
      <c r="J6" s="155" t="s">
        <v>6</v>
      </c>
      <c r="K6" s="155" t="s">
        <v>5</v>
      </c>
      <c r="L6" s="155" t="s">
        <v>56</v>
      </c>
      <c r="M6" s="155" t="s">
        <v>54</v>
      </c>
      <c r="N6" s="155" t="s">
        <v>57</v>
      </c>
      <c r="O6" s="155" t="s">
        <v>58</v>
      </c>
      <c r="P6" s="155" t="s">
        <v>59</v>
      </c>
      <c r="Q6" s="156" t="s">
        <v>60</v>
      </c>
      <c r="R6" s="156" t="s">
        <v>61</v>
      </c>
      <c r="S6" s="156" t="s">
        <v>77</v>
      </c>
      <c r="T6" s="156" t="s">
        <v>61</v>
      </c>
      <c r="U6" s="157" t="s">
        <v>8</v>
      </c>
      <c r="V6" s="157" t="s">
        <v>47</v>
      </c>
      <c r="W6" s="157" t="s">
        <v>9</v>
      </c>
      <c r="X6" s="157" t="s">
        <v>36</v>
      </c>
      <c r="Y6" s="157" t="s">
        <v>10</v>
      </c>
      <c r="Z6" s="157" t="s">
        <v>48</v>
      </c>
      <c r="AA6" s="157" t="s">
        <v>11</v>
      </c>
      <c r="AB6" s="157" t="s">
        <v>53</v>
      </c>
      <c r="AC6" s="157" t="s">
        <v>12</v>
      </c>
      <c r="AD6" s="157" t="s">
        <v>52</v>
      </c>
      <c r="AE6" s="157" t="s">
        <v>49</v>
      </c>
      <c r="AF6" s="326" t="s">
        <v>2407</v>
      </c>
      <c r="AG6" s="157" t="s">
        <v>14</v>
      </c>
      <c r="AH6" s="157" t="s">
        <v>37</v>
      </c>
      <c r="AI6" s="157" t="s">
        <v>50</v>
      </c>
      <c r="AJ6" s="157" t="s">
        <v>51</v>
      </c>
      <c r="AK6" s="157" t="s">
        <v>46</v>
      </c>
      <c r="AL6" s="157" t="s">
        <v>38</v>
      </c>
      <c r="AM6" s="157" t="s">
        <v>82</v>
      </c>
      <c r="AN6" s="157" t="s">
        <v>39</v>
      </c>
      <c r="AO6" s="157" t="s">
        <v>2065</v>
      </c>
      <c r="AP6" s="157" t="s">
        <v>40</v>
      </c>
      <c r="AQ6" s="157" t="s">
        <v>13</v>
      </c>
      <c r="AR6" s="184" t="s">
        <v>20</v>
      </c>
      <c r="AS6" s="184" t="s">
        <v>21</v>
      </c>
      <c r="AT6" s="158" t="s">
        <v>18</v>
      </c>
      <c r="AU6" s="158" t="s">
        <v>55</v>
      </c>
      <c r="AV6" s="183" t="s">
        <v>23</v>
      </c>
      <c r="AW6" s="183" t="s">
        <v>24</v>
      </c>
      <c r="AX6" s="183" t="s">
        <v>25</v>
      </c>
      <c r="AY6" s="183" t="s">
        <v>88</v>
      </c>
      <c r="AZ6" s="183" t="s">
        <v>25</v>
      </c>
      <c r="BA6" s="183" t="s">
        <v>89</v>
      </c>
      <c r="BB6" s="159" t="s">
        <v>23</v>
      </c>
      <c r="BC6" s="159" t="s">
        <v>24</v>
      </c>
      <c r="BD6" s="159" t="s">
        <v>25</v>
      </c>
      <c r="BE6" s="159" t="s">
        <v>26</v>
      </c>
      <c r="BF6" s="159" t="s">
        <v>27</v>
      </c>
      <c r="BG6" s="160" t="s">
        <v>23</v>
      </c>
      <c r="BH6" s="160" t="s">
        <v>24</v>
      </c>
      <c r="BI6" s="160" t="s">
        <v>25</v>
      </c>
      <c r="BJ6" s="160" t="s">
        <v>26</v>
      </c>
      <c r="BK6" s="160" t="s">
        <v>27</v>
      </c>
      <c r="BL6" s="349" t="s">
        <v>2825</v>
      </c>
      <c r="BM6" s="349" t="s">
        <v>2826</v>
      </c>
      <c r="BN6" s="185" t="s">
        <v>45</v>
      </c>
      <c r="BO6" s="185" t="s">
        <v>29</v>
      </c>
      <c r="BP6" s="185" t="s">
        <v>30</v>
      </c>
      <c r="BQ6" s="185" t="s">
        <v>31</v>
      </c>
      <c r="BR6" s="185" t="s">
        <v>32</v>
      </c>
      <c r="BS6" s="185" t="s">
        <v>33</v>
      </c>
      <c r="BT6" s="185" t="s">
        <v>35</v>
      </c>
      <c r="BU6" s="185" t="s">
        <v>44</v>
      </c>
      <c r="BV6" s="8" t="s">
        <v>41</v>
      </c>
      <c r="BW6" s="8" t="s">
        <v>42</v>
      </c>
      <c r="BX6" s="8" t="s">
        <v>43</v>
      </c>
      <c r="BY6" s="167" t="s">
        <v>3605</v>
      </c>
      <c r="BZ6" s="4"/>
    </row>
    <row r="7" spans="1:81" s="1" customFormat="1" ht="30" x14ac:dyDescent="0.25">
      <c r="A7" s="372">
        <v>43035</v>
      </c>
      <c r="B7" s="45" t="s">
        <v>14</v>
      </c>
      <c r="C7" s="216" t="s">
        <v>3667</v>
      </c>
      <c r="D7" s="45" t="s">
        <v>73</v>
      </c>
      <c r="E7" s="45" t="s">
        <v>3632</v>
      </c>
      <c r="F7" s="34" t="s">
        <v>3670</v>
      </c>
      <c r="G7" s="1" t="s">
        <v>3671</v>
      </c>
      <c r="H7" s="17" t="s">
        <v>3676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 t="s">
        <v>3669</v>
      </c>
      <c r="V7" s="17"/>
      <c r="W7" s="17"/>
      <c r="X7" s="17"/>
      <c r="Y7" s="17" t="s">
        <v>3672</v>
      </c>
      <c r="Z7" s="17"/>
      <c r="AA7" s="17" t="s">
        <v>3673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63">
        <v>38.729999999999997</v>
      </c>
      <c r="AS7" s="27">
        <f>AR7/0.444</f>
        <v>87.229729729729726</v>
      </c>
      <c r="AT7" s="403" t="s">
        <v>3679</v>
      </c>
      <c r="AU7" s="409">
        <v>10038568745337</v>
      </c>
      <c r="AV7" s="44"/>
      <c r="AW7" s="44"/>
      <c r="AX7" s="44"/>
      <c r="AY7" s="122">
        <v>7.29</v>
      </c>
      <c r="AZ7" s="122">
        <v>13.94</v>
      </c>
      <c r="BA7" s="385"/>
      <c r="BB7" s="419" t="s">
        <v>1059</v>
      </c>
      <c r="BC7" s="420"/>
      <c r="BD7" s="420"/>
      <c r="BE7" s="420"/>
      <c r="BF7" s="421"/>
      <c r="BG7" s="209">
        <v>8.11</v>
      </c>
      <c r="BH7" s="209">
        <v>7.77</v>
      </c>
      <c r="BI7" s="209">
        <v>15.34</v>
      </c>
      <c r="BJ7" s="371">
        <v>0.55940000000000001</v>
      </c>
      <c r="BK7" s="209">
        <v>0.85</v>
      </c>
      <c r="BL7" s="209">
        <v>2.63</v>
      </c>
      <c r="BM7" s="371">
        <f>BK7+BL7</f>
        <v>3.48</v>
      </c>
      <c r="BN7" s="209" t="s">
        <v>3658</v>
      </c>
      <c r="BO7" s="17">
        <v>1</v>
      </c>
      <c r="BP7" s="78">
        <v>30</v>
      </c>
      <c r="BQ7" s="78">
        <v>2</v>
      </c>
      <c r="BR7" s="209">
        <v>60</v>
      </c>
      <c r="BS7" s="17">
        <v>258.8</v>
      </c>
      <c r="BT7" s="209" t="s">
        <v>62</v>
      </c>
      <c r="BU7" s="225" t="s">
        <v>67</v>
      </c>
      <c r="BV7" s="191"/>
      <c r="BW7" s="191"/>
      <c r="BX7" s="82"/>
      <c r="BY7" s="397"/>
    </row>
    <row r="8" spans="1:81" s="1" customFormat="1" ht="30" x14ac:dyDescent="0.25">
      <c r="A8" s="372">
        <v>43035</v>
      </c>
      <c r="B8" s="45" t="s">
        <v>14</v>
      </c>
      <c r="C8" s="45" t="s">
        <v>3668</v>
      </c>
      <c r="D8" s="45" t="s">
        <v>73</v>
      </c>
      <c r="E8" s="45" t="s">
        <v>3637</v>
      </c>
      <c r="F8" s="96" t="s">
        <v>3674</v>
      </c>
      <c r="G8" s="59" t="s">
        <v>66</v>
      </c>
      <c r="H8" s="406" t="s">
        <v>3675</v>
      </c>
      <c r="I8" s="405"/>
      <c r="J8" s="405"/>
      <c r="K8" s="405"/>
      <c r="L8" s="30"/>
      <c r="M8" s="30"/>
      <c r="N8" s="30"/>
      <c r="O8" s="30"/>
      <c r="P8" s="30"/>
      <c r="Q8" s="30"/>
      <c r="R8" s="30"/>
      <c r="S8" s="30"/>
      <c r="T8" s="30"/>
      <c r="U8" s="407" t="s">
        <v>3677</v>
      </c>
      <c r="V8" s="41"/>
      <c r="W8" s="29"/>
      <c r="X8" s="41"/>
      <c r="Y8" s="37"/>
      <c r="Z8" s="41"/>
      <c r="AA8" s="29"/>
      <c r="AB8" s="405"/>
      <c r="AC8" s="405"/>
      <c r="AD8" s="59"/>
      <c r="AE8" s="405"/>
      <c r="AF8" s="405"/>
      <c r="AG8" s="405"/>
      <c r="AH8" s="405"/>
      <c r="AI8" s="405"/>
      <c r="AJ8" s="405"/>
      <c r="AK8" s="405"/>
      <c r="AL8" s="37"/>
      <c r="AM8" s="405"/>
      <c r="AN8" s="405"/>
      <c r="AO8" s="405"/>
      <c r="AP8" s="405"/>
      <c r="AQ8" s="405"/>
      <c r="AR8" s="63">
        <v>76.260000000000005</v>
      </c>
      <c r="AS8" s="27">
        <f>AR8/0.444</f>
        <v>171.75675675675677</v>
      </c>
      <c r="AT8" s="271" t="s">
        <v>3680</v>
      </c>
      <c r="AU8" s="402">
        <v>10038568745344</v>
      </c>
      <c r="AV8" s="44"/>
      <c r="AW8" s="44"/>
      <c r="AX8" s="44"/>
      <c r="AY8" s="408">
        <v>8</v>
      </c>
      <c r="AZ8" s="408">
        <v>11.64</v>
      </c>
      <c r="BA8" s="385"/>
      <c r="BB8" s="419" t="s">
        <v>1059</v>
      </c>
      <c r="BC8" s="420"/>
      <c r="BD8" s="420"/>
      <c r="BE8" s="420"/>
      <c r="BF8" s="421"/>
      <c r="BG8" s="202">
        <v>8.93</v>
      </c>
      <c r="BH8" s="202">
        <v>8.59</v>
      </c>
      <c r="BI8" s="202">
        <v>12.59</v>
      </c>
      <c r="BJ8" s="202">
        <v>0.55000000000000004</v>
      </c>
      <c r="BK8" s="370">
        <v>0.89</v>
      </c>
      <c r="BL8" s="371">
        <v>2.5</v>
      </c>
      <c r="BM8" s="371">
        <f>BK8+BL8</f>
        <v>3.39</v>
      </c>
      <c r="BN8" s="209" t="s">
        <v>3658</v>
      </c>
      <c r="BO8" s="209">
        <v>1</v>
      </c>
      <c r="BP8" s="209">
        <v>20</v>
      </c>
      <c r="BQ8" s="209">
        <v>3</v>
      </c>
      <c r="BR8" s="209">
        <v>60</v>
      </c>
      <c r="BS8" s="17">
        <v>253.4</v>
      </c>
      <c r="BT8" s="209" t="s">
        <v>62</v>
      </c>
      <c r="BU8" s="225" t="s">
        <v>67</v>
      </c>
      <c r="BV8" s="191"/>
      <c r="BW8" s="191"/>
      <c r="BX8" s="82"/>
      <c r="BY8" s="397"/>
    </row>
    <row r="9" spans="1:81" s="1" customFormat="1" x14ac:dyDescent="0.25">
      <c r="A9" s="372">
        <v>43004</v>
      </c>
      <c r="B9" s="45" t="s">
        <v>14</v>
      </c>
      <c r="C9" s="45" t="s">
        <v>3631</v>
      </c>
      <c r="D9" s="45" t="s">
        <v>73</v>
      </c>
      <c r="E9" s="45" t="s">
        <v>3632</v>
      </c>
      <c r="F9" s="364" t="s">
        <v>3633</v>
      </c>
      <c r="G9" s="59"/>
      <c r="H9" s="29"/>
      <c r="I9" s="396"/>
      <c r="J9" s="396"/>
      <c r="K9" s="396"/>
      <c r="L9" s="30"/>
      <c r="M9" s="30"/>
      <c r="N9" s="30"/>
      <c r="O9" s="80"/>
      <c r="P9" s="80"/>
      <c r="Q9" s="80"/>
      <c r="R9" s="80"/>
      <c r="S9" s="80"/>
      <c r="T9" s="80"/>
      <c r="U9" s="29" t="s">
        <v>3634</v>
      </c>
      <c r="V9" s="41"/>
      <c r="W9" s="29"/>
      <c r="X9" s="41"/>
      <c r="Y9" s="37" t="s">
        <v>3635</v>
      </c>
      <c r="Z9" s="41"/>
      <c r="AA9" s="29"/>
      <c r="AB9" s="396"/>
      <c r="AC9" s="396"/>
      <c r="AD9" s="59"/>
      <c r="AE9" s="396"/>
      <c r="AF9" s="396"/>
      <c r="AG9" s="396"/>
      <c r="AH9" s="396"/>
      <c r="AI9" s="396"/>
      <c r="AJ9" s="396"/>
      <c r="AK9" s="396"/>
      <c r="AL9" s="37"/>
      <c r="AM9" s="396"/>
      <c r="AN9" s="396"/>
      <c r="AO9" s="396"/>
      <c r="AP9" s="396"/>
      <c r="AQ9" s="396">
        <v>49767</v>
      </c>
      <c r="AR9" s="63">
        <v>45.28</v>
      </c>
      <c r="AS9" s="27">
        <f t="shared" ref="AS9:AS15" si="0">AR9/0.444</f>
        <v>101.98198198198199</v>
      </c>
      <c r="AT9" s="271" t="s">
        <v>3656</v>
      </c>
      <c r="AU9" s="271" t="s">
        <v>3657</v>
      </c>
      <c r="AV9" s="44"/>
      <c r="AW9" s="44"/>
      <c r="AX9" s="44"/>
      <c r="AY9" s="395">
        <v>9.25</v>
      </c>
      <c r="AZ9" s="395">
        <v>13.52</v>
      </c>
      <c r="BA9" s="385"/>
      <c r="BB9" s="419" t="s">
        <v>1059</v>
      </c>
      <c r="BC9" s="420"/>
      <c r="BD9" s="420"/>
      <c r="BE9" s="420"/>
      <c r="BF9" s="421"/>
      <c r="BG9" s="371">
        <v>10.06</v>
      </c>
      <c r="BH9" s="202">
        <v>9.7200000000000006</v>
      </c>
      <c r="BI9" s="202">
        <v>14.09</v>
      </c>
      <c r="BJ9" s="202">
        <v>0.79732000000000003</v>
      </c>
      <c r="BK9" s="370">
        <v>1.1200000000000001</v>
      </c>
      <c r="BL9" s="371">
        <v>7.66</v>
      </c>
      <c r="BM9" s="371">
        <f>BK9+BL9</f>
        <v>8.7800000000000011</v>
      </c>
      <c r="BN9" s="209" t="s">
        <v>3658</v>
      </c>
      <c r="BO9" s="209">
        <v>1</v>
      </c>
      <c r="BP9" s="209">
        <v>16</v>
      </c>
      <c r="BQ9" s="209">
        <v>3</v>
      </c>
      <c r="BR9" s="209">
        <f>BP9*BQ9</f>
        <v>48</v>
      </c>
      <c r="BS9" s="211">
        <f>(BM9*BR9)+50</f>
        <v>471.44000000000005</v>
      </c>
      <c r="BT9" s="209" t="s">
        <v>62</v>
      </c>
      <c r="BU9" s="225" t="s">
        <v>67</v>
      </c>
      <c r="BV9" s="191"/>
      <c r="BW9" s="191"/>
      <c r="BX9" s="82"/>
      <c r="BY9" s="388"/>
    </row>
    <row r="10" spans="1:81" s="1" customFormat="1" x14ac:dyDescent="0.25">
      <c r="A10" s="372">
        <v>43004</v>
      </c>
      <c r="B10" s="45" t="s">
        <v>14</v>
      </c>
      <c r="C10" s="216" t="s">
        <v>3636</v>
      </c>
      <c r="D10" s="45" t="s">
        <v>73</v>
      </c>
      <c r="E10" s="45" t="s">
        <v>3637</v>
      </c>
      <c r="F10" s="34" t="s">
        <v>3509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 t="s">
        <v>3638</v>
      </c>
      <c r="V10" s="17"/>
      <c r="W10" s="17"/>
      <c r="X10" s="17"/>
      <c r="Y10" s="17" t="s">
        <v>3639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63">
        <v>163.21</v>
      </c>
      <c r="AS10" s="27">
        <f t="shared" si="0"/>
        <v>367.59009009009009</v>
      </c>
      <c r="AT10" s="403" t="s">
        <v>3665</v>
      </c>
      <c r="AU10" s="404" t="s">
        <v>3666</v>
      </c>
      <c r="AV10" s="44"/>
      <c r="AW10" s="44"/>
      <c r="AX10" s="44"/>
      <c r="AY10" s="122">
        <v>13.06</v>
      </c>
      <c r="AZ10" s="122">
        <v>25.73</v>
      </c>
      <c r="BA10" s="385"/>
      <c r="BB10" s="419" t="s">
        <v>1059</v>
      </c>
      <c r="BC10" s="420"/>
      <c r="BD10" s="420"/>
      <c r="BE10" s="420"/>
      <c r="BF10" s="421"/>
      <c r="BG10" s="209">
        <v>14.34</v>
      </c>
      <c r="BH10" s="209">
        <v>14.68</v>
      </c>
      <c r="BI10" s="209">
        <v>26.52</v>
      </c>
      <c r="BJ10" s="371">
        <v>3.23</v>
      </c>
      <c r="BK10" s="209">
        <v>2.85</v>
      </c>
      <c r="BL10" s="209">
        <v>10.67</v>
      </c>
      <c r="BM10" s="371">
        <f t="shared" ref="BM10" si="1">BK10+BL10</f>
        <v>13.52</v>
      </c>
      <c r="BN10" s="209" t="s">
        <v>3658</v>
      </c>
      <c r="BO10" s="17">
        <v>1</v>
      </c>
      <c r="BP10" s="78">
        <v>6</v>
      </c>
      <c r="BQ10" s="78">
        <v>1</v>
      </c>
      <c r="BR10" s="209">
        <f t="shared" ref="BR10" si="2">BP10*BQ10</f>
        <v>6</v>
      </c>
      <c r="BS10" s="211">
        <f t="shared" ref="BS10" si="3">(BM10*BR10)+50</f>
        <v>131.12</v>
      </c>
      <c r="BT10" s="209" t="s">
        <v>62</v>
      </c>
      <c r="BU10" s="225" t="s">
        <v>67</v>
      </c>
      <c r="BV10" s="191"/>
      <c r="BW10" s="191"/>
      <c r="BX10" s="82"/>
      <c r="BY10" s="397"/>
    </row>
    <row r="11" spans="1:81" s="1" customFormat="1" ht="30" x14ac:dyDescent="0.25">
      <c r="A11" s="372">
        <v>43004</v>
      </c>
      <c r="B11" s="45" t="s">
        <v>14</v>
      </c>
      <c r="C11" s="45" t="s">
        <v>3640</v>
      </c>
      <c r="D11" s="45" t="s">
        <v>73</v>
      </c>
      <c r="E11" s="45" t="s">
        <v>3637</v>
      </c>
      <c r="F11" s="96" t="s">
        <v>3641</v>
      </c>
      <c r="G11" s="59"/>
      <c r="H11" s="396"/>
      <c r="I11" s="396"/>
      <c r="J11" s="396"/>
      <c r="K11" s="396"/>
      <c r="L11" s="30"/>
      <c r="M11" s="30"/>
      <c r="N11" s="30"/>
      <c r="O11" s="30"/>
      <c r="P11" s="30"/>
      <c r="Q11" s="30"/>
      <c r="R11" s="30"/>
      <c r="S11" s="30"/>
      <c r="T11" s="30"/>
      <c r="U11" s="29" t="s">
        <v>3642</v>
      </c>
      <c r="V11" s="41"/>
      <c r="W11" s="29"/>
      <c r="X11" s="41"/>
      <c r="Y11" s="37" t="s">
        <v>3643</v>
      </c>
      <c r="Z11" s="41"/>
      <c r="AA11" s="29" t="s">
        <v>3644</v>
      </c>
      <c r="AB11" s="396"/>
      <c r="AC11" s="396"/>
      <c r="AD11" s="59"/>
      <c r="AE11" s="396"/>
      <c r="AF11" s="396"/>
      <c r="AG11" s="396"/>
      <c r="AH11" s="396"/>
      <c r="AI11" s="396"/>
      <c r="AJ11" s="396"/>
      <c r="AK11" s="396"/>
      <c r="AL11" s="37"/>
      <c r="AM11" s="396"/>
      <c r="AN11" s="396"/>
      <c r="AO11" s="396"/>
      <c r="AP11" s="396"/>
      <c r="AQ11" s="396"/>
      <c r="AR11" s="63">
        <v>114</v>
      </c>
      <c r="AS11" s="27">
        <f t="shared" si="0"/>
        <v>256.75675675675677</v>
      </c>
      <c r="AT11" s="271" t="s">
        <v>3659</v>
      </c>
      <c r="AU11" s="271" t="s">
        <v>3660</v>
      </c>
      <c r="AV11" s="44"/>
      <c r="AW11" s="44"/>
      <c r="AX11" s="44"/>
      <c r="AY11" s="395">
        <v>11.53</v>
      </c>
      <c r="AZ11" s="395">
        <v>23.34</v>
      </c>
      <c r="BA11" s="385"/>
      <c r="BB11" s="419" t="s">
        <v>1059</v>
      </c>
      <c r="BC11" s="420"/>
      <c r="BD11" s="420"/>
      <c r="BE11" s="420"/>
      <c r="BF11" s="421"/>
      <c r="BG11" s="202">
        <v>12.34</v>
      </c>
      <c r="BH11" s="202">
        <v>12.68</v>
      </c>
      <c r="BI11" s="202">
        <v>25.59</v>
      </c>
      <c r="BJ11" s="202">
        <v>2.3170000000000002</v>
      </c>
      <c r="BK11" s="370">
        <v>2.2400000000000002</v>
      </c>
      <c r="BL11" s="371">
        <v>7.62</v>
      </c>
      <c r="BM11" s="371">
        <f t="shared" ref="BM11:BM14" si="4">BK11+BL11</f>
        <v>9.86</v>
      </c>
      <c r="BN11" s="209" t="s">
        <v>3658</v>
      </c>
      <c r="BO11" s="209">
        <v>1</v>
      </c>
      <c r="BP11" s="209">
        <v>9</v>
      </c>
      <c r="BQ11" s="209">
        <v>1</v>
      </c>
      <c r="BR11" s="209">
        <f t="shared" ref="BR11:BR14" si="5">BP11*BQ11</f>
        <v>9</v>
      </c>
      <c r="BS11" s="211">
        <f t="shared" ref="BS11:BS14" si="6">(BM11*BR11)+50</f>
        <v>138.74</v>
      </c>
      <c r="BT11" s="209" t="s">
        <v>62</v>
      </c>
      <c r="BU11" s="225" t="s">
        <v>67</v>
      </c>
      <c r="BV11" s="191"/>
      <c r="BW11" s="191"/>
      <c r="BX11" s="82"/>
      <c r="BY11" s="397"/>
    </row>
    <row r="12" spans="1:81" s="1" customFormat="1" x14ac:dyDescent="0.25">
      <c r="A12" s="372">
        <v>43004</v>
      </c>
      <c r="B12" s="45" t="s">
        <v>14</v>
      </c>
      <c r="C12" s="45" t="s">
        <v>3645</v>
      </c>
      <c r="D12" s="45" t="s">
        <v>73</v>
      </c>
      <c r="E12" s="45" t="s">
        <v>3646</v>
      </c>
      <c r="F12" s="96" t="s">
        <v>3647</v>
      </c>
      <c r="G12" s="59"/>
      <c r="H12" s="396"/>
      <c r="I12" s="396"/>
      <c r="J12" s="396"/>
      <c r="K12" s="396"/>
      <c r="L12" s="30"/>
      <c r="M12" s="30"/>
      <c r="N12" s="30"/>
      <c r="O12" s="30"/>
      <c r="P12" s="30"/>
      <c r="Q12" s="30"/>
      <c r="R12" s="30"/>
      <c r="S12" s="30"/>
      <c r="T12" s="30"/>
      <c r="U12" s="29" t="s">
        <v>3648</v>
      </c>
      <c r="V12" s="41"/>
      <c r="W12" s="29"/>
      <c r="X12" s="41"/>
      <c r="Y12" s="37"/>
      <c r="Z12" s="41"/>
      <c r="AA12" s="29"/>
      <c r="AB12" s="396"/>
      <c r="AC12" s="396"/>
      <c r="AD12" s="59"/>
      <c r="AE12" s="396"/>
      <c r="AF12" s="396"/>
      <c r="AG12" s="396"/>
      <c r="AH12" s="396"/>
      <c r="AI12" s="396"/>
      <c r="AJ12" s="396"/>
      <c r="AK12" s="396"/>
      <c r="AL12" s="37"/>
      <c r="AM12" s="396"/>
      <c r="AN12" s="396"/>
      <c r="AO12" s="396"/>
      <c r="AP12" s="396"/>
      <c r="AQ12" s="396"/>
      <c r="AR12" s="63">
        <v>138.97</v>
      </c>
      <c r="AS12" s="27">
        <f t="shared" si="0"/>
        <v>312.9954954954955</v>
      </c>
      <c r="AT12" s="271" t="s">
        <v>3661</v>
      </c>
      <c r="AU12" s="271" t="s">
        <v>3662</v>
      </c>
      <c r="AV12" s="44"/>
      <c r="AW12" s="44"/>
      <c r="AX12" s="44"/>
      <c r="AY12" s="395">
        <v>12.09</v>
      </c>
      <c r="AZ12" s="395">
        <v>22.94</v>
      </c>
      <c r="BA12" s="385"/>
      <c r="BB12" s="419" t="s">
        <v>1059</v>
      </c>
      <c r="BC12" s="420"/>
      <c r="BD12" s="420"/>
      <c r="BE12" s="420"/>
      <c r="BF12" s="421"/>
      <c r="BG12" s="202">
        <v>13.86</v>
      </c>
      <c r="BH12" s="202">
        <v>13.52</v>
      </c>
      <c r="BI12" s="202">
        <v>24.34</v>
      </c>
      <c r="BJ12" s="202">
        <v>2.6389999999999998</v>
      </c>
      <c r="BK12" s="370">
        <v>2.48</v>
      </c>
      <c r="BL12" s="371">
        <v>11.46</v>
      </c>
      <c r="BM12" s="371">
        <f>BK12+BL12</f>
        <v>13.940000000000001</v>
      </c>
      <c r="BN12" s="209" t="s">
        <v>3658</v>
      </c>
      <c r="BO12" s="209">
        <v>1</v>
      </c>
      <c r="BP12" s="209">
        <v>9</v>
      </c>
      <c r="BQ12" s="209">
        <v>2</v>
      </c>
      <c r="BR12" s="209">
        <f>BP12*BQ12</f>
        <v>18</v>
      </c>
      <c r="BS12" s="211">
        <f>(BM12*BR12)+50</f>
        <v>300.92</v>
      </c>
      <c r="BT12" s="209" t="s">
        <v>62</v>
      </c>
      <c r="BU12" s="225" t="s">
        <v>67</v>
      </c>
      <c r="BV12" s="191"/>
      <c r="BW12" s="191"/>
      <c r="BX12" s="82"/>
      <c r="BY12" s="397"/>
    </row>
    <row r="13" spans="1:81" s="1" customFormat="1" ht="30" x14ac:dyDescent="0.25">
      <c r="A13" s="372">
        <v>43004</v>
      </c>
      <c r="B13" s="45"/>
      <c r="C13" s="45" t="s">
        <v>3530</v>
      </c>
      <c r="D13" s="45" t="s">
        <v>73</v>
      </c>
      <c r="E13" s="45" t="s">
        <v>3649</v>
      </c>
      <c r="F13" s="96" t="s">
        <v>3650</v>
      </c>
      <c r="G13" s="59" t="s">
        <v>3533</v>
      </c>
      <c r="H13" s="396">
        <v>87404270</v>
      </c>
      <c r="I13" s="396"/>
      <c r="J13" s="396"/>
      <c r="K13" s="396"/>
      <c r="L13" s="30"/>
      <c r="M13" s="30"/>
      <c r="N13" s="30"/>
      <c r="O13" s="30"/>
      <c r="P13" s="30"/>
      <c r="Q13" s="30"/>
      <c r="R13" s="30"/>
      <c r="S13" s="30"/>
      <c r="T13" s="30"/>
      <c r="U13" s="29" t="s">
        <v>3651</v>
      </c>
      <c r="V13" s="41"/>
      <c r="W13" s="29"/>
      <c r="X13" s="41"/>
      <c r="Y13" s="37" t="s">
        <v>3553</v>
      </c>
      <c r="Z13" s="41"/>
      <c r="AA13" s="29"/>
      <c r="AB13" s="396"/>
      <c r="AC13" s="396"/>
      <c r="AD13" s="59"/>
      <c r="AE13" s="396"/>
      <c r="AF13" s="396"/>
      <c r="AG13" s="396"/>
      <c r="AH13" s="396"/>
      <c r="AI13" s="396"/>
      <c r="AJ13" s="396"/>
      <c r="AK13" s="396"/>
      <c r="AL13" s="37"/>
      <c r="AM13" s="396"/>
      <c r="AN13" s="396"/>
      <c r="AO13" s="396"/>
      <c r="AP13" s="396"/>
      <c r="AQ13" s="396"/>
      <c r="AR13" s="63">
        <v>190.23</v>
      </c>
      <c r="AS13" s="27">
        <f t="shared" si="0"/>
        <v>428.44594594594594</v>
      </c>
      <c r="AT13" s="271" t="s">
        <v>3560</v>
      </c>
      <c r="AU13" s="402">
        <v>10038568704051</v>
      </c>
      <c r="AV13" s="44"/>
      <c r="AW13" s="44"/>
      <c r="AX13" s="44"/>
      <c r="AY13" s="395">
        <v>13.17</v>
      </c>
      <c r="AZ13" s="395">
        <v>24.44</v>
      </c>
      <c r="BA13" s="385"/>
      <c r="BB13" s="419" t="s">
        <v>1059</v>
      </c>
      <c r="BC13" s="420"/>
      <c r="BD13" s="420"/>
      <c r="BE13" s="420"/>
      <c r="BF13" s="421"/>
      <c r="BG13" s="202">
        <v>14.22</v>
      </c>
      <c r="BH13" s="202">
        <v>14.56</v>
      </c>
      <c r="BI13" s="202">
        <v>25.52</v>
      </c>
      <c r="BJ13" s="202">
        <v>3.0569999999999999</v>
      </c>
      <c r="BK13" s="370">
        <v>2.75</v>
      </c>
      <c r="BL13" s="371">
        <v>13.61</v>
      </c>
      <c r="BM13" s="371">
        <f t="shared" si="4"/>
        <v>16.36</v>
      </c>
      <c r="BN13" s="209" t="s">
        <v>3658</v>
      </c>
      <c r="BO13" s="209">
        <v>1</v>
      </c>
      <c r="BP13" s="209">
        <v>6</v>
      </c>
      <c r="BQ13" s="209">
        <v>1</v>
      </c>
      <c r="BR13" s="209">
        <f t="shared" si="5"/>
        <v>6</v>
      </c>
      <c r="BS13" s="211">
        <f t="shared" si="6"/>
        <v>148.16</v>
      </c>
      <c r="BT13" s="209" t="s">
        <v>62</v>
      </c>
      <c r="BU13" s="225" t="s">
        <v>67</v>
      </c>
      <c r="BV13" s="191"/>
      <c r="BW13" s="191"/>
      <c r="BX13" s="82"/>
      <c r="BY13" s="397"/>
    </row>
    <row r="14" spans="1:81" s="1" customFormat="1" x14ac:dyDescent="0.25">
      <c r="A14" s="372">
        <v>43004</v>
      </c>
      <c r="B14" s="45" t="s">
        <v>14</v>
      </c>
      <c r="C14" s="45" t="s">
        <v>3652</v>
      </c>
      <c r="D14" s="45" t="s">
        <v>73</v>
      </c>
      <c r="E14" s="45" t="s">
        <v>3637</v>
      </c>
      <c r="F14" s="96" t="s">
        <v>3653</v>
      </c>
      <c r="G14" s="59"/>
      <c r="H14" s="396"/>
      <c r="I14" s="396"/>
      <c r="J14" s="396"/>
      <c r="K14" s="396"/>
      <c r="L14" s="30"/>
      <c r="M14" s="30"/>
      <c r="N14" s="30"/>
      <c r="O14" s="30"/>
      <c r="P14" s="30"/>
      <c r="Q14" s="30"/>
      <c r="R14" s="30"/>
      <c r="S14" s="30"/>
      <c r="T14" s="30"/>
      <c r="U14" s="29" t="s">
        <v>3654</v>
      </c>
      <c r="V14" s="41"/>
      <c r="W14" s="29"/>
      <c r="X14" s="41"/>
      <c r="Y14" s="37" t="s">
        <v>3655</v>
      </c>
      <c r="Z14" s="41"/>
      <c r="AA14" s="29"/>
      <c r="AB14" s="396"/>
      <c r="AC14" s="396"/>
      <c r="AD14" s="59"/>
      <c r="AE14" s="396"/>
      <c r="AF14" s="396"/>
      <c r="AG14" s="396"/>
      <c r="AH14" s="396"/>
      <c r="AI14" s="396"/>
      <c r="AJ14" s="396"/>
      <c r="AK14" s="396"/>
      <c r="AL14" s="37"/>
      <c r="AM14" s="396"/>
      <c r="AN14" s="396"/>
      <c r="AO14" s="396"/>
      <c r="AP14" s="396"/>
      <c r="AQ14" s="396"/>
      <c r="AR14" s="63">
        <v>122.5</v>
      </c>
      <c r="AS14" s="27">
        <f t="shared" si="0"/>
        <v>275.90090090090092</v>
      </c>
      <c r="AT14" s="271" t="s">
        <v>3663</v>
      </c>
      <c r="AU14" s="271" t="s">
        <v>3664</v>
      </c>
      <c r="AV14" s="44"/>
      <c r="AW14" s="44"/>
      <c r="AX14" s="44"/>
      <c r="AY14" s="395">
        <v>11.53</v>
      </c>
      <c r="AZ14" s="395">
        <v>24.15</v>
      </c>
      <c r="BA14" s="385"/>
      <c r="BB14" s="419" t="s">
        <v>1059</v>
      </c>
      <c r="BC14" s="420"/>
      <c r="BD14" s="420"/>
      <c r="BE14" s="420"/>
      <c r="BF14" s="421"/>
      <c r="BG14" s="202">
        <v>12.34</v>
      </c>
      <c r="BH14" s="202">
        <v>12.68</v>
      </c>
      <c r="BI14" s="202">
        <v>25.59</v>
      </c>
      <c r="BJ14" s="202">
        <v>2.3170000000000002</v>
      </c>
      <c r="BK14" s="370">
        <v>2.2400000000000002</v>
      </c>
      <c r="BL14" s="371">
        <v>7.52</v>
      </c>
      <c r="BM14" s="371">
        <f t="shared" si="4"/>
        <v>9.76</v>
      </c>
      <c r="BN14" s="209" t="s">
        <v>3658</v>
      </c>
      <c r="BO14" s="209">
        <v>1</v>
      </c>
      <c r="BP14" s="209">
        <v>9</v>
      </c>
      <c r="BQ14" s="209">
        <v>1</v>
      </c>
      <c r="BR14" s="209">
        <f t="shared" si="5"/>
        <v>9</v>
      </c>
      <c r="BS14" s="211">
        <f t="shared" si="6"/>
        <v>137.84</v>
      </c>
      <c r="BT14" s="209" t="s">
        <v>62</v>
      </c>
      <c r="BU14" s="225" t="s">
        <v>67</v>
      </c>
      <c r="BV14" s="191"/>
      <c r="BW14" s="191"/>
      <c r="BX14" s="82"/>
      <c r="BY14" s="397"/>
    </row>
    <row r="15" spans="1:81" s="56" customFormat="1" ht="30" x14ac:dyDescent="0.25">
      <c r="A15" s="372">
        <v>42933</v>
      </c>
      <c r="B15" s="45" t="s">
        <v>14</v>
      </c>
      <c r="C15" s="45" t="s">
        <v>3621</v>
      </c>
      <c r="D15" s="45" t="s">
        <v>73</v>
      </c>
      <c r="E15" s="45" t="s">
        <v>3628</v>
      </c>
      <c r="F15" s="364" t="s">
        <v>3622</v>
      </c>
      <c r="G15" s="391" t="s">
        <v>188</v>
      </c>
      <c r="H15" s="391" t="s">
        <v>3623</v>
      </c>
      <c r="I15" s="391"/>
      <c r="J15" s="391"/>
      <c r="K15" s="29"/>
      <c r="L15" s="30"/>
      <c r="M15" s="30"/>
      <c r="N15" s="30"/>
      <c r="O15" s="80"/>
      <c r="P15" s="80"/>
      <c r="Q15" s="80"/>
      <c r="R15" s="80"/>
      <c r="S15" s="80"/>
      <c r="T15" s="80"/>
      <c r="U15" s="29" t="s">
        <v>3624</v>
      </c>
      <c r="V15" s="41"/>
      <c r="W15" s="29"/>
      <c r="X15" s="41"/>
      <c r="Y15" s="37" t="s">
        <v>3625</v>
      </c>
      <c r="Z15" s="41"/>
      <c r="AA15" s="29" t="s">
        <v>3626</v>
      </c>
      <c r="AB15" s="391"/>
      <c r="AC15" s="391"/>
      <c r="AD15" s="59"/>
      <c r="AE15" s="391"/>
      <c r="AF15" s="391"/>
      <c r="AG15" s="391"/>
      <c r="AH15" s="391"/>
      <c r="AI15" s="391"/>
      <c r="AJ15" s="391"/>
      <c r="AK15" s="391"/>
      <c r="AL15" s="37"/>
      <c r="AM15" s="391"/>
      <c r="AN15" s="391"/>
      <c r="AO15" s="391"/>
      <c r="AP15" s="391"/>
      <c r="AQ15" s="391" t="s">
        <v>3627</v>
      </c>
      <c r="AR15" s="63">
        <v>44</v>
      </c>
      <c r="AS15" s="27">
        <f t="shared" si="0"/>
        <v>99.099099099099092</v>
      </c>
      <c r="AT15" s="271" t="s">
        <v>3629</v>
      </c>
      <c r="AU15" s="271" t="s">
        <v>3630</v>
      </c>
      <c r="AV15" s="44"/>
      <c r="AW15" s="44"/>
      <c r="AX15" s="44"/>
      <c r="AY15" s="392">
        <v>4.12</v>
      </c>
      <c r="AZ15" s="392">
        <v>7.46</v>
      </c>
      <c r="BA15" s="385"/>
      <c r="BB15" s="202">
        <v>4.125</v>
      </c>
      <c r="BC15" s="202">
        <v>4.125</v>
      </c>
      <c r="BD15" s="202">
        <v>7.625</v>
      </c>
      <c r="BE15" s="394">
        <f>(BB15*BC15*BD15)/1728</f>
        <v>7.5083414713541671E-2</v>
      </c>
      <c r="BF15" s="202">
        <v>0.11</v>
      </c>
      <c r="BG15" s="371">
        <v>12.62</v>
      </c>
      <c r="BH15" s="202">
        <v>8.81</v>
      </c>
      <c r="BI15" s="202">
        <v>8.3800000000000008</v>
      </c>
      <c r="BJ15" s="202">
        <v>0.59899999999999998</v>
      </c>
      <c r="BK15" s="370">
        <v>0.8</v>
      </c>
      <c r="BL15" s="371">
        <v>0.87</v>
      </c>
      <c r="BM15" s="371">
        <f>((BL15+BF15)*6)+BK15</f>
        <v>6.68</v>
      </c>
      <c r="BN15" s="209" t="s">
        <v>64</v>
      </c>
      <c r="BO15" s="209">
        <v>6</v>
      </c>
      <c r="BP15" s="209">
        <v>15</v>
      </c>
      <c r="BQ15" s="209">
        <v>5</v>
      </c>
      <c r="BR15" s="209">
        <f>BO15*BP15*BQ15</f>
        <v>450</v>
      </c>
      <c r="BS15" s="211">
        <f>(BM15*BP15*BQ15)+50</f>
        <v>551</v>
      </c>
      <c r="BT15" s="209" t="s">
        <v>62</v>
      </c>
      <c r="BU15" s="393" t="s">
        <v>1910</v>
      </c>
      <c r="BV15" s="191"/>
      <c r="BW15" s="191"/>
      <c r="BX15" s="82"/>
      <c r="BY15" s="388" t="s">
        <v>3609</v>
      </c>
      <c r="BZ15" s="1"/>
      <c r="CA15" s="1"/>
      <c r="CB15" s="1"/>
      <c r="CC15" s="1"/>
    </row>
    <row r="16" spans="1:81" s="1" customFormat="1" x14ac:dyDescent="0.25">
      <c r="A16" s="372">
        <v>42915</v>
      </c>
      <c r="B16" s="45" t="s">
        <v>14</v>
      </c>
      <c r="C16" s="45" t="s">
        <v>3598</v>
      </c>
      <c r="D16" s="45" t="s">
        <v>73</v>
      </c>
      <c r="E16" s="45" t="s">
        <v>3600</v>
      </c>
      <c r="F16" s="364" t="s">
        <v>3602</v>
      </c>
      <c r="G16" s="390" t="s">
        <v>1040</v>
      </c>
      <c r="H16" s="390" t="s">
        <v>1059</v>
      </c>
      <c r="I16" s="390"/>
      <c r="J16" s="390"/>
      <c r="K16" s="29"/>
      <c r="L16" s="30"/>
      <c r="M16" s="30"/>
      <c r="N16" s="30"/>
      <c r="O16" s="80"/>
      <c r="P16" s="80"/>
      <c r="Q16" s="80"/>
      <c r="R16" s="80"/>
      <c r="S16" s="80"/>
      <c r="T16" s="80"/>
      <c r="U16" s="29"/>
      <c r="V16" s="41"/>
      <c r="W16" s="29"/>
      <c r="X16" s="41"/>
      <c r="Y16" s="37"/>
      <c r="Z16" s="41"/>
      <c r="AA16" s="29"/>
      <c r="AB16" s="390"/>
      <c r="AC16" s="390"/>
      <c r="AD16" s="59"/>
      <c r="AE16" s="390"/>
      <c r="AF16" s="390"/>
      <c r="AG16" s="390"/>
      <c r="AH16" s="390"/>
      <c r="AI16" s="390"/>
      <c r="AJ16" s="390"/>
      <c r="AK16" s="390"/>
      <c r="AL16" s="37"/>
      <c r="AM16" s="390"/>
      <c r="AN16" s="390"/>
      <c r="AO16" s="390"/>
      <c r="AP16" s="390"/>
      <c r="AQ16" s="390"/>
      <c r="AR16" s="63">
        <v>74.099999999999994</v>
      </c>
      <c r="AS16" s="27">
        <f t="shared" ref="AS16:AS23" si="7">AR16/0.444</f>
        <v>166.89189189189187</v>
      </c>
      <c r="AT16" s="271" t="s">
        <v>3612</v>
      </c>
      <c r="AU16" s="271" t="s">
        <v>3611</v>
      </c>
      <c r="AV16" s="44"/>
      <c r="AW16" s="44"/>
      <c r="AX16" s="44"/>
      <c r="AY16" s="389">
        <v>4.6500000000000004</v>
      </c>
      <c r="AZ16" s="389">
        <v>13.9</v>
      </c>
      <c r="BA16" s="385"/>
      <c r="BB16" s="454" t="s">
        <v>3608</v>
      </c>
      <c r="BC16" s="455"/>
      <c r="BD16" s="455"/>
      <c r="BE16" s="455"/>
      <c r="BF16" s="456"/>
      <c r="BG16" s="371">
        <v>15.09</v>
      </c>
      <c r="BH16" s="202">
        <v>10.09</v>
      </c>
      <c r="BI16" s="202">
        <v>14.81</v>
      </c>
      <c r="BJ16" s="202">
        <f t="shared" ref="BJ16" si="8">(BG16*BH16*BI16)/1728</f>
        <v>1.3049435538194443</v>
      </c>
      <c r="BK16" s="370">
        <v>1.17</v>
      </c>
      <c r="BL16" s="371">
        <v>3.93</v>
      </c>
      <c r="BM16" s="371">
        <f>(BL16*BO16)+BK16</f>
        <v>24.75</v>
      </c>
      <c r="BN16" s="209" t="s">
        <v>3607</v>
      </c>
      <c r="BO16" s="209">
        <v>6</v>
      </c>
      <c r="BP16" s="209">
        <v>12</v>
      </c>
      <c r="BQ16" s="209">
        <v>3</v>
      </c>
      <c r="BR16" s="209">
        <f t="shared" ref="BR16" si="9">BO16*BP16*BQ16</f>
        <v>216</v>
      </c>
      <c r="BS16" s="211">
        <f>(BP16*BQ16*BM16)+50</f>
        <v>941</v>
      </c>
      <c r="BT16" s="209" t="s">
        <v>62</v>
      </c>
      <c r="BU16" s="225" t="s">
        <v>1910</v>
      </c>
      <c r="BV16" s="191"/>
      <c r="BW16" s="191"/>
      <c r="BX16" s="82"/>
      <c r="BY16" s="388" t="s">
        <v>3609</v>
      </c>
    </row>
    <row r="17" spans="1:77" s="1" customFormat="1" x14ac:dyDescent="0.25">
      <c r="A17" s="372">
        <v>42915</v>
      </c>
      <c r="B17" s="45" t="s">
        <v>14</v>
      </c>
      <c r="C17" s="45" t="s">
        <v>3599</v>
      </c>
      <c r="D17" s="45" t="s">
        <v>73</v>
      </c>
      <c r="E17" s="45" t="s">
        <v>3600</v>
      </c>
      <c r="F17" s="96" t="s">
        <v>3603</v>
      </c>
      <c r="G17" s="59" t="s">
        <v>1040</v>
      </c>
      <c r="H17" s="390">
        <v>4367100</v>
      </c>
      <c r="I17" s="390"/>
      <c r="J17" s="390"/>
      <c r="K17" s="29"/>
      <c r="L17" s="30"/>
      <c r="M17" s="30"/>
      <c r="N17" s="30"/>
      <c r="O17" s="80"/>
      <c r="P17" s="80"/>
      <c r="Q17" s="80"/>
      <c r="R17" s="80"/>
      <c r="S17" s="80"/>
      <c r="T17" s="80"/>
      <c r="U17" s="29" t="s">
        <v>3618</v>
      </c>
      <c r="V17" s="41"/>
      <c r="W17" s="29"/>
      <c r="X17" s="41"/>
      <c r="Y17" s="37" t="s">
        <v>3619</v>
      </c>
      <c r="Z17" s="41"/>
      <c r="AA17" s="29" t="s">
        <v>3617</v>
      </c>
      <c r="AB17" s="390"/>
      <c r="AC17" s="390"/>
      <c r="AD17" s="59"/>
      <c r="AE17" s="390"/>
      <c r="AF17" s="390"/>
      <c r="AG17" s="390"/>
      <c r="AH17" s="390"/>
      <c r="AI17" s="390"/>
      <c r="AJ17" s="390"/>
      <c r="AK17" s="390"/>
      <c r="AL17" s="37"/>
      <c r="AM17" s="390"/>
      <c r="AN17" s="390"/>
      <c r="AO17" s="390"/>
      <c r="AP17" s="390"/>
      <c r="AQ17" s="37" t="s">
        <v>3620</v>
      </c>
      <c r="AR17" s="63">
        <v>55.89</v>
      </c>
      <c r="AS17" s="27">
        <f t="shared" si="7"/>
        <v>125.87837837837837</v>
      </c>
      <c r="AT17" s="271" t="s">
        <v>3614</v>
      </c>
      <c r="AU17" s="271" t="s">
        <v>3613</v>
      </c>
      <c r="AV17" s="44"/>
      <c r="AW17" s="44"/>
      <c r="AX17" s="44"/>
      <c r="AY17" s="389">
        <v>4.6500000000000004</v>
      </c>
      <c r="AZ17" s="389">
        <v>11.904</v>
      </c>
      <c r="BA17" s="385"/>
      <c r="BB17" s="454" t="s">
        <v>3608</v>
      </c>
      <c r="BC17" s="455"/>
      <c r="BD17" s="455"/>
      <c r="BE17" s="455"/>
      <c r="BF17" s="456"/>
      <c r="BG17" s="371">
        <v>15.01</v>
      </c>
      <c r="BH17" s="202">
        <v>10.26</v>
      </c>
      <c r="BI17" s="202">
        <v>13.27</v>
      </c>
      <c r="BJ17" s="202">
        <f>(BG17*BH17*BI17)/1728</f>
        <v>1.18264728125</v>
      </c>
      <c r="BK17" s="370">
        <v>1.1000000000000001</v>
      </c>
      <c r="BL17" s="371">
        <v>3.6</v>
      </c>
      <c r="BM17" s="371">
        <f>(BL17*BO17)+BK17</f>
        <v>22.700000000000003</v>
      </c>
      <c r="BN17" s="209" t="s">
        <v>3607</v>
      </c>
      <c r="BO17" s="209">
        <v>6</v>
      </c>
      <c r="BP17" s="209">
        <v>10</v>
      </c>
      <c r="BQ17" s="209">
        <v>3</v>
      </c>
      <c r="BR17" s="209">
        <f>BO17*BP17*BQ17</f>
        <v>180</v>
      </c>
      <c r="BS17" s="211">
        <f>(BP17*BQ17*BM17)+50</f>
        <v>731.00000000000011</v>
      </c>
      <c r="BT17" s="209" t="s">
        <v>62</v>
      </c>
      <c r="BU17" s="225" t="s">
        <v>1910</v>
      </c>
      <c r="BV17" s="191"/>
      <c r="BW17" s="191"/>
      <c r="BX17" s="82"/>
      <c r="BY17" s="388" t="s">
        <v>3610</v>
      </c>
    </row>
    <row r="18" spans="1:77" s="1" customFormat="1" ht="30" x14ac:dyDescent="0.25">
      <c r="A18" s="372">
        <v>42915</v>
      </c>
      <c r="B18" s="45" t="s">
        <v>14</v>
      </c>
      <c r="C18" s="45" t="s">
        <v>3601</v>
      </c>
      <c r="D18" s="45" t="s">
        <v>73</v>
      </c>
      <c r="E18" s="45" t="s">
        <v>3565</v>
      </c>
      <c r="F18" s="96" t="s">
        <v>3604</v>
      </c>
      <c r="G18" s="59" t="s">
        <v>71</v>
      </c>
      <c r="H18" s="390" t="s">
        <v>1059</v>
      </c>
      <c r="I18" s="390"/>
      <c r="J18" s="390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29"/>
      <c r="V18" s="41"/>
      <c r="W18" s="29"/>
      <c r="X18" s="41"/>
      <c r="Y18" s="37"/>
      <c r="Z18" s="41"/>
      <c r="AA18" s="29"/>
      <c r="AB18" s="390"/>
      <c r="AC18" s="390"/>
      <c r="AD18" s="59"/>
      <c r="AE18" s="390"/>
      <c r="AF18" s="390"/>
      <c r="AG18" s="390"/>
      <c r="AH18" s="390"/>
      <c r="AI18" s="390"/>
      <c r="AJ18" s="390"/>
      <c r="AK18" s="390"/>
      <c r="AL18" s="37"/>
      <c r="AM18" s="390"/>
      <c r="AN18" s="390"/>
      <c r="AO18" s="390"/>
      <c r="AP18" s="390"/>
      <c r="AQ18" s="37"/>
      <c r="AR18" s="63">
        <v>115.63</v>
      </c>
      <c r="AS18" s="27">
        <f t="shared" si="7"/>
        <v>260.4279279279279</v>
      </c>
      <c r="AT18" s="271" t="s">
        <v>3616</v>
      </c>
      <c r="AU18" s="271" t="s">
        <v>3615</v>
      </c>
      <c r="AV18" s="44"/>
      <c r="AW18" s="44"/>
      <c r="AX18" s="44"/>
      <c r="AY18" s="44"/>
      <c r="AZ18" s="44"/>
      <c r="BA18" s="385"/>
      <c r="BB18" s="454" t="s">
        <v>3608</v>
      </c>
      <c r="BC18" s="455"/>
      <c r="BD18" s="455"/>
      <c r="BE18" s="455"/>
      <c r="BF18" s="456"/>
      <c r="BG18" s="202">
        <v>13.59</v>
      </c>
      <c r="BH18" s="202">
        <v>9.09</v>
      </c>
      <c r="BI18" s="202">
        <v>11.18</v>
      </c>
      <c r="BJ18" s="202">
        <f t="shared" ref="BJ18" si="10">(BG18*BH18*BI18)/1728</f>
        <v>0.79924771874999989</v>
      </c>
      <c r="BK18" s="370">
        <v>0.84</v>
      </c>
      <c r="BL18" s="371">
        <v>10.5</v>
      </c>
      <c r="BM18" s="371">
        <f t="shared" ref="BM18" si="11">(BL18*BO18)+BK18</f>
        <v>11.34</v>
      </c>
      <c r="BN18" s="209" t="s">
        <v>3607</v>
      </c>
      <c r="BO18" s="209">
        <v>1</v>
      </c>
      <c r="BP18" s="209">
        <v>13</v>
      </c>
      <c r="BQ18" s="209">
        <v>4</v>
      </c>
      <c r="BR18" s="209">
        <f t="shared" ref="BR18" si="12">BO18*BP18*BQ18</f>
        <v>52</v>
      </c>
      <c r="BS18" s="211">
        <f t="shared" ref="BS18" si="13">(BP18*BQ18*BM18)+50</f>
        <v>639.67999999999995</v>
      </c>
      <c r="BT18" s="209" t="s">
        <v>62</v>
      </c>
      <c r="BU18" s="225" t="s">
        <v>1910</v>
      </c>
      <c r="BV18" s="191"/>
      <c r="BW18" s="191"/>
      <c r="BX18" s="82"/>
      <c r="BY18" s="388" t="s">
        <v>3606</v>
      </c>
    </row>
    <row r="19" spans="1:77" s="1" customFormat="1" x14ac:dyDescent="0.25">
      <c r="A19" s="372">
        <v>42902</v>
      </c>
      <c r="B19" s="45" t="s">
        <v>14</v>
      </c>
      <c r="C19" s="45" t="s">
        <v>3562</v>
      </c>
      <c r="D19" s="45" t="s">
        <v>73</v>
      </c>
      <c r="E19" s="386" t="s">
        <v>3596</v>
      </c>
      <c r="F19" s="364" t="s">
        <v>3569</v>
      </c>
      <c r="G19" s="59" t="s">
        <v>219</v>
      </c>
      <c r="H19" s="29" t="s">
        <v>3568</v>
      </c>
      <c r="I19" s="382"/>
      <c r="J19" s="382"/>
      <c r="K19" s="29"/>
      <c r="L19" s="30"/>
      <c r="M19" s="30"/>
      <c r="N19" s="30"/>
      <c r="O19" s="80"/>
      <c r="P19" s="80"/>
      <c r="Q19" s="80"/>
      <c r="R19" s="80"/>
      <c r="S19" s="80"/>
      <c r="T19" s="80"/>
      <c r="U19" s="29" t="s">
        <v>3572</v>
      </c>
      <c r="V19" s="41"/>
      <c r="W19" s="29"/>
      <c r="X19" s="41"/>
      <c r="Y19" s="37" t="s">
        <v>3573</v>
      </c>
      <c r="Z19" s="41"/>
      <c r="AA19" s="29" t="s">
        <v>3574</v>
      </c>
      <c r="AB19" s="382" t="s">
        <v>3575</v>
      </c>
      <c r="AC19" s="382"/>
      <c r="AD19" s="59"/>
      <c r="AE19" s="382"/>
      <c r="AF19" s="382"/>
      <c r="AG19" s="382"/>
      <c r="AH19" s="382"/>
      <c r="AI19" s="382"/>
      <c r="AJ19" s="382"/>
      <c r="AK19" s="382"/>
      <c r="AL19" s="37" t="s">
        <v>3576</v>
      </c>
      <c r="AM19" s="382"/>
      <c r="AN19" s="382"/>
      <c r="AO19" s="382"/>
      <c r="AP19" s="382"/>
      <c r="AQ19" s="382">
        <v>57909</v>
      </c>
      <c r="AR19" s="63">
        <v>39.869999999999997</v>
      </c>
      <c r="AS19" s="27">
        <f t="shared" si="7"/>
        <v>89.797297297297291</v>
      </c>
      <c r="AT19" s="271" t="s">
        <v>3583</v>
      </c>
      <c r="AU19" s="271" t="s">
        <v>3584</v>
      </c>
      <c r="AV19" s="44"/>
      <c r="AW19" s="44"/>
      <c r="AX19" s="44"/>
      <c r="AY19" s="383">
        <v>4.6849999999999996</v>
      </c>
      <c r="AZ19" s="383">
        <v>10.413</v>
      </c>
      <c r="BA19" s="385"/>
      <c r="BB19" s="457" t="s">
        <v>3585</v>
      </c>
      <c r="BC19" s="458"/>
      <c r="BD19" s="458"/>
      <c r="BE19" s="458"/>
      <c r="BF19" s="459"/>
      <c r="BG19" s="371">
        <f>15.748+0.25</f>
        <v>15.997999999999999</v>
      </c>
      <c r="BH19" s="202">
        <f>10.039+0.25</f>
        <v>10.289</v>
      </c>
      <c r="BI19" s="202">
        <f>10.827+0.5</f>
        <v>11.327</v>
      </c>
      <c r="BJ19" s="202">
        <f>(BG19*BH19*BI19)/1728</f>
        <v>1.078971620945602</v>
      </c>
      <c r="BK19" s="370">
        <v>1.3</v>
      </c>
      <c r="BL19" s="371">
        <v>0.8</v>
      </c>
      <c r="BM19" s="371">
        <f>(BL19*BO19)+BK19</f>
        <v>6.1000000000000005</v>
      </c>
      <c r="BN19" s="209" t="s">
        <v>64</v>
      </c>
      <c r="BO19" s="209">
        <v>6</v>
      </c>
      <c r="BP19" s="209">
        <v>10</v>
      </c>
      <c r="BQ19" s="209">
        <v>3</v>
      </c>
      <c r="BR19" s="209">
        <f>BO19*BP19*BQ19</f>
        <v>180</v>
      </c>
      <c r="BS19" s="211">
        <f>(BM19*BP19*BQ19)+50</f>
        <v>233.00000000000003</v>
      </c>
      <c r="BT19" s="209" t="s">
        <v>1412</v>
      </c>
      <c r="BU19" s="225" t="s">
        <v>1910</v>
      </c>
      <c r="BV19" s="191"/>
      <c r="BW19" s="191"/>
      <c r="BX19" s="82"/>
    </row>
    <row r="20" spans="1:77" s="1" customFormat="1" ht="30" x14ac:dyDescent="0.25">
      <c r="A20" s="372">
        <v>42902</v>
      </c>
      <c r="B20" s="45" t="s">
        <v>14</v>
      </c>
      <c r="C20" s="45" t="s">
        <v>3563</v>
      </c>
      <c r="D20" s="45" t="s">
        <v>73</v>
      </c>
      <c r="E20" s="45" t="s">
        <v>3565</v>
      </c>
      <c r="F20" s="96" t="s">
        <v>3566</v>
      </c>
      <c r="G20" s="59" t="s">
        <v>2004</v>
      </c>
      <c r="H20" s="382" t="s">
        <v>1059</v>
      </c>
      <c r="I20" s="382"/>
      <c r="J20" s="382"/>
      <c r="K20" s="29"/>
      <c r="L20" s="30"/>
      <c r="M20" s="30"/>
      <c r="N20" s="30"/>
      <c r="O20" s="80"/>
      <c r="P20" s="80"/>
      <c r="Q20" s="80"/>
      <c r="R20" s="80"/>
      <c r="S20" s="80"/>
      <c r="T20" s="80"/>
      <c r="U20" s="29"/>
      <c r="V20" s="41"/>
      <c r="W20" s="29"/>
      <c r="X20" s="41"/>
      <c r="Y20" s="37"/>
      <c r="Z20" s="41"/>
      <c r="AA20" s="29"/>
      <c r="AB20" s="382"/>
      <c r="AC20" s="382"/>
      <c r="AD20" s="59"/>
      <c r="AE20" s="382"/>
      <c r="AF20" s="382"/>
      <c r="AG20" s="382"/>
      <c r="AH20" s="382"/>
      <c r="AI20" s="382"/>
      <c r="AJ20" s="382"/>
      <c r="AK20" s="382"/>
      <c r="AL20" s="37"/>
      <c r="AM20" s="382"/>
      <c r="AN20" s="382"/>
      <c r="AO20" s="382"/>
      <c r="AP20" s="382"/>
      <c r="AQ20" s="382"/>
      <c r="AR20" s="63">
        <v>99.93</v>
      </c>
      <c r="AS20" s="27">
        <f t="shared" si="7"/>
        <v>225.06756756756758</v>
      </c>
      <c r="AT20" s="271" t="s">
        <v>3586</v>
      </c>
      <c r="AU20" s="271" t="s">
        <v>3587</v>
      </c>
      <c r="AV20" s="44"/>
      <c r="AW20" s="44"/>
      <c r="AX20" s="44"/>
      <c r="AY20" s="44"/>
      <c r="AZ20" s="44"/>
      <c r="BA20" s="385"/>
      <c r="BB20" s="454" t="s">
        <v>3588</v>
      </c>
      <c r="BC20" s="455"/>
      <c r="BD20" s="455"/>
      <c r="BE20" s="455"/>
      <c r="BF20" s="456"/>
      <c r="BG20" s="202">
        <v>13.59</v>
      </c>
      <c r="BH20" s="202">
        <v>9.09</v>
      </c>
      <c r="BI20" s="202">
        <v>11.18</v>
      </c>
      <c r="BJ20" s="202">
        <f t="shared" ref="BJ20:BJ23" si="14">(BG20*BH20*BI20)/1728</f>
        <v>0.79924771874999989</v>
      </c>
      <c r="BK20" s="370">
        <v>0.82</v>
      </c>
      <c r="BL20" s="371">
        <v>10.39</v>
      </c>
      <c r="BM20" s="371">
        <f>(BL20*BO20)+BK20</f>
        <v>11.21</v>
      </c>
      <c r="BN20" s="209" t="s">
        <v>64</v>
      </c>
      <c r="BO20" s="209">
        <v>1</v>
      </c>
      <c r="BP20" s="209">
        <v>13</v>
      </c>
      <c r="BQ20" s="209">
        <v>4</v>
      </c>
      <c r="BR20" s="209">
        <f>BO20*BP20*BQ20</f>
        <v>52</v>
      </c>
      <c r="BS20" s="211">
        <f t="shared" ref="BS20:BS23" si="15">(BM20*BP20*BQ20)+50</f>
        <v>632.92000000000007</v>
      </c>
      <c r="BT20" s="209" t="s">
        <v>62</v>
      </c>
      <c r="BU20" s="225" t="s">
        <v>1910</v>
      </c>
      <c r="BV20" s="191"/>
      <c r="BW20" s="191"/>
      <c r="BX20" s="82"/>
    </row>
    <row r="21" spans="1:77" s="1" customFormat="1" ht="30" x14ac:dyDescent="0.25">
      <c r="A21" s="372">
        <v>42902</v>
      </c>
      <c r="B21" s="45" t="s">
        <v>14</v>
      </c>
      <c r="C21" s="45" t="s">
        <v>3564</v>
      </c>
      <c r="D21" s="45" t="s">
        <v>73</v>
      </c>
      <c r="E21" s="45" t="s">
        <v>3565</v>
      </c>
      <c r="F21" s="96" t="s">
        <v>3567</v>
      </c>
      <c r="G21" s="59" t="s">
        <v>2004</v>
      </c>
      <c r="H21" s="382" t="s">
        <v>1059</v>
      </c>
      <c r="I21" s="382"/>
      <c r="J21" s="382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29"/>
      <c r="V21" s="41"/>
      <c r="W21" s="29"/>
      <c r="X21" s="41"/>
      <c r="Y21" s="37"/>
      <c r="Z21" s="41"/>
      <c r="AA21" s="29"/>
      <c r="AB21" s="382"/>
      <c r="AC21" s="382"/>
      <c r="AD21" s="59"/>
      <c r="AE21" s="382"/>
      <c r="AF21" s="382"/>
      <c r="AG21" s="382"/>
      <c r="AH21" s="382"/>
      <c r="AI21" s="382"/>
      <c r="AJ21" s="382"/>
      <c r="AK21" s="382"/>
      <c r="AL21" s="37"/>
      <c r="AM21" s="382"/>
      <c r="AN21" s="382"/>
      <c r="AO21" s="382"/>
      <c r="AP21" s="382"/>
      <c r="AQ21" s="382"/>
      <c r="AR21" s="63">
        <v>162.51</v>
      </c>
      <c r="AS21" s="27">
        <f t="shared" si="7"/>
        <v>366.01351351351349</v>
      </c>
      <c r="AT21" s="271" t="s">
        <v>3589</v>
      </c>
      <c r="AU21" s="271" t="s">
        <v>3590</v>
      </c>
      <c r="AV21" s="44"/>
      <c r="AW21" s="44"/>
      <c r="AX21" s="44"/>
      <c r="AY21" s="44"/>
      <c r="AZ21" s="44"/>
      <c r="BA21" s="385"/>
      <c r="BB21" s="454" t="s">
        <v>3588</v>
      </c>
      <c r="BC21" s="455"/>
      <c r="BD21" s="455"/>
      <c r="BE21" s="455"/>
      <c r="BF21" s="456"/>
      <c r="BG21" s="202">
        <v>14.59</v>
      </c>
      <c r="BH21" s="202">
        <v>9.7100000000000009</v>
      </c>
      <c r="BI21" s="202">
        <v>11.74</v>
      </c>
      <c r="BJ21" s="202">
        <f t="shared" si="14"/>
        <v>0.96249588310185186</v>
      </c>
      <c r="BK21" s="370">
        <v>1.34</v>
      </c>
      <c r="BL21" s="371">
        <v>11.6</v>
      </c>
      <c r="BM21" s="371">
        <f t="shared" ref="BM21:BM22" si="16">(BL21*BO21)+BK21</f>
        <v>12.94</v>
      </c>
      <c r="BN21" s="209" t="s">
        <v>64</v>
      </c>
      <c r="BO21" s="209">
        <v>1</v>
      </c>
      <c r="BP21" s="209">
        <v>12</v>
      </c>
      <c r="BQ21" s="209">
        <v>3</v>
      </c>
      <c r="BR21" s="209">
        <f t="shared" ref="BR21:BR23" si="17">BO21*BP21*BQ21</f>
        <v>36</v>
      </c>
      <c r="BS21" s="211">
        <f t="shared" si="15"/>
        <v>515.84</v>
      </c>
      <c r="BT21" s="209" t="s">
        <v>62</v>
      </c>
      <c r="BU21" s="225" t="s">
        <v>1910</v>
      </c>
      <c r="BV21" s="191"/>
      <c r="BW21" s="191"/>
      <c r="BX21" s="82"/>
    </row>
    <row r="22" spans="1:77" s="1" customFormat="1" x14ac:dyDescent="0.25">
      <c r="A22" s="372">
        <v>42902</v>
      </c>
      <c r="B22" s="45" t="s">
        <v>14</v>
      </c>
      <c r="C22" s="45" t="s">
        <v>3570</v>
      </c>
      <c r="D22" s="45" t="s">
        <v>73</v>
      </c>
      <c r="E22" s="45" t="s">
        <v>3565</v>
      </c>
      <c r="F22" s="96" t="s">
        <v>3571</v>
      </c>
      <c r="G22" s="59" t="s">
        <v>71</v>
      </c>
      <c r="H22" s="382" t="s">
        <v>1059</v>
      </c>
      <c r="I22" s="382"/>
      <c r="J22" s="382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29"/>
      <c r="V22" s="41"/>
      <c r="W22" s="29"/>
      <c r="X22" s="41"/>
      <c r="Y22" s="37"/>
      <c r="Z22" s="41"/>
      <c r="AA22" s="29"/>
      <c r="AB22" s="382"/>
      <c r="AC22" s="382"/>
      <c r="AD22" s="59"/>
      <c r="AE22" s="382"/>
      <c r="AF22" s="382"/>
      <c r="AG22" s="382"/>
      <c r="AH22" s="382"/>
      <c r="AI22" s="382"/>
      <c r="AJ22" s="382"/>
      <c r="AK22" s="382"/>
      <c r="AL22" s="37"/>
      <c r="AM22" s="382"/>
      <c r="AN22" s="382"/>
      <c r="AO22" s="382"/>
      <c r="AP22" s="382"/>
      <c r="AQ22" s="382"/>
      <c r="AR22" s="63">
        <v>84.29</v>
      </c>
      <c r="AS22" s="27">
        <f t="shared" si="7"/>
        <v>189.84234234234236</v>
      </c>
      <c r="AT22" s="271" t="s">
        <v>3591</v>
      </c>
      <c r="AU22" s="271" t="s">
        <v>3592</v>
      </c>
      <c r="AV22" s="44"/>
      <c r="AW22" s="44"/>
      <c r="AX22" s="44"/>
      <c r="AY22" s="44"/>
      <c r="AZ22" s="44"/>
      <c r="BA22" s="385"/>
      <c r="BB22" s="454" t="s">
        <v>3588</v>
      </c>
      <c r="BC22" s="455"/>
      <c r="BD22" s="455"/>
      <c r="BE22" s="455"/>
      <c r="BF22" s="456"/>
      <c r="BG22" s="202">
        <v>9.09</v>
      </c>
      <c r="BH22" s="202">
        <v>9.09</v>
      </c>
      <c r="BI22" s="202">
        <v>11.93</v>
      </c>
      <c r="BJ22" s="202">
        <f t="shared" si="14"/>
        <v>0.57045904687500004</v>
      </c>
      <c r="BK22" s="370">
        <v>1</v>
      </c>
      <c r="BL22" s="371">
        <v>9.4</v>
      </c>
      <c r="BM22" s="371">
        <f t="shared" si="16"/>
        <v>10.4</v>
      </c>
      <c r="BN22" s="209" t="s">
        <v>64</v>
      </c>
      <c r="BO22" s="209">
        <v>1</v>
      </c>
      <c r="BP22" s="209">
        <v>20</v>
      </c>
      <c r="BQ22" s="209">
        <v>3</v>
      </c>
      <c r="BR22" s="209">
        <f t="shared" si="17"/>
        <v>60</v>
      </c>
      <c r="BS22" s="211">
        <f t="shared" si="15"/>
        <v>674</v>
      </c>
      <c r="BT22" s="209" t="s">
        <v>62</v>
      </c>
      <c r="BU22" s="225" t="s">
        <v>1910</v>
      </c>
      <c r="BV22" s="191"/>
      <c r="BW22" s="191"/>
      <c r="BX22" s="82"/>
    </row>
    <row r="23" spans="1:77" s="1" customFormat="1" x14ac:dyDescent="0.25">
      <c r="A23" s="372">
        <v>42902</v>
      </c>
      <c r="B23" s="45" t="s">
        <v>14</v>
      </c>
      <c r="C23" s="120" t="s">
        <v>3595</v>
      </c>
      <c r="D23" s="45" t="s">
        <v>73</v>
      </c>
      <c r="E23" s="387" t="s">
        <v>3597</v>
      </c>
      <c r="F23" s="96" t="s">
        <v>3577</v>
      </c>
      <c r="G23" s="59" t="s">
        <v>1854</v>
      </c>
      <c r="H23" s="29">
        <v>1561200</v>
      </c>
      <c r="I23" s="382"/>
      <c r="J23" s="382"/>
      <c r="K23" s="29"/>
      <c r="L23" s="30"/>
      <c r="M23" s="30"/>
      <c r="N23" s="30"/>
      <c r="O23" s="80"/>
      <c r="P23" s="80"/>
      <c r="Q23" s="80"/>
      <c r="R23" s="80"/>
      <c r="S23" s="80"/>
      <c r="T23" s="80"/>
      <c r="U23" s="29" t="s">
        <v>3578</v>
      </c>
      <c r="V23" s="41"/>
      <c r="W23" s="29"/>
      <c r="X23" s="41"/>
      <c r="Y23" s="37" t="s">
        <v>3579</v>
      </c>
      <c r="Z23" s="41"/>
      <c r="AA23" s="29" t="s">
        <v>3580</v>
      </c>
      <c r="AB23" s="382" t="s">
        <v>3581</v>
      </c>
      <c r="AC23" s="382"/>
      <c r="AD23" s="59"/>
      <c r="AE23" s="382"/>
      <c r="AF23" s="382"/>
      <c r="AG23" s="382"/>
      <c r="AH23" s="382"/>
      <c r="AI23" s="382"/>
      <c r="AJ23" s="382"/>
      <c r="AK23" s="382"/>
      <c r="AL23" s="37"/>
      <c r="AM23" s="382"/>
      <c r="AN23" s="382"/>
      <c r="AO23" s="382"/>
      <c r="AP23" s="382"/>
      <c r="AQ23" s="382" t="s">
        <v>3582</v>
      </c>
      <c r="AR23" s="63">
        <v>24.08</v>
      </c>
      <c r="AS23" s="27">
        <f t="shared" si="7"/>
        <v>54.234234234234229</v>
      </c>
      <c r="AT23" s="329" t="s">
        <v>3593</v>
      </c>
      <c r="AU23" s="329" t="s">
        <v>3594</v>
      </c>
      <c r="AV23" s="44"/>
      <c r="AW23" s="44"/>
      <c r="AX23" s="44"/>
      <c r="AY23" s="383">
        <v>3.27</v>
      </c>
      <c r="AZ23" s="383">
        <v>5.29</v>
      </c>
      <c r="BA23" s="281"/>
      <c r="BB23" s="289">
        <v>3.81</v>
      </c>
      <c r="BC23" s="289">
        <v>3.81</v>
      </c>
      <c r="BD23" s="289">
        <v>5.37</v>
      </c>
      <c r="BE23" s="287">
        <v>4.5999999999999999E-2</v>
      </c>
      <c r="BF23" s="324">
        <v>0.08</v>
      </c>
      <c r="BG23" s="286">
        <v>11.92</v>
      </c>
      <c r="BH23" s="286">
        <v>7.99</v>
      </c>
      <c r="BI23" s="286">
        <v>5.98</v>
      </c>
      <c r="BJ23" s="202">
        <f t="shared" si="14"/>
        <v>0.32959489814814824</v>
      </c>
      <c r="BK23" s="226">
        <v>0.42</v>
      </c>
      <c r="BL23" s="226">
        <v>0.64200000000000002</v>
      </c>
      <c r="BM23" s="371">
        <f>((BF23+BL23)*BO23)+BK23</f>
        <v>4.7519999999999998</v>
      </c>
      <c r="BN23" s="39" t="s">
        <v>64</v>
      </c>
      <c r="BO23" s="384">
        <v>6</v>
      </c>
      <c r="BP23" s="384">
        <v>20</v>
      </c>
      <c r="BQ23" s="384">
        <v>7</v>
      </c>
      <c r="BR23" s="209">
        <f t="shared" si="17"/>
        <v>840</v>
      </c>
      <c r="BS23" s="211">
        <f t="shared" si="15"/>
        <v>715.28</v>
      </c>
      <c r="BT23" s="322" t="s">
        <v>62</v>
      </c>
      <c r="BU23" s="225" t="s">
        <v>1910</v>
      </c>
      <c r="BV23" s="191"/>
      <c r="BW23" s="191"/>
      <c r="BX23" s="82"/>
    </row>
    <row r="24" spans="1:77" s="1" customFormat="1" ht="30" x14ac:dyDescent="0.25">
      <c r="A24" s="372">
        <v>42888</v>
      </c>
      <c r="B24" s="45" t="s">
        <v>14</v>
      </c>
      <c r="C24" s="45" t="s">
        <v>3528</v>
      </c>
      <c r="D24" s="45" t="s">
        <v>73</v>
      </c>
      <c r="E24" s="45" t="s">
        <v>1201</v>
      </c>
      <c r="F24" s="364" t="s">
        <v>3538</v>
      </c>
      <c r="G24" s="59" t="s">
        <v>1020</v>
      </c>
      <c r="H24" s="29" t="s">
        <v>1059</v>
      </c>
      <c r="I24" s="375"/>
      <c r="J24" s="375"/>
      <c r="K24" s="29"/>
      <c r="L24" s="30"/>
      <c r="M24" s="30"/>
      <c r="N24" s="30"/>
      <c r="O24" s="80"/>
      <c r="P24" s="80"/>
      <c r="Q24" s="80"/>
      <c r="R24" s="80"/>
      <c r="S24" s="80"/>
      <c r="T24" s="80"/>
      <c r="U24" s="29"/>
      <c r="V24" s="41"/>
      <c r="W24" s="29"/>
      <c r="X24" s="41"/>
      <c r="Y24" s="37"/>
      <c r="Z24" s="41"/>
      <c r="AA24" s="29"/>
      <c r="AB24" s="375"/>
      <c r="AC24" s="375"/>
      <c r="AD24" s="59"/>
      <c r="AE24" s="375"/>
      <c r="AF24" s="375"/>
      <c r="AG24" s="375"/>
      <c r="AH24" s="375"/>
      <c r="AI24" s="375"/>
      <c r="AJ24" s="375"/>
      <c r="AK24" s="375"/>
      <c r="AL24" s="37"/>
      <c r="AM24" s="375"/>
      <c r="AN24" s="375"/>
      <c r="AO24" s="375"/>
      <c r="AP24" s="375"/>
      <c r="AQ24" s="375"/>
      <c r="AR24" s="63">
        <v>54.68</v>
      </c>
      <c r="AS24" s="27">
        <f t="shared" ref="AS24:AS26" si="18">AR24/0.444</f>
        <v>123.15315315315316</v>
      </c>
      <c r="AT24" s="271" t="s">
        <v>3557</v>
      </c>
      <c r="AU24" s="271" t="s">
        <v>3558</v>
      </c>
      <c r="AV24" s="44"/>
      <c r="AW24" s="44"/>
      <c r="AX24" s="44"/>
      <c r="AY24" s="44"/>
      <c r="AZ24" s="44"/>
      <c r="BA24" s="369">
        <v>3.18</v>
      </c>
      <c r="BB24" s="454" t="s">
        <v>3559</v>
      </c>
      <c r="BC24" s="455"/>
      <c r="BD24" s="455"/>
      <c r="BE24" s="455"/>
      <c r="BF24" s="456"/>
      <c r="BG24" s="202">
        <v>8.99</v>
      </c>
      <c r="BH24" s="202">
        <v>8.99</v>
      </c>
      <c r="BI24" s="202">
        <v>8.85</v>
      </c>
      <c r="BJ24" s="202">
        <f>(BI24*BH24*BG24)/1728</f>
        <v>0.41392238715277779</v>
      </c>
      <c r="BK24" s="370">
        <f>0.48+0.1</f>
        <v>0.57999999999999996</v>
      </c>
      <c r="BL24" s="371">
        <f>BA24</f>
        <v>3.18</v>
      </c>
      <c r="BM24" s="371">
        <f>(BA24*BO24)+BK24</f>
        <v>3.7600000000000002</v>
      </c>
      <c r="BN24" s="209" t="s">
        <v>64</v>
      </c>
      <c r="BO24" s="209">
        <v>1</v>
      </c>
      <c r="BP24" s="209">
        <v>20</v>
      </c>
      <c r="BQ24" s="209">
        <v>5</v>
      </c>
      <c r="BR24" s="209">
        <f>BO24*BP24*BQ24</f>
        <v>100</v>
      </c>
      <c r="BS24" s="211">
        <f>((((BA24+BF24)*BO24)+BK24)*BP24*BQ24)+50</f>
        <v>426</v>
      </c>
      <c r="BT24" s="209" t="s">
        <v>62</v>
      </c>
      <c r="BU24" s="225" t="s">
        <v>1910</v>
      </c>
      <c r="BV24" s="191"/>
      <c r="BW24" s="191"/>
      <c r="BX24" s="82"/>
    </row>
    <row r="25" spans="1:77" s="1" customFormat="1" x14ac:dyDescent="0.25">
      <c r="A25" s="372">
        <v>42888</v>
      </c>
      <c r="B25" s="45" t="s">
        <v>14</v>
      </c>
      <c r="C25" s="45" t="s">
        <v>3529</v>
      </c>
      <c r="D25" s="45" t="s">
        <v>73</v>
      </c>
      <c r="E25" s="45" t="s">
        <v>3531</v>
      </c>
      <c r="F25" s="96" t="s">
        <v>3537</v>
      </c>
      <c r="G25" s="59" t="s">
        <v>3535</v>
      </c>
      <c r="H25" s="368" t="s">
        <v>3536</v>
      </c>
      <c r="I25" s="375"/>
      <c r="J25" s="375"/>
      <c r="K25" s="29"/>
      <c r="L25" s="30"/>
      <c r="M25" s="30"/>
      <c r="N25" s="30"/>
      <c r="O25" s="80"/>
      <c r="P25" s="80"/>
      <c r="Q25" s="80"/>
      <c r="R25" s="80"/>
      <c r="S25" s="80"/>
      <c r="T25" s="80"/>
      <c r="U25" s="29" t="s">
        <v>3542</v>
      </c>
      <c r="V25" s="41"/>
      <c r="W25" s="29">
        <v>93060</v>
      </c>
      <c r="X25" s="41"/>
      <c r="Y25" s="37" t="s">
        <v>3543</v>
      </c>
      <c r="Z25" s="41"/>
      <c r="AA25" s="29" t="s">
        <v>3544</v>
      </c>
      <c r="AB25" s="375"/>
      <c r="AC25" s="375" t="s">
        <v>3545</v>
      </c>
      <c r="AD25" s="59"/>
      <c r="AE25" s="375"/>
      <c r="AF25" s="375"/>
      <c r="AG25" s="375"/>
      <c r="AH25" s="375"/>
      <c r="AI25" s="375"/>
      <c r="AJ25" s="375"/>
      <c r="AK25" s="375">
        <v>500060</v>
      </c>
      <c r="AL25" s="37"/>
      <c r="AM25" s="375"/>
      <c r="AN25" s="375"/>
      <c r="AO25" s="375"/>
      <c r="AP25" s="375"/>
      <c r="AQ25" s="375" t="s">
        <v>3546</v>
      </c>
      <c r="AR25" s="63">
        <v>48.81</v>
      </c>
      <c r="AS25" s="27">
        <f t="shared" si="18"/>
        <v>109.93243243243244</v>
      </c>
      <c r="AT25" s="271" t="s">
        <v>3539</v>
      </c>
      <c r="AU25" s="271" t="s">
        <v>3540</v>
      </c>
      <c r="AV25" s="44"/>
      <c r="AW25" s="44"/>
      <c r="AX25" s="44"/>
      <c r="AY25" s="374">
        <v>7.3</v>
      </c>
      <c r="AZ25" s="374">
        <v>11.365</v>
      </c>
      <c r="BA25" s="369">
        <v>0.95</v>
      </c>
      <c r="BB25" s="454" t="s">
        <v>3541</v>
      </c>
      <c r="BC25" s="455"/>
      <c r="BD25" s="455"/>
      <c r="BE25" s="455"/>
      <c r="BF25" s="456"/>
      <c r="BG25" s="202">
        <v>11.86</v>
      </c>
      <c r="BH25" s="202">
        <v>7.86</v>
      </c>
      <c r="BI25" s="202">
        <v>7.98</v>
      </c>
      <c r="BJ25" s="202">
        <f>(BI25*BH25*BG25)/1728</f>
        <v>0.43049329166666667</v>
      </c>
      <c r="BK25" s="370">
        <v>0.44</v>
      </c>
      <c r="BL25" s="371">
        <f>BA25</f>
        <v>0.95</v>
      </c>
      <c r="BM25" s="371">
        <f>(BA25*BO25)+BK25</f>
        <v>1.39</v>
      </c>
      <c r="BN25" s="209" t="s">
        <v>64</v>
      </c>
      <c r="BO25" s="209">
        <v>1</v>
      </c>
      <c r="BP25" s="209">
        <v>30</v>
      </c>
      <c r="BQ25" s="209">
        <v>3</v>
      </c>
      <c r="BR25" s="209">
        <f>BO25*BP25*BQ25</f>
        <v>90</v>
      </c>
      <c r="BS25" s="211">
        <f>((((BA25+BF25)*BO25)+BK25)*BP25*BQ25)+50</f>
        <v>175.1</v>
      </c>
      <c r="BT25" s="209" t="s">
        <v>62</v>
      </c>
      <c r="BU25" s="225" t="s">
        <v>67</v>
      </c>
      <c r="BV25" s="191"/>
      <c r="BW25" s="191"/>
      <c r="BX25" s="82"/>
    </row>
    <row r="26" spans="1:77" s="1" customFormat="1" ht="30" x14ac:dyDescent="0.25">
      <c r="A26" s="372">
        <v>42888</v>
      </c>
      <c r="B26" s="45" t="s">
        <v>14</v>
      </c>
      <c r="C26" s="45" t="s">
        <v>3530</v>
      </c>
      <c r="D26" s="45" t="s">
        <v>73</v>
      </c>
      <c r="E26" s="373" t="s">
        <v>3532</v>
      </c>
      <c r="F26" s="96" t="s">
        <v>3534</v>
      </c>
      <c r="G26" s="59" t="s">
        <v>3533</v>
      </c>
      <c r="H26" s="375">
        <v>87404270</v>
      </c>
      <c r="I26" s="375" t="s">
        <v>1178</v>
      </c>
      <c r="J26" s="375" t="s">
        <v>3547</v>
      </c>
      <c r="K26" s="29" t="s">
        <v>1854</v>
      </c>
      <c r="L26" s="30" t="s">
        <v>3549</v>
      </c>
      <c r="M26" s="30" t="s">
        <v>3550</v>
      </c>
      <c r="N26" s="30">
        <v>961416</v>
      </c>
      <c r="O26" s="30" t="s">
        <v>1040</v>
      </c>
      <c r="P26" s="30">
        <v>3013210</v>
      </c>
      <c r="Q26" s="30" t="s">
        <v>957</v>
      </c>
      <c r="R26" s="30" t="s">
        <v>3551</v>
      </c>
      <c r="S26" s="30" t="s">
        <v>1862</v>
      </c>
      <c r="T26" s="30">
        <v>35123512</v>
      </c>
      <c r="U26" s="29" t="s">
        <v>3548</v>
      </c>
      <c r="V26" s="41"/>
      <c r="W26" s="29">
        <v>87546</v>
      </c>
      <c r="X26" s="41"/>
      <c r="Y26" s="37" t="s">
        <v>3553</v>
      </c>
      <c r="Z26" s="41"/>
      <c r="AA26" s="29" t="s">
        <v>3554</v>
      </c>
      <c r="AB26" s="375" t="s">
        <v>3552</v>
      </c>
      <c r="AC26" s="375"/>
      <c r="AD26" s="59"/>
      <c r="AE26" s="375"/>
      <c r="AF26" s="375"/>
      <c r="AG26" s="375"/>
      <c r="AH26" s="375"/>
      <c r="AI26" s="375"/>
      <c r="AJ26" s="375"/>
      <c r="AK26" s="375" t="s">
        <v>3555</v>
      </c>
      <c r="AL26" s="37"/>
      <c r="AM26" s="375"/>
      <c r="AN26" s="375"/>
      <c r="AO26" s="375"/>
      <c r="AP26" s="375"/>
      <c r="AQ26" s="375" t="s">
        <v>3556</v>
      </c>
      <c r="AR26" s="63">
        <v>170.03</v>
      </c>
      <c r="AS26" s="27">
        <f t="shared" si="18"/>
        <v>382.95045045045043</v>
      </c>
      <c r="AT26" s="271" t="s">
        <v>3560</v>
      </c>
      <c r="AU26" s="271" t="s">
        <v>3561</v>
      </c>
      <c r="AV26" s="44"/>
      <c r="AW26" s="44"/>
      <c r="AX26" s="44"/>
      <c r="AY26" s="374">
        <v>12.75</v>
      </c>
      <c r="AZ26" s="374">
        <v>24.06</v>
      </c>
      <c r="BA26" s="369">
        <v>9.3800000000000008</v>
      </c>
      <c r="BB26" s="454" t="s">
        <v>3541</v>
      </c>
      <c r="BC26" s="455"/>
      <c r="BD26" s="455"/>
      <c r="BE26" s="455"/>
      <c r="BF26" s="456"/>
      <c r="BG26" s="202">
        <v>25.52</v>
      </c>
      <c r="BH26" s="202">
        <v>14.22</v>
      </c>
      <c r="BI26" s="202">
        <v>14.56</v>
      </c>
      <c r="BJ26" s="202">
        <f>(BI26*BH26*BG26)/1728</f>
        <v>3.0577213333333333</v>
      </c>
      <c r="BK26" s="370">
        <v>2.75</v>
      </c>
      <c r="BL26" s="371">
        <f>BA26</f>
        <v>9.3800000000000008</v>
      </c>
      <c r="BM26" s="371">
        <f>(BA26*BO26)+BK26</f>
        <v>12.13</v>
      </c>
      <c r="BN26" s="209" t="s">
        <v>64</v>
      </c>
      <c r="BO26" s="209">
        <v>1</v>
      </c>
      <c r="BP26" s="209">
        <v>6</v>
      </c>
      <c r="BQ26" s="209">
        <v>1</v>
      </c>
      <c r="BR26" s="209">
        <f>BO26*BP26*BQ26</f>
        <v>6</v>
      </c>
      <c r="BS26" s="211">
        <f>((((BA26+BF26)*BO26)+BK26)*BP26*BQ26)+50</f>
        <v>122.78</v>
      </c>
      <c r="BT26" s="209" t="s">
        <v>62</v>
      </c>
      <c r="BU26" s="225" t="s">
        <v>67</v>
      </c>
      <c r="BV26" s="191"/>
      <c r="BW26" s="191"/>
      <c r="BX26" s="82"/>
    </row>
    <row r="27" spans="1:77" s="1" customFormat="1" ht="15" customHeight="1" x14ac:dyDescent="0.25">
      <c r="A27" s="241">
        <v>42781</v>
      </c>
      <c r="B27" s="45" t="s">
        <v>36</v>
      </c>
      <c r="C27" s="45" t="s">
        <v>1296</v>
      </c>
      <c r="D27" s="45" t="s">
        <v>240</v>
      </c>
      <c r="E27" s="45" t="s">
        <v>2248</v>
      </c>
      <c r="F27" s="96" t="s">
        <v>1297</v>
      </c>
      <c r="G27" s="59" t="s">
        <v>187</v>
      </c>
      <c r="H27" s="29">
        <v>20862288</v>
      </c>
      <c r="I27" s="355"/>
      <c r="J27" s="355"/>
      <c r="K27" s="29"/>
      <c r="L27" s="30"/>
      <c r="M27" s="30"/>
      <c r="N27" s="30"/>
      <c r="O27" s="80"/>
      <c r="P27" s="80"/>
      <c r="Q27" s="80"/>
      <c r="R27" s="80"/>
      <c r="S27" s="80"/>
      <c r="T27" s="80"/>
      <c r="U27" s="29" t="s">
        <v>1299</v>
      </c>
      <c r="V27" s="41"/>
      <c r="W27" s="29">
        <v>83288</v>
      </c>
      <c r="X27" s="41"/>
      <c r="Y27" s="37"/>
      <c r="Z27" s="41"/>
      <c r="AA27" s="29"/>
      <c r="AB27" s="355" t="s">
        <v>1300</v>
      </c>
      <c r="AC27" s="355" t="s">
        <v>3192</v>
      </c>
      <c r="AD27" s="59"/>
      <c r="AE27" s="355" t="s">
        <v>1301</v>
      </c>
      <c r="AF27" s="355"/>
      <c r="AG27" s="355" t="s">
        <v>1296</v>
      </c>
      <c r="AH27" s="355"/>
      <c r="AI27" s="355" t="s">
        <v>1296</v>
      </c>
      <c r="AJ27" s="355"/>
      <c r="AK27" s="355">
        <v>9288</v>
      </c>
      <c r="AL27" s="37" t="s">
        <v>1302</v>
      </c>
      <c r="AM27" s="355" t="s">
        <v>1303</v>
      </c>
      <c r="AN27" s="355" t="s">
        <v>2967</v>
      </c>
      <c r="AO27" s="355" t="s">
        <v>3193</v>
      </c>
      <c r="AP27" s="355"/>
      <c r="AQ27" s="355">
        <v>49288</v>
      </c>
      <c r="AR27" s="63">
        <v>25.24</v>
      </c>
      <c r="AS27" s="27">
        <f>AR27/0.444</f>
        <v>56.846846846846844</v>
      </c>
      <c r="AT27" s="329" t="s">
        <v>2823</v>
      </c>
      <c r="AU27" s="329" t="s">
        <v>2824</v>
      </c>
      <c r="AV27" s="84">
        <v>11.75</v>
      </c>
      <c r="AW27" s="84">
        <v>7.15</v>
      </c>
      <c r="AX27" s="84">
        <v>2.2799999999999998</v>
      </c>
      <c r="AY27" s="44"/>
      <c r="AZ27" s="44"/>
      <c r="BA27" s="224">
        <v>0.47</v>
      </c>
      <c r="BB27" s="351">
        <v>7.7859999999999996</v>
      </c>
      <c r="BC27" s="351">
        <v>2.536</v>
      </c>
      <c r="BD27" s="351">
        <v>12.821999999999999</v>
      </c>
      <c r="BE27" s="351">
        <v>0.14651283872222221</v>
      </c>
      <c r="BF27" s="224">
        <v>0.22</v>
      </c>
      <c r="BG27" s="353">
        <v>15.63</v>
      </c>
      <c r="BH27" s="353">
        <v>13.5</v>
      </c>
      <c r="BI27" s="353">
        <v>8.5</v>
      </c>
      <c r="BJ27" s="351">
        <v>1.0379296874999999</v>
      </c>
      <c r="BK27" s="223">
        <v>0.92</v>
      </c>
      <c r="BL27" s="223">
        <v>0.69</v>
      </c>
      <c r="BM27" s="223">
        <v>5.0599999999999996</v>
      </c>
      <c r="BN27" s="39" t="s">
        <v>64</v>
      </c>
      <c r="BO27" s="354">
        <v>6</v>
      </c>
      <c r="BP27" s="354">
        <v>6</v>
      </c>
      <c r="BQ27" s="354">
        <v>5</v>
      </c>
      <c r="BR27" s="322">
        <v>180</v>
      </c>
      <c r="BS27" s="322">
        <v>201.8</v>
      </c>
      <c r="BT27" s="322" t="s">
        <v>62</v>
      </c>
      <c r="BU27" s="75" t="s">
        <v>67</v>
      </c>
      <c r="BV27" s="322"/>
      <c r="BW27" s="225"/>
      <c r="BX27" s="82"/>
    </row>
    <row r="28" spans="1:77" s="1" customFormat="1" x14ac:dyDescent="0.25">
      <c r="A28" s="241">
        <v>42781</v>
      </c>
      <c r="B28" s="45" t="s">
        <v>36</v>
      </c>
      <c r="C28" s="45" t="s">
        <v>2783</v>
      </c>
      <c r="D28" s="45" t="s">
        <v>240</v>
      </c>
      <c r="E28" s="45" t="s">
        <v>2248</v>
      </c>
      <c r="F28" s="96" t="s">
        <v>3279</v>
      </c>
      <c r="G28" s="59" t="s">
        <v>223</v>
      </c>
      <c r="H28" s="29" t="s">
        <v>3278</v>
      </c>
      <c r="I28" s="355"/>
      <c r="J28" s="355"/>
      <c r="K28" s="29"/>
      <c r="L28" s="30"/>
      <c r="M28" s="30"/>
      <c r="N28" s="30"/>
      <c r="O28" s="80"/>
      <c r="P28" s="80"/>
      <c r="Q28" s="80"/>
      <c r="R28" s="80"/>
      <c r="S28" s="80"/>
      <c r="T28" s="80"/>
      <c r="U28" s="29"/>
      <c r="V28" s="41"/>
      <c r="W28" s="29">
        <v>93006</v>
      </c>
      <c r="X28" s="41"/>
      <c r="Y28" s="37"/>
      <c r="Z28" s="41"/>
      <c r="AA28" s="29"/>
      <c r="AB28" s="355" t="s">
        <v>2968</v>
      </c>
      <c r="AC28" s="355" t="s">
        <v>3194</v>
      </c>
      <c r="AD28" s="59"/>
      <c r="AE28" s="355" t="s">
        <v>2969</v>
      </c>
      <c r="AF28" s="355"/>
      <c r="AG28" s="355" t="s">
        <v>2783</v>
      </c>
      <c r="AH28" s="355"/>
      <c r="AI28" s="355" t="s">
        <v>2783</v>
      </c>
      <c r="AJ28" s="355"/>
      <c r="AK28" s="355">
        <v>200006</v>
      </c>
      <c r="AL28" s="37" t="s">
        <v>2970</v>
      </c>
      <c r="AM28" s="355" t="s">
        <v>2971</v>
      </c>
      <c r="AN28" s="355" t="s">
        <v>2972</v>
      </c>
      <c r="AO28" s="355"/>
      <c r="AP28" s="355"/>
      <c r="AQ28" s="355" t="s">
        <v>2973</v>
      </c>
      <c r="AR28" s="63">
        <v>8.16</v>
      </c>
      <c r="AS28" s="27">
        <f t="shared" ref="AS28:AS91" si="19">AR28/0.444</f>
        <v>18.378378378378379</v>
      </c>
      <c r="AT28" s="329" t="s">
        <v>2827</v>
      </c>
      <c r="AU28" s="329" t="s">
        <v>2828</v>
      </c>
      <c r="AV28" s="84">
        <v>11.95</v>
      </c>
      <c r="AW28" s="84">
        <v>4.46</v>
      </c>
      <c r="AX28" s="84">
        <v>1.26</v>
      </c>
      <c r="AY28" s="44"/>
      <c r="AZ28" s="44"/>
      <c r="BA28" s="324">
        <v>0.28000000000000003</v>
      </c>
      <c r="BB28" s="351">
        <v>5.6559999999999997</v>
      </c>
      <c r="BC28" s="351">
        <v>2.536</v>
      </c>
      <c r="BD28" s="351">
        <v>14.191999999999998</v>
      </c>
      <c r="BE28" s="351">
        <v>0.11780358696296293</v>
      </c>
      <c r="BF28" s="224">
        <v>0.17</v>
      </c>
      <c r="BG28" s="353">
        <v>15.75</v>
      </c>
      <c r="BH28" s="353">
        <v>14.75</v>
      </c>
      <c r="BI28" s="353">
        <v>6.5</v>
      </c>
      <c r="BJ28" s="351">
        <v>0.87386067708333337</v>
      </c>
      <c r="BK28" s="227">
        <v>0.92</v>
      </c>
      <c r="BL28" s="227">
        <v>0.45000000000000007</v>
      </c>
      <c r="BM28" s="227">
        <v>3.62</v>
      </c>
      <c r="BN28" s="227" t="s">
        <v>64</v>
      </c>
      <c r="BO28" s="227">
        <v>6</v>
      </c>
      <c r="BP28" s="39">
        <v>6</v>
      </c>
      <c r="BQ28" s="354">
        <v>6</v>
      </c>
      <c r="BR28" s="354">
        <v>216</v>
      </c>
      <c r="BS28" s="354">
        <v>180.32</v>
      </c>
      <c r="BT28" s="322" t="s">
        <v>62</v>
      </c>
      <c r="BU28" s="322" t="s">
        <v>67</v>
      </c>
      <c r="BV28" s="322"/>
      <c r="BW28" s="225"/>
      <c r="BX28" s="82"/>
    </row>
    <row r="29" spans="1:77" s="1" customFormat="1" ht="30" x14ac:dyDescent="0.25">
      <c r="A29" s="241">
        <v>42781</v>
      </c>
      <c r="B29" s="45" t="s">
        <v>36</v>
      </c>
      <c r="C29" s="45" t="s">
        <v>1388</v>
      </c>
      <c r="D29" s="45" t="s">
        <v>240</v>
      </c>
      <c r="E29" s="45" t="s">
        <v>2248</v>
      </c>
      <c r="F29" s="96" t="s">
        <v>3280</v>
      </c>
      <c r="G29" s="59" t="s">
        <v>223</v>
      </c>
      <c r="H29" s="29" t="s">
        <v>1389</v>
      </c>
      <c r="I29" s="355"/>
      <c r="J29" s="355"/>
      <c r="K29" s="29"/>
      <c r="L29" s="30"/>
      <c r="M29" s="30"/>
      <c r="N29" s="30"/>
      <c r="O29" s="80"/>
      <c r="P29" s="80"/>
      <c r="Q29" s="80"/>
      <c r="R29" s="80"/>
      <c r="S29" s="80"/>
      <c r="T29" s="80"/>
      <c r="U29" s="29" t="s">
        <v>2962</v>
      </c>
      <c r="V29" s="41"/>
      <c r="W29" s="29">
        <v>83049</v>
      </c>
      <c r="X29" s="41"/>
      <c r="Y29" s="37"/>
      <c r="Z29" s="41"/>
      <c r="AA29" s="29"/>
      <c r="AB29" s="355" t="s">
        <v>1390</v>
      </c>
      <c r="AC29" s="355" t="s">
        <v>3195</v>
      </c>
      <c r="AD29" s="59"/>
      <c r="AE29" s="355" t="s">
        <v>1391</v>
      </c>
      <c r="AF29" s="355"/>
      <c r="AG29" s="355" t="s">
        <v>1388</v>
      </c>
      <c r="AH29" s="355"/>
      <c r="AI29" s="355" t="s">
        <v>1388</v>
      </c>
      <c r="AJ29" s="355"/>
      <c r="AK29" s="355">
        <v>9049</v>
      </c>
      <c r="AL29" s="37" t="s">
        <v>1392</v>
      </c>
      <c r="AM29" s="355" t="s">
        <v>1393</v>
      </c>
      <c r="AN29" s="355" t="s">
        <v>1394</v>
      </c>
      <c r="AO29" s="355" t="s">
        <v>3196</v>
      </c>
      <c r="AP29" s="355"/>
      <c r="AQ29" s="355">
        <v>49049</v>
      </c>
      <c r="AR29" s="63">
        <v>19.420000000000002</v>
      </c>
      <c r="AS29" s="27">
        <f t="shared" si="19"/>
        <v>43.738738738738739</v>
      </c>
      <c r="AT29" s="329" t="s">
        <v>2829</v>
      </c>
      <c r="AU29" s="329" t="s">
        <v>2830</v>
      </c>
      <c r="AV29" s="352">
        <v>9.23</v>
      </c>
      <c r="AW29" s="352">
        <v>9</v>
      </c>
      <c r="AX29" s="352">
        <v>1.87</v>
      </c>
      <c r="AY29" s="44"/>
      <c r="AZ29" s="44"/>
      <c r="BA29" s="324">
        <v>0.46</v>
      </c>
      <c r="BB29" s="289">
        <v>9.7859999999999996</v>
      </c>
      <c r="BC29" s="289">
        <v>2.3460000000000001</v>
      </c>
      <c r="BD29" s="289">
        <v>9.8219999999999992</v>
      </c>
      <c r="BE29" s="287">
        <v>0.13049365962499998</v>
      </c>
      <c r="BF29" s="324">
        <v>0.21</v>
      </c>
      <c r="BG29" s="286">
        <v>14.5</v>
      </c>
      <c r="BH29" s="286">
        <v>10.119999999999999</v>
      </c>
      <c r="BI29" s="286">
        <v>10.37</v>
      </c>
      <c r="BJ29" s="287">
        <v>0.88060983796296288</v>
      </c>
      <c r="BK29" s="226">
        <v>0.5</v>
      </c>
      <c r="BL29" s="226">
        <v>0.67</v>
      </c>
      <c r="BM29" s="226">
        <v>4.5200000000000005</v>
      </c>
      <c r="BN29" s="39" t="s">
        <v>64</v>
      </c>
      <c r="BO29" s="354">
        <v>6</v>
      </c>
      <c r="BP29" s="354">
        <v>11</v>
      </c>
      <c r="BQ29" s="354">
        <v>4</v>
      </c>
      <c r="BR29" s="322">
        <v>264</v>
      </c>
      <c r="BS29" s="288">
        <v>248.88000000000002</v>
      </c>
      <c r="BT29" s="288" t="s">
        <v>62</v>
      </c>
      <c r="BU29" s="40" t="s">
        <v>67</v>
      </c>
      <c r="BV29" s="191"/>
      <c r="BW29" s="191"/>
      <c r="BX29" s="82"/>
    </row>
    <row r="30" spans="1:77" s="1" customFormat="1" ht="15" customHeight="1" x14ac:dyDescent="0.25">
      <c r="A30" s="241">
        <v>42781</v>
      </c>
      <c r="B30" s="45" t="s">
        <v>36</v>
      </c>
      <c r="C30" s="45" t="s">
        <v>2784</v>
      </c>
      <c r="D30" s="45" t="s">
        <v>240</v>
      </c>
      <c r="E30" s="45" t="s">
        <v>2248</v>
      </c>
      <c r="F30" s="96" t="s">
        <v>3282</v>
      </c>
      <c r="G30" s="59" t="s">
        <v>1399</v>
      </c>
      <c r="H30" s="29" t="s">
        <v>3281</v>
      </c>
      <c r="I30" s="355"/>
      <c r="J30" s="355"/>
      <c r="K30" s="29"/>
      <c r="L30" s="30"/>
      <c r="M30" s="30"/>
      <c r="N30" s="30"/>
      <c r="O30" s="80"/>
      <c r="P30" s="80"/>
      <c r="Q30" s="80"/>
      <c r="R30" s="80"/>
      <c r="S30" s="80"/>
      <c r="T30" s="80"/>
      <c r="U30" s="29"/>
      <c r="V30" s="41"/>
      <c r="W30" s="29">
        <v>93000</v>
      </c>
      <c r="X30" s="41"/>
      <c r="Y30" s="37"/>
      <c r="Z30" s="41"/>
      <c r="AA30" s="29"/>
      <c r="AB30" s="355" t="s">
        <v>2974</v>
      </c>
      <c r="AC30" s="355" t="s">
        <v>3197</v>
      </c>
      <c r="AD30" s="59"/>
      <c r="AE30" s="355" t="s">
        <v>2975</v>
      </c>
      <c r="AF30" s="355"/>
      <c r="AG30" s="355" t="s">
        <v>2784</v>
      </c>
      <c r="AH30" s="355"/>
      <c r="AI30" s="355" t="s">
        <v>2784</v>
      </c>
      <c r="AJ30" s="355"/>
      <c r="AK30" s="355">
        <v>200000</v>
      </c>
      <c r="AL30" s="37"/>
      <c r="AM30" s="355" t="s">
        <v>3198</v>
      </c>
      <c r="AN30" s="355" t="s">
        <v>3199</v>
      </c>
      <c r="AO30" s="355" t="s">
        <v>3200</v>
      </c>
      <c r="AP30" s="355"/>
      <c r="AQ30" s="355" t="s">
        <v>2963</v>
      </c>
      <c r="AR30" s="63">
        <v>8.74</v>
      </c>
      <c r="AS30" s="27">
        <f t="shared" si="19"/>
        <v>19.684684684684687</v>
      </c>
      <c r="AT30" s="329" t="s">
        <v>2831</v>
      </c>
      <c r="AU30" s="329" t="s">
        <v>2832</v>
      </c>
      <c r="AV30" s="352">
        <v>7</v>
      </c>
      <c r="AW30" s="352">
        <v>4.7</v>
      </c>
      <c r="AX30" s="352">
        <v>1.44</v>
      </c>
      <c r="AY30" s="44"/>
      <c r="AZ30" s="44"/>
      <c r="BA30" s="324">
        <v>0.15</v>
      </c>
      <c r="BB30" s="289">
        <v>5.4109999999999996</v>
      </c>
      <c r="BC30" s="289">
        <v>1.911</v>
      </c>
      <c r="BD30" s="289">
        <v>8.3219999999999992</v>
      </c>
      <c r="BE30" s="287">
        <v>4.9799180302083322E-2</v>
      </c>
      <c r="BF30" s="324">
        <v>0.11</v>
      </c>
      <c r="BG30" s="286">
        <v>12</v>
      </c>
      <c r="BH30" s="286">
        <v>9</v>
      </c>
      <c r="BI30" s="286">
        <v>6.25</v>
      </c>
      <c r="BJ30" s="287">
        <v>0.390625</v>
      </c>
      <c r="BK30" s="226">
        <v>0.45</v>
      </c>
      <c r="BL30" s="226">
        <v>0.26</v>
      </c>
      <c r="BM30" s="226">
        <v>2.0100000000000002</v>
      </c>
      <c r="BN30" s="39" t="s">
        <v>64</v>
      </c>
      <c r="BO30" s="354">
        <v>6</v>
      </c>
      <c r="BP30" s="354">
        <v>17</v>
      </c>
      <c r="BQ30" s="354">
        <v>7</v>
      </c>
      <c r="BR30" s="322">
        <v>714</v>
      </c>
      <c r="BS30" s="288">
        <v>289.19</v>
      </c>
      <c r="BT30" s="288" t="s">
        <v>62</v>
      </c>
      <c r="BU30" s="40" t="s">
        <v>67</v>
      </c>
      <c r="BV30" s="191"/>
      <c r="BW30" s="191"/>
      <c r="BX30" s="82"/>
    </row>
    <row r="31" spans="1:77" s="1" customFormat="1" ht="15" customHeight="1" x14ac:dyDescent="0.25">
      <c r="A31" s="241">
        <v>42781</v>
      </c>
      <c r="B31" s="45" t="s">
        <v>36</v>
      </c>
      <c r="C31" s="45" t="s">
        <v>2599</v>
      </c>
      <c r="D31" s="45" t="s">
        <v>240</v>
      </c>
      <c r="E31" s="45" t="s">
        <v>2600</v>
      </c>
      <c r="F31" s="96" t="s">
        <v>3283</v>
      </c>
      <c r="G31" s="59" t="s">
        <v>187</v>
      </c>
      <c r="H31" s="29">
        <v>23327845</v>
      </c>
      <c r="I31" s="355"/>
      <c r="J31" s="355"/>
      <c r="K31" s="29"/>
      <c r="L31" s="30"/>
      <c r="M31" s="30"/>
      <c r="N31" s="30"/>
      <c r="O31" s="80"/>
      <c r="P31" s="80"/>
      <c r="Q31" s="80"/>
      <c r="R31" s="80"/>
      <c r="S31" s="80"/>
      <c r="T31" s="80"/>
      <c r="U31" s="29" t="s">
        <v>2701</v>
      </c>
      <c r="V31" s="41"/>
      <c r="W31" s="29"/>
      <c r="X31" s="41"/>
      <c r="Y31" s="37"/>
      <c r="Z31" s="41"/>
      <c r="AA31" s="29"/>
      <c r="AB31" s="355"/>
      <c r="AC31" s="355"/>
      <c r="AD31" s="59"/>
      <c r="AE31" s="355"/>
      <c r="AF31" s="355"/>
      <c r="AG31" s="355" t="s">
        <v>2599</v>
      </c>
      <c r="AH31" s="355"/>
      <c r="AI31" s="355" t="s">
        <v>2599</v>
      </c>
      <c r="AJ31" s="355"/>
      <c r="AK31" s="355"/>
      <c r="AL31" s="37"/>
      <c r="AM31" s="355"/>
      <c r="AN31" s="355" t="s">
        <v>2702</v>
      </c>
      <c r="AO31" s="355"/>
      <c r="AP31" s="355"/>
      <c r="AQ31" s="355"/>
      <c r="AR31" s="63">
        <v>44.74</v>
      </c>
      <c r="AS31" s="27">
        <f t="shared" si="19"/>
        <v>100.76576576576576</v>
      </c>
      <c r="AT31" s="329" t="s">
        <v>2833</v>
      </c>
      <c r="AU31" s="329" t="s">
        <v>2834</v>
      </c>
      <c r="AV31" s="352"/>
      <c r="AW31" s="352"/>
      <c r="AX31" s="352"/>
      <c r="AY31" s="44">
        <v>5.4</v>
      </c>
      <c r="AZ31" s="44">
        <v>13.15</v>
      </c>
      <c r="BA31" s="324">
        <v>1.29</v>
      </c>
      <c r="BB31" s="289">
        <v>5.7859999999999996</v>
      </c>
      <c r="BC31" s="289">
        <v>5.7859999999999996</v>
      </c>
      <c r="BD31" s="289">
        <v>13.571999999999999</v>
      </c>
      <c r="BE31" s="287">
        <v>0.26294018941666658</v>
      </c>
      <c r="BF31" s="324">
        <v>0.2</v>
      </c>
      <c r="BG31" s="286">
        <v>18</v>
      </c>
      <c r="BH31" s="286">
        <v>13.75</v>
      </c>
      <c r="BI31" s="286">
        <v>14</v>
      </c>
      <c r="BJ31" s="287">
        <v>2.0052083333333335</v>
      </c>
      <c r="BK31" s="290">
        <v>1.26</v>
      </c>
      <c r="BL31" s="290">
        <v>1.49</v>
      </c>
      <c r="BM31" s="290">
        <v>10.199999999999999</v>
      </c>
      <c r="BN31" s="39" t="s">
        <v>64</v>
      </c>
      <c r="BO31" s="354">
        <v>6</v>
      </c>
      <c r="BP31" s="354">
        <v>6</v>
      </c>
      <c r="BQ31" s="354">
        <v>3</v>
      </c>
      <c r="BR31" s="322">
        <v>108</v>
      </c>
      <c r="BS31" s="288">
        <v>233.6</v>
      </c>
      <c r="BT31" s="288" t="s">
        <v>62</v>
      </c>
      <c r="BU31" s="40" t="s">
        <v>67</v>
      </c>
      <c r="BV31" s="191"/>
      <c r="BW31" s="191"/>
      <c r="BX31" s="82"/>
    </row>
    <row r="32" spans="1:77" s="1" customFormat="1" ht="15" customHeight="1" x14ac:dyDescent="0.25">
      <c r="A32" s="241">
        <v>42781</v>
      </c>
      <c r="B32" s="45" t="s">
        <v>36</v>
      </c>
      <c r="C32" s="45" t="s">
        <v>2785</v>
      </c>
      <c r="D32" s="45" t="s">
        <v>240</v>
      </c>
      <c r="E32" s="45" t="s">
        <v>2110</v>
      </c>
      <c r="F32" s="96" t="s">
        <v>3285</v>
      </c>
      <c r="G32" s="59" t="s">
        <v>1493</v>
      </c>
      <c r="H32" s="29" t="s">
        <v>3284</v>
      </c>
      <c r="I32" s="355"/>
      <c r="J32" s="355"/>
      <c r="K32" s="29"/>
      <c r="L32" s="30"/>
      <c r="M32" s="30"/>
      <c r="N32" s="30"/>
      <c r="O32" s="80"/>
      <c r="P32" s="80"/>
      <c r="Q32" s="80"/>
      <c r="R32" s="80"/>
      <c r="S32" s="80"/>
      <c r="T32" s="80"/>
      <c r="U32" s="29" t="s">
        <v>2976</v>
      </c>
      <c r="V32" s="41" t="s">
        <v>3201</v>
      </c>
      <c r="W32" s="29">
        <v>89815</v>
      </c>
      <c r="X32" s="41"/>
      <c r="Y32" s="37"/>
      <c r="Z32" s="41" t="s">
        <v>2785</v>
      </c>
      <c r="AA32" s="29"/>
      <c r="AB32" s="355" t="s">
        <v>2977</v>
      </c>
      <c r="AC32" s="355" t="s">
        <v>3202</v>
      </c>
      <c r="AD32" s="59"/>
      <c r="AE32" s="355" t="s">
        <v>2978</v>
      </c>
      <c r="AF32" s="355" t="s">
        <v>3203</v>
      </c>
      <c r="AG32" s="355" t="s">
        <v>2785</v>
      </c>
      <c r="AH32" s="355" t="s">
        <v>3204</v>
      </c>
      <c r="AI32" s="355" t="s">
        <v>2979</v>
      </c>
      <c r="AJ32" s="355"/>
      <c r="AK32" s="355">
        <v>4815</v>
      </c>
      <c r="AL32" s="37" t="s">
        <v>2980</v>
      </c>
      <c r="AM32" s="355" t="s">
        <v>2785</v>
      </c>
      <c r="AN32" s="355" t="s">
        <v>2980</v>
      </c>
      <c r="AO32" s="355" t="s">
        <v>3205</v>
      </c>
      <c r="AP32" s="355"/>
      <c r="AQ32" s="355">
        <v>24815</v>
      </c>
      <c r="AR32" s="63">
        <v>8.66</v>
      </c>
      <c r="AS32" s="27">
        <f t="shared" si="19"/>
        <v>19.504504504504503</v>
      </c>
      <c r="AT32" s="329" t="s">
        <v>2835</v>
      </c>
      <c r="AU32" s="329" t="s">
        <v>2836</v>
      </c>
      <c r="AV32" s="352">
        <v>8.83</v>
      </c>
      <c r="AW32" s="352">
        <v>9.2200000000000006</v>
      </c>
      <c r="AX32" s="352">
        <v>1.1200000000000001</v>
      </c>
      <c r="AY32" s="44"/>
      <c r="AZ32" s="44"/>
      <c r="BA32" s="324">
        <v>0.1</v>
      </c>
      <c r="BB32" s="289">
        <v>9.2859999999999996</v>
      </c>
      <c r="BC32" s="289">
        <v>1.3460000000000001</v>
      </c>
      <c r="BD32" s="289">
        <v>9.5419999999999998</v>
      </c>
      <c r="BE32" s="287">
        <v>6.9019119300925913E-2</v>
      </c>
      <c r="BF32" s="324">
        <v>0.12</v>
      </c>
      <c r="BG32" s="286">
        <v>10.5</v>
      </c>
      <c r="BH32" s="286">
        <v>10</v>
      </c>
      <c r="BI32" s="286">
        <v>4.75</v>
      </c>
      <c r="BJ32" s="287">
        <v>0.28862847222222221</v>
      </c>
      <c r="BK32" s="226">
        <v>0.34</v>
      </c>
      <c r="BL32" s="226">
        <v>0.22</v>
      </c>
      <c r="BM32" s="226">
        <v>1</v>
      </c>
      <c r="BN32" s="39" t="s">
        <v>64</v>
      </c>
      <c r="BO32" s="354">
        <v>3</v>
      </c>
      <c r="BP32" s="354">
        <v>16</v>
      </c>
      <c r="BQ32" s="354">
        <v>9</v>
      </c>
      <c r="BR32" s="322">
        <v>432</v>
      </c>
      <c r="BS32" s="288">
        <v>194</v>
      </c>
      <c r="BT32" s="288" t="s">
        <v>62</v>
      </c>
      <c r="BU32" s="40" t="s">
        <v>67</v>
      </c>
      <c r="BV32" s="191"/>
      <c r="BW32" s="191"/>
      <c r="BX32" s="82"/>
    </row>
    <row r="33" spans="1:76" s="1" customFormat="1" ht="30" x14ac:dyDescent="0.25">
      <c r="A33" s="241">
        <v>42781</v>
      </c>
      <c r="B33" s="45" t="s">
        <v>36</v>
      </c>
      <c r="C33" s="45" t="s">
        <v>2786</v>
      </c>
      <c r="D33" s="45" t="s">
        <v>240</v>
      </c>
      <c r="E33" s="45" t="s">
        <v>2110</v>
      </c>
      <c r="F33" s="96" t="s">
        <v>3287</v>
      </c>
      <c r="G33" s="59" t="s">
        <v>1399</v>
      </c>
      <c r="H33" s="29" t="s">
        <v>3286</v>
      </c>
      <c r="I33" s="355"/>
      <c r="J33" s="355"/>
      <c r="K33" s="29"/>
      <c r="L33" s="30"/>
      <c r="M33" s="30"/>
      <c r="N33" s="30"/>
      <c r="O33" s="80"/>
      <c r="P33" s="80"/>
      <c r="Q33" s="80"/>
      <c r="R33" s="80"/>
      <c r="S33" s="80"/>
      <c r="T33" s="80"/>
      <c r="U33" s="29" t="s">
        <v>2981</v>
      </c>
      <c r="V33" s="41" t="s">
        <v>3206</v>
      </c>
      <c r="W33" s="29">
        <v>89488</v>
      </c>
      <c r="X33" s="41"/>
      <c r="Y33" s="37"/>
      <c r="Z33" s="41"/>
      <c r="AA33" s="29"/>
      <c r="AB33" s="355" t="s">
        <v>2982</v>
      </c>
      <c r="AC33" s="355" t="s">
        <v>3207</v>
      </c>
      <c r="AD33" s="59" t="s">
        <v>3208</v>
      </c>
      <c r="AE33" s="355"/>
      <c r="AF33" s="355" t="s">
        <v>3209</v>
      </c>
      <c r="AG33" s="355" t="s">
        <v>2786</v>
      </c>
      <c r="AH33" s="355" t="s">
        <v>3210</v>
      </c>
      <c r="AI33" s="355" t="s">
        <v>2983</v>
      </c>
      <c r="AJ33" s="355"/>
      <c r="AK33" s="355">
        <v>4577</v>
      </c>
      <c r="AL33" s="37" t="s">
        <v>2984</v>
      </c>
      <c r="AM33" s="355" t="s">
        <v>2786</v>
      </c>
      <c r="AN33" s="355" t="s">
        <v>2984</v>
      </c>
      <c r="AO33" s="355" t="s">
        <v>3211</v>
      </c>
      <c r="AP33" s="355"/>
      <c r="AQ33" s="355">
        <v>24488</v>
      </c>
      <c r="AR33" s="63">
        <v>13.2</v>
      </c>
      <c r="AS33" s="27">
        <f t="shared" si="19"/>
        <v>29.729729729729726</v>
      </c>
      <c r="AT33" s="329" t="s">
        <v>2837</v>
      </c>
      <c r="AU33" s="329" t="s">
        <v>2838</v>
      </c>
      <c r="AV33" s="44">
        <v>7.67</v>
      </c>
      <c r="AW33" s="44">
        <v>8.4700000000000006</v>
      </c>
      <c r="AX33" s="44">
        <v>1.1200000000000001</v>
      </c>
      <c r="AY33" s="352"/>
      <c r="AZ33" s="352"/>
      <c r="BA33" s="324">
        <v>0.08</v>
      </c>
      <c r="BB33" s="289">
        <v>8.1760000000000002</v>
      </c>
      <c r="BC33" s="289">
        <v>1.486</v>
      </c>
      <c r="BD33" s="289">
        <v>9.081999999999999</v>
      </c>
      <c r="BE33" s="287">
        <v>6.3855373814814806E-2</v>
      </c>
      <c r="BF33" s="324">
        <v>0.12</v>
      </c>
      <c r="BG33" s="286">
        <v>10</v>
      </c>
      <c r="BH33" s="286">
        <v>9.75</v>
      </c>
      <c r="BI33" s="286">
        <v>5.12</v>
      </c>
      <c r="BJ33" s="287">
        <v>0.28888888888888892</v>
      </c>
      <c r="BK33" s="290">
        <v>0.34</v>
      </c>
      <c r="BL33" s="290">
        <v>0.2</v>
      </c>
      <c r="BM33" s="290">
        <v>0.94000000000000017</v>
      </c>
      <c r="BN33" s="39" t="s">
        <v>64</v>
      </c>
      <c r="BO33" s="354">
        <v>3</v>
      </c>
      <c r="BP33" s="354">
        <v>16</v>
      </c>
      <c r="BQ33" s="354">
        <v>8</v>
      </c>
      <c r="BR33" s="322">
        <v>384</v>
      </c>
      <c r="BS33" s="288">
        <v>170.32000000000002</v>
      </c>
      <c r="BT33" s="288" t="s">
        <v>62</v>
      </c>
      <c r="BU33" s="40" t="s">
        <v>67</v>
      </c>
      <c r="BV33" s="191"/>
      <c r="BW33" s="191"/>
      <c r="BX33" s="82"/>
    </row>
    <row r="34" spans="1:76" s="1" customFormat="1" ht="30" x14ac:dyDescent="0.25">
      <c r="A34" s="241">
        <v>42781</v>
      </c>
      <c r="B34" s="45" t="s">
        <v>36</v>
      </c>
      <c r="C34" s="45" t="s">
        <v>2787</v>
      </c>
      <c r="D34" s="45" t="s">
        <v>240</v>
      </c>
      <c r="E34" s="45" t="s">
        <v>2110</v>
      </c>
      <c r="F34" s="96" t="s">
        <v>3289</v>
      </c>
      <c r="G34" s="59" t="s">
        <v>957</v>
      </c>
      <c r="H34" s="29" t="s">
        <v>3288</v>
      </c>
      <c r="I34" s="355"/>
      <c r="J34" s="355"/>
      <c r="K34" s="29"/>
      <c r="L34" s="30"/>
      <c r="M34" s="30"/>
      <c r="N34" s="30"/>
      <c r="O34" s="80"/>
      <c r="P34" s="80"/>
      <c r="Q34" s="80"/>
      <c r="R34" s="80"/>
      <c r="S34" s="80"/>
      <c r="T34" s="80"/>
      <c r="U34" s="29"/>
      <c r="V34" s="41"/>
      <c r="W34" s="29" t="s">
        <v>3212</v>
      </c>
      <c r="X34" s="41"/>
      <c r="Y34" s="37"/>
      <c r="Z34" s="41"/>
      <c r="AA34" s="29"/>
      <c r="AB34" s="355" t="s">
        <v>2985</v>
      </c>
      <c r="AC34" s="355" t="s">
        <v>3213</v>
      </c>
      <c r="AD34" s="59"/>
      <c r="AE34" s="355" t="s">
        <v>2986</v>
      </c>
      <c r="AF34" s="355"/>
      <c r="AG34" s="355" t="s">
        <v>2787</v>
      </c>
      <c r="AH34" s="355" t="s">
        <v>3214</v>
      </c>
      <c r="AI34" s="355" t="s">
        <v>2787</v>
      </c>
      <c r="AJ34" s="355"/>
      <c r="AK34" s="355">
        <v>230083</v>
      </c>
      <c r="AL34" s="37" t="s">
        <v>2987</v>
      </c>
      <c r="AM34" s="355" t="s">
        <v>2787</v>
      </c>
      <c r="AN34" s="355" t="s">
        <v>2987</v>
      </c>
      <c r="AO34" s="355" t="s">
        <v>3215</v>
      </c>
      <c r="AP34" s="355"/>
      <c r="AQ34" s="355" t="s">
        <v>2988</v>
      </c>
      <c r="AR34" s="63">
        <v>13.59</v>
      </c>
      <c r="AS34" s="27">
        <f t="shared" si="19"/>
        <v>30.608108108108109</v>
      </c>
      <c r="AT34" s="329" t="s">
        <v>2839</v>
      </c>
      <c r="AU34" s="329" t="s">
        <v>2840</v>
      </c>
      <c r="AV34" s="352">
        <v>7.75</v>
      </c>
      <c r="AW34" s="352">
        <v>9.4</v>
      </c>
      <c r="AX34" s="352">
        <v>0.75</v>
      </c>
      <c r="AY34" s="44"/>
      <c r="AZ34" s="44"/>
      <c r="BA34" s="324">
        <v>0.06</v>
      </c>
      <c r="BB34" s="289">
        <v>9.472999999999999</v>
      </c>
      <c r="BC34" s="289">
        <v>1.1919999999999999</v>
      </c>
      <c r="BD34" s="289">
        <v>10.914999999999999</v>
      </c>
      <c r="BE34" s="287">
        <v>7.1325330810185175E-2</v>
      </c>
      <c r="BF34" s="324">
        <v>0.15</v>
      </c>
      <c r="BG34" s="286">
        <v>13.25</v>
      </c>
      <c r="BH34" s="286">
        <v>10</v>
      </c>
      <c r="BI34" s="286">
        <v>4.37</v>
      </c>
      <c r="BJ34" s="287">
        <v>0.33508391203703708</v>
      </c>
      <c r="BK34" s="290">
        <v>0.5</v>
      </c>
      <c r="BL34" s="290">
        <v>0.21</v>
      </c>
      <c r="BM34" s="290">
        <v>1.1299999999999999</v>
      </c>
      <c r="BN34" s="39" t="s">
        <v>64</v>
      </c>
      <c r="BO34" s="354">
        <v>3</v>
      </c>
      <c r="BP34" s="354">
        <v>14</v>
      </c>
      <c r="BQ34" s="354">
        <v>10</v>
      </c>
      <c r="BR34" s="322">
        <v>420</v>
      </c>
      <c r="BS34" s="288">
        <v>208.2</v>
      </c>
      <c r="BT34" s="288" t="s">
        <v>62</v>
      </c>
      <c r="BU34" s="40" t="s">
        <v>67</v>
      </c>
      <c r="BV34" s="191"/>
      <c r="BW34" s="191"/>
      <c r="BX34" s="82"/>
    </row>
    <row r="35" spans="1:76" s="1" customFormat="1" ht="15" customHeight="1" x14ac:dyDescent="0.25">
      <c r="A35" s="241">
        <v>42781</v>
      </c>
      <c r="B35" s="45" t="s">
        <v>36</v>
      </c>
      <c r="C35" s="45" t="s">
        <v>2424</v>
      </c>
      <c r="D35" s="45" t="s">
        <v>240</v>
      </c>
      <c r="E35" s="45" t="s">
        <v>2110</v>
      </c>
      <c r="F35" s="96" t="s">
        <v>3290</v>
      </c>
      <c r="G35" s="59" t="s">
        <v>187</v>
      </c>
      <c r="H35" s="29">
        <v>13271190</v>
      </c>
      <c r="I35" s="355"/>
      <c r="J35" s="355"/>
      <c r="K35" s="29"/>
      <c r="L35" s="30"/>
      <c r="M35" s="30"/>
      <c r="N35" s="30"/>
      <c r="O35" s="80"/>
      <c r="P35" s="80"/>
      <c r="Q35" s="80"/>
      <c r="R35" s="80"/>
      <c r="S35" s="80"/>
      <c r="T35" s="80"/>
      <c r="U35" s="29"/>
      <c r="V35" s="41"/>
      <c r="W35" s="29" t="s">
        <v>3216</v>
      </c>
      <c r="X35" s="41"/>
      <c r="Y35" s="37"/>
      <c r="Z35" s="41"/>
      <c r="AA35" s="29"/>
      <c r="AB35" s="355"/>
      <c r="AC35" s="355"/>
      <c r="AD35" s="59" t="s">
        <v>3217</v>
      </c>
      <c r="AE35" s="355"/>
      <c r="AF35" s="355" t="s">
        <v>3218</v>
      </c>
      <c r="AG35" s="355" t="s">
        <v>2424</v>
      </c>
      <c r="AH35" s="355" t="s">
        <v>3219</v>
      </c>
      <c r="AI35" s="355" t="s">
        <v>2424</v>
      </c>
      <c r="AJ35" s="355"/>
      <c r="AK35" s="355">
        <v>4590</v>
      </c>
      <c r="AL35" s="37" t="s">
        <v>2430</v>
      </c>
      <c r="AM35" s="355" t="s">
        <v>2424</v>
      </c>
      <c r="AN35" s="355"/>
      <c r="AO35" s="355" t="s">
        <v>3220</v>
      </c>
      <c r="AP35" s="355"/>
      <c r="AQ35" s="355">
        <v>24590</v>
      </c>
      <c r="AR35" s="63">
        <v>18.64</v>
      </c>
      <c r="AS35" s="27">
        <f t="shared" si="19"/>
        <v>41.981981981981981</v>
      </c>
      <c r="AT35" s="329" t="s">
        <v>2841</v>
      </c>
      <c r="AU35" s="329" t="s">
        <v>2842</v>
      </c>
      <c r="AV35" s="44">
        <v>9.4499999999999993</v>
      </c>
      <c r="AW35" s="44">
        <v>8.0299999999999994</v>
      </c>
      <c r="AX35" s="44">
        <v>1.38</v>
      </c>
      <c r="AY35" s="352"/>
      <c r="AZ35" s="352"/>
      <c r="BA35" s="324">
        <v>0.25</v>
      </c>
      <c r="BB35" s="289">
        <v>9.2859999999999996</v>
      </c>
      <c r="BC35" s="289">
        <v>1.8160000000000001</v>
      </c>
      <c r="BD35" s="289">
        <v>9.7279999999999998</v>
      </c>
      <c r="BE35" s="287">
        <v>9.4934561185185187E-2</v>
      </c>
      <c r="BF35" s="324">
        <v>0.12</v>
      </c>
      <c r="BG35" s="286">
        <v>10.5</v>
      </c>
      <c r="BH35" s="286">
        <v>10</v>
      </c>
      <c r="BI35" s="286">
        <v>6.25</v>
      </c>
      <c r="BJ35" s="287">
        <v>0.37977430555555558</v>
      </c>
      <c r="BK35" s="226">
        <v>0.42</v>
      </c>
      <c r="BL35" s="226">
        <v>0.37</v>
      </c>
      <c r="BM35" s="226">
        <v>1.5299999999999998</v>
      </c>
      <c r="BN35" s="39" t="s">
        <v>64</v>
      </c>
      <c r="BO35" s="354">
        <v>3</v>
      </c>
      <c r="BP35" s="354">
        <v>16</v>
      </c>
      <c r="BQ35" s="354">
        <v>7</v>
      </c>
      <c r="BR35" s="322">
        <v>336</v>
      </c>
      <c r="BS35" s="288">
        <v>221.35999999999999</v>
      </c>
      <c r="BT35" s="288" t="s">
        <v>69</v>
      </c>
      <c r="BU35" s="40" t="s">
        <v>67</v>
      </c>
      <c r="BV35" s="191"/>
      <c r="BW35" s="191"/>
      <c r="BX35" s="82"/>
    </row>
    <row r="36" spans="1:76" s="1" customFormat="1" ht="15" customHeight="1" x14ac:dyDescent="0.25">
      <c r="A36" s="241">
        <v>42781</v>
      </c>
      <c r="B36" s="45" t="s">
        <v>36</v>
      </c>
      <c r="C36" s="45" t="s">
        <v>1366</v>
      </c>
      <c r="D36" s="45" t="s">
        <v>240</v>
      </c>
      <c r="E36" s="45" t="s">
        <v>2110</v>
      </c>
      <c r="F36" s="96" t="s">
        <v>3291</v>
      </c>
      <c r="G36" s="59" t="s">
        <v>261</v>
      </c>
      <c r="H36" s="29" t="s">
        <v>1367</v>
      </c>
      <c r="I36" s="355"/>
      <c r="J36" s="355"/>
      <c r="K36" s="29"/>
      <c r="L36" s="30"/>
      <c r="M36" s="30"/>
      <c r="N36" s="30"/>
      <c r="O36" s="80"/>
      <c r="P36" s="80"/>
      <c r="Q36" s="80"/>
      <c r="R36" s="80"/>
      <c r="S36" s="80"/>
      <c r="T36" s="80"/>
      <c r="U36" s="29"/>
      <c r="V36" s="41"/>
      <c r="W36" s="29">
        <v>89600</v>
      </c>
      <c r="X36" s="41"/>
      <c r="Y36" s="37"/>
      <c r="Z36" s="41"/>
      <c r="AA36" s="29"/>
      <c r="AB36" s="355" t="s">
        <v>1368</v>
      </c>
      <c r="AC36" s="355" t="s">
        <v>3221</v>
      </c>
      <c r="AD36" s="59"/>
      <c r="AE36" s="355"/>
      <c r="AF36" s="355" t="s">
        <v>3222</v>
      </c>
      <c r="AG36" s="355" t="s">
        <v>1366</v>
      </c>
      <c r="AH36" s="355"/>
      <c r="AI36" s="355" t="s">
        <v>1366</v>
      </c>
      <c r="AJ36" s="355"/>
      <c r="AK36" s="355">
        <v>4600</v>
      </c>
      <c r="AL36" s="37" t="s">
        <v>1369</v>
      </c>
      <c r="AM36" s="355" t="s">
        <v>1366</v>
      </c>
      <c r="AN36" s="37" t="s">
        <v>1369</v>
      </c>
      <c r="AO36" s="355" t="s">
        <v>3223</v>
      </c>
      <c r="AP36" s="355"/>
      <c r="AQ36" s="355">
        <v>24600</v>
      </c>
      <c r="AR36" s="63">
        <v>12.62</v>
      </c>
      <c r="AS36" s="27">
        <f t="shared" si="19"/>
        <v>28.423423423423422</v>
      </c>
      <c r="AT36" s="329" t="s">
        <v>2843</v>
      </c>
      <c r="AU36" s="329" t="s">
        <v>2844</v>
      </c>
      <c r="AV36" s="44">
        <v>7</v>
      </c>
      <c r="AW36" s="44">
        <v>6.31</v>
      </c>
      <c r="AX36" s="44">
        <v>0.96</v>
      </c>
      <c r="AY36" s="352"/>
      <c r="AZ36" s="352"/>
      <c r="BA36" s="324">
        <v>0.05</v>
      </c>
      <c r="BB36" s="289">
        <v>7.2859999999999996</v>
      </c>
      <c r="BC36" s="289">
        <v>1.7110000000000001</v>
      </c>
      <c r="BD36" s="289">
        <v>8.0719999999999992</v>
      </c>
      <c r="BE36" s="287">
        <v>5.8233995898148143E-2</v>
      </c>
      <c r="BF36" s="324">
        <v>0.13</v>
      </c>
      <c r="BG36" s="286">
        <v>8.5</v>
      </c>
      <c r="BH36" s="286">
        <v>7.75</v>
      </c>
      <c r="BI36" s="286">
        <v>6</v>
      </c>
      <c r="BJ36" s="287">
        <v>0.2287326388888889</v>
      </c>
      <c r="BK36" s="226">
        <v>0.31</v>
      </c>
      <c r="BL36" s="226">
        <v>0.18</v>
      </c>
      <c r="BM36" s="226">
        <v>0.85000000000000009</v>
      </c>
      <c r="BN36" s="39" t="s">
        <v>64</v>
      </c>
      <c r="BO36" s="354">
        <v>3</v>
      </c>
      <c r="BP36" s="354">
        <v>26</v>
      </c>
      <c r="BQ36" s="354">
        <v>7</v>
      </c>
      <c r="BR36" s="322">
        <v>546</v>
      </c>
      <c r="BS36" s="288">
        <v>204.70000000000002</v>
      </c>
      <c r="BT36" s="288" t="s">
        <v>62</v>
      </c>
      <c r="BU36" s="40" t="s">
        <v>67</v>
      </c>
      <c r="BV36" s="191"/>
      <c r="BW36" s="191"/>
      <c r="BX36" s="82"/>
    </row>
    <row r="37" spans="1:76" s="1" customFormat="1" x14ac:dyDescent="0.25">
      <c r="A37" s="241">
        <v>42781</v>
      </c>
      <c r="B37" s="45" t="s">
        <v>36</v>
      </c>
      <c r="C37" s="45" t="s">
        <v>1287</v>
      </c>
      <c r="D37" s="45" t="s">
        <v>240</v>
      </c>
      <c r="E37" s="45" t="s">
        <v>2110</v>
      </c>
      <c r="F37" s="96" t="s">
        <v>3293</v>
      </c>
      <c r="G37" s="59" t="s">
        <v>1374</v>
      </c>
      <c r="H37" s="29" t="s">
        <v>3292</v>
      </c>
      <c r="I37" s="355"/>
      <c r="J37" s="355"/>
      <c r="K37" s="29"/>
      <c r="L37" s="30"/>
      <c r="M37" s="30"/>
      <c r="N37" s="30"/>
      <c r="O37" s="80"/>
      <c r="P37" s="80"/>
      <c r="Q37" s="80"/>
      <c r="R37" s="80"/>
      <c r="S37" s="80"/>
      <c r="T37" s="80"/>
      <c r="U37" s="29"/>
      <c r="V37" s="41"/>
      <c r="W37" s="29">
        <v>89046</v>
      </c>
      <c r="X37" s="41"/>
      <c r="Y37" s="37"/>
      <c r="Z37" s="41"/>
      <c r="AA37" s="29"/>
      <c r="AB37" s="355" t="s">
        <v>2989</v>
      </c>
      <c r="AC37" s="355" t="s">
        <v>3224</v>
      </c>
      <c r="AD37" s="59"/>
      <c r="AE37" s="355"/>
      <c r="AF37" s="355"/>
      <c r="AG37" s="355" t="s">
        <v>2424</v>
      </c>
      <c r="AH37" s="355"/>
      <c r="AI37" s="355" t="s">
        <v>2424</v>
      </c>
      <c r="AJ37" s="355"/>
      <c r="AK37" s="355">
        <v>4046</v>
      </c>
      <c r="AL37" s="37" t="s">
        <v>2990</v>
      </c>
      <c r="AM37" s="355" t="s">
        <v>2424</v>
      </c>
      <c r="AN37" s="37" t="s">
        <v>2990</v>
      </c>
      <c r="AO37" s="355" t="s">
        <v>3225</v>
      </c>
      <c r="AP37" s="355"/>
      <c r="AQ37" s="355">
        <v>24046</v>
      </c>
      <c r="AR37" s="63">
        <v>18.059999999999999</v>
      </c>
      <c r="AS37" s="27">
        <f t="shared" si="19"/>
        <v>40.67567567567567</v>
      </c>
      <c r="AT37" s="329" t="s">
        <v>2845</v>
      </c>
      <c r="AU37" s="329" t="s">
        <v>2846</v>
      </c>
      <c r="AV37" s="44">
        <v>9.85</v>
      </c>
      <c r="AW37" s="44">
        <v>4.09</v>
      </c>
      <c r="AX37" s="44">
        <v>0.85</v>
      </c>
      <c r="AY37" s="352"/>
      <c r="AZ37" s="352"/>
      <c r="BA37" s="324">
        <v>0.25</v>
      </c>
      <c r="BB37" s="289">
        <v>9.472999999999999</v>
      </c>
      <c r="BC37" s="289">
        <v>1.1919999999999999</v>
      </c>
      <c r="BD37" s="289">
        <v>10.914999999999999</v>
      </c>
      <c r="BE37" s="287">
        <v>7.1325330810185175E-2</v>
      </c>
      <c r="BF37" s="324">
        <v>0.15</v>
      </c>
      <c r="BG37" s="286">
        <v>13.25</v>
      </c>
      <c r="BH37" s="286">
        <v>10</v>
      </c>
      <c r="BI37" s="286">
        <v>4.37</v>
      </c>
      <c r="BJ37" s="287">
        <v>0.33508391203703708</v>
      </c>
      <c r="BK37" s="290">
        <v>0.5</v>
      </c>
      <c r="BL37" s="290">
        <v>0.4</v>
      </c>
      <c r="BM37" s="290">
        <v>1.7000000000000002</v>
      </c>
      <c r="BN37" s="39" t="s">
        <v>64</v>
      </c>
      <c r="BO37" s="354">
        <v>3</v>
      </c>
      <c r="BP37" s="354">
        <v>14</v>
      </c>
      <c r="BQ37" s="354">
        <v>10</v>
      </c>
      <c r="BR37" s="322">
        <v>420</v>
      </c>
      <c r="BS37" s="288">
        <v>288.00000000000006</v>
      </c>
      <c r="BT37" s="288" t="s">
        <v>69</v>
      </c>
      <c r="BU37" s="40" t="s">
        <v>67</v>
      </c>
      <c r="BV37" s="191"/>
      <c r="BW37" s="191"/>
      <c r="BX37" s="82"/>
    </row>
    <row r="38" spans="1:76" s="1" customFormat="1" x14ac:dyDescent="0.25">
      <c r="A38" s="241">
        <v>42781</v>
      </c>
      <c r="B38" s="45" t="s">
        <v>36</v>
      </c>
      <c r="C38" s="45" t="s">
        <v>2788</v>
      </c>
      <c r="D38" s="45" t="s">
        <v>240</v>
      </c>
      <c r="E38" s="45" t="s">
        <v>2110</v>
      </c>
      <c r="F38" s="96" t="s">
        <v>3295</v>
      </c>
      <c r="G38" s="59" t="s">
        <v>261</v>
      </c>
      <c r="H38" s="29" t="s">
        <v>3294</v>
      </c>
      <c r="I38" s="355"/>
      <c r="J38" s="355"/>
      <c r="K38" s="29"/>
      <c r="L38" s="30"/>
      <c r="M38" s="30"/>
      <c r="N38" s="30"/>
      <c r="O38" s="80"/>
      <c r="P38" s="80"/>
      <c r="Q38" s="80"/>
      <c r="R38" s="80"/>
      <c r="S38" s="80"/>
      <c r="T38" s="80"/>
      <c r="U38" s="29"/>
      <c r="V38" s="41"/>
      <c r="W38" s="29">
        <v>89080</v>
      </c>
      <c r="X38" s="41"/>
      <c r="Y38" s="37"/>
      <c r="Z38" s="41"/>
      <c r="AA38" s="29"/>
      <c r="AB38" s="355" t="s">
        <v>2991</v>
      </c>
      <c r="AC38" s="355" t="s">
        <v>3226</v>
      </c>
      <c r="AD38" s="59"/>
      <c r="AE38" s="355" t="s">
        <v>2992</v>
      </c>
      <c r="AF38" s="355"/>
      <c r="AG38" s="45" t="s">
        <v>2788</v>
      </c>
      <c r="AH38" s="355"/>
      <c r="AI38" s="45" t="s">
        <v>2788</v>
      </c>
      <c r="AJ38" s="355"/>
      <c r="AK38" s="355">
        <v>4080</v>
      </c>
      <c r="AL38" s="355" t="s">
        <v>2993</v>
      </c>
      <c r="AM38" s="45" t="s">
        <v>2788</v>
      </c>
      <c r="AN38" s="355" t="s">
        <v>2993</v>
      </c>
      <c r="AO38" s="355" t="s">
        <v>3227</v>
      </c>
      <c r="AP38" s="355"/>
      <c r="AQ38" s="355">
        <v>24080</v>
      </c>
      <c r="AR38" s="63">
        <v>11.46</v>
      </c>
      <c r="AS38" s="27">
        <f t="shared" si="19"/>
        <v>25.810810810810814</v>
      </c>
      <c r="AT38" s="329" t="s">
        <v>2847</v>
      </c>
      <c r="AU38" s="329" t="s">
        <v>2848</v>
      </c>
      <c r="AV38" s="44">
        <v>10.25</v>
      </c>
      <c r="AW38" s="44">
        <v>8.2100000000000009</v>
      </c>
      <c r="AX38" s="44">
        <v>1.1200000000000001</v>
      </c>
      <c r="AY38" s="352"/>
      <c r="AZ38" s="352"/>
      <c r="BA38" s="324">
        <v>0.11</v>
      </c>
      <c r="BB38" s="289">
        <v>10.786</v>
      </c>
      <c r="BC38" s="289">
        <v>1.349</v>
      </c>
      <c r="BD38" s="289">
        <v>11.978</v>
      </c>
      <c r="BE38" s="287">
        <v>0.10085860016898147</v>
      </c>
      <c r="BF38" s="324">
        <v>0.18</v>
      </c>
      <c r="BG38" s="286">
        <v>12.75</v>
      </c>
      <c r="BH38" s="286">
        <v>4.75</v>
      </c>
      <c r="BI38" s="286">
        <v>11.5</v>
      </c>
      <c r="BJ38" s="287">
        <v>0.4030490451388889</v>
      </c>
      <c r="BK38" s="290">
        <v>0.4</v>
      </c>
      <c r="BL38" s="290">
        <v>0.28999999999999998</v>
      </c>
      <c r="BM38" s="290">
        <v>1.27</v>
      </c>
      <c r="BN38" s="39" t="s">
        <v>64</v>
      </c>
      <c r="BO38" s="354">
        <v>3</v>
      </c>
      <c r="BP38" s="354">
        <v>12</v>
      </c>
      <c r="BQ38" s="354">
        <v>9</v>
      </c>
      <c r="BR38" s="322">
        <v>324</v>
      </c>
      <c r="BS38" s="288">
        <v>187.16</v>
      </c>
      <c r="BT38" s="288" t="s">
        <v>62</v>
      </c>
      <c r="BU38" s="40" t="s">
        <v>67</v>
      </c>
      <c r="BV38" s="191"/>
      <c r="BW38" s="191"/>
      <c r="BX38" s="82"/>
    </row>
    <row r="39" spans="1:76" s="1" customFormat="1" ht="15" customHeight="1" x14ac:dyDescent="0.25">
      <c r="A39" s="241">
        <v>42781</v>
      </c>
      <c r="B39" s="45" t="s">
        <v>36</v>
      </c>
      <c r="C39" s="45" t="s">
        <v>2174</v>
      </c>
      <c r="D39" s="45" t="s">
        <v>240</v>
      </c>
      <c r="E39" s="45" t="s">
        <v>2110</v>
      </c>
      <c r="F39" s="96" t="s">
        <v>3296</v>
      </c>
      <c r="G39" s="59" t="s">
        <v>72</v>
      </c>
      <c r="H39" s="29" t="s">
        <v>2190</v>
      </c>
      <c r="I39" s="355"/>
      <c r="J39" s="355"/>
      <c r="K39" s="29"/>
      <c r="L39" s="30"/>
      <c r="M39" s="30"/>
      <c r="N39" s="30"/>
      <c r="O39" s="80"/>
      <c r="P39" s="80"/>
      <c r="Q39" s="80"/>
      <c r="R39" s="80"/>
      <c r="S39" s="80"/>
      <c r="T39" s="80"/>
      <c r="U39" s="29"/>
      <c r="V39" s="41"/>
      <c r="W39" s="29">
        <v>89619</v>
      </c>
      <c r="X39" s="41"/>
      <c r="Y39" s="37"/>
      <c r="Z39" s="41"/>
      <c r="AA39" s="29"/>
      <c r="AB39" s="355" t="s">
        <v>2994</v>
      </c>
      <c r="AC39" s="355" t="s">
        <v>3228</v>
      </c>
      <c r="AD39" s="59" t="s">
        <v>3229</v>
      </c>
      <c r="AE39" s="355"/>
      <c r="AF39" s="355"/>
      <c r="AG39" s="45" t="s">
        <v>2174</v>
      </c>
      <c r="AH39" s="355" t="s">
        <v>3230</v>
      </c>
      <c r="AI39" s="45" t="s">
        <v>2174</v>
      </c>
      <c r="AJ39" s="355"/>
      <c r="AK39" s="355">
        <v>4619</v>
      </c>
      <c r="AL39" s="37" t="s">
        <v>2995</v>
      </c>
      <c r="AM39" s="45" t="s">
        <v>2174</v>
      </c>
      <c r="AN39" s="37" t="s">
        <v>2995</v>
      </c>
      <c r="AO39" s="355" t="s">
        <v>3231</v>
      </c>
      <c r="AP39" s="355"/>
      <c r="AQ39" s="355">
        <v>24619</v>
      </c>
      <c r="AR39" s="63">
        <v>15.92</v>
      </c>
      <c r="AS39" s="27">
        <f t="shared" si="19"/>
        <v>35.855855855855857</v>
      </c>
      <c r="AT39" s="329" t="s">
        <v>2849</v>
      </c>
      <c r="AU39" s="329" t="s">
        <v>2850</v>
      </c>
      <c r="AV39" s="44">
        <v>9.4499999999999993</v>
      </c>
      <c r="AW39" s="44">
        <v>7.48</v>
      </c>
      <c r="AX39" s="44">
        <v>0.98</v>
      </c>
      <c r="AY39" s="352"/>
      <c r="AZ39" s="352"/>
      <c r="BA39" s="324">
        <v>0.1</v>
      </c>
      <c r="BB39" s="289">
        <v>9.2799999999999994</v>
      </c>
      <c r="BC39" s="289">
        <v>1.3460000000000001</v>
      </c>
      <c r="BD39" s="289">
        <v>9.5419999999999998</v>
      </c>
      <c r="BE39" s="287">
        <v>6.8974523703703702E-2</v>
      </c>
      <c r="BF39" s="324">
        <v>0.12</v>
      </c>
      <c r="BG39" s="286">
        <v>10.5</v>
      </c>
      <c r="BH39" s="286">
        <v>8.75</v>
      </c>
      <c r="BI39" s="286">
        <v>9.75</v>
      </c>
      <c r="BJ39" s="287">
        <v>0.51839192708333337</v>
      </c>
      <c r="BK39" s="226">
        <v>0.28000000000000003</v>
      </c>
      <c r="BL39" s="226">
        <v>0.22</v>
      </c>
      <c r="BM39" s="226">
        <v>1.6</v>
      </c>
      <c r="BN39" s="39" t="s">
        <v>64</v>
      </c>
      <c r="BO39" s="354">
        <v>6</v>
      </c>
      <c r="BP39" s="354">
        <v>18</v>
      </c>
      <c r="BQ39" s="354">
        <v>4</v>
      </c>
      <c r="BR39" s="322">
        <v>432</v>
      </c>
      <c r="BS39" s="288">
        <v>165.2</v>
      </c>
      <c r="BT39" s="288" t="s">
        <v>69</v>
      </c>
      <c r="BU39" s="40" t="s">
        <v>67</v>
      </c>
      <c r="BV39" s="191"/>
      <c r="BW39" s="191"/>
      <c r="BX39" s="82"/>
    </row>
    <row r="40" spans="1:76" s="1" customFormat="1" ht="15" customHeight="1" x14ac:dyDescent="0.25">
      <c r="A40" s="241">
        <v>42781</v>
      </c>
      <c r="B40" s="45" t="s">
        <v>36</v>
      </c>
      <c r="C40" s="45" t="s">
        <v>2789</v>
      </c>
      <c r="D40" s="45" t="s">
        <v>240</v>
      </c>
      <c r="E40" s="45" t="s">
        <v>2110</v>
      </c>
      <c r="F40" s="96" t="s">
        <v>3298</v>
      </c>
      <c r="G40" s="59" t="s">
        <v>261</v>
      </c>
      <c r="H40" s="29" t="s">
        <v>3297</v>
      </c>
      <c r="I40" s="355"/>
      <c r="J40" s="355"/>
      <c r="K40" s="29"/>
      <c r="L40" s="30"/>
      <c r="M40" s="30"/>
      <c r="N40" s="30"/>
      <c r="O40" s="80"/>
      <c r="P40" s="80"/>
      <c r="Q40" s="80"/>
      <c r="R40" s="80"/>
      <c r="S40" s="80"/>
      <c r="T40" s="80"/>
      <c r="U40" s="29"/>
      <c r="V40" s="41"/>
      <c r="W40" s="29"/>
      <c r="X40" s="41"/>
      <c r="Y40" s="37"/>
      <c r="Z40" s="41"/>
      <c r="AA40" s="29"/>
      <c r="AB40" s="355" t="s">
        <v>2996</v>
      </c>
      <c r="AC40" s="355"/>
      <c r="AD40" s="59"/>
      <c r="AE40" s="355"/>
      <c r="AF40" s="355"/>
      <c r="AG40" s="45" t="s">
        <v>2789</v>
      </c>
      <c r="AH40" s="355" t="s">
        <v>3232</v>
      </c>
      <c r="AI40" s="45" t="s">
        <v>2789</v>
      </c>
      <c r="AJ40" s="355"/>
      <c r="AK40" s="355">
        <v>230178</v>
      </c>
      <c r="AL40" s="355"/>
      <c r="AM40" s="355" t="s">
        <v>2789</v>
      </c>
      <c r="AN40" s="355" t="s">
        <v>2997</v>
      </c>
      <c r="AO40" s="355" t="s">
        <v>3233</v>
      </c>
      <c r="AP40" s="355"/>
      <c r="AQ40" s="355" t="s">
        <v>2998</v>
      </c>
      <c r="AR40" s="63">
        <v>11.65</v>
      </c>
      <c r="AS40" s="27">
        <f t="shared" si="19"/>
        <v>26.238738738738739</v>
      </c>
      <c r="AT40" s="329" t="s">
        <v>2851</v>
      </c>
      <c r="AU40" s="329" t="s">
        <v>2852</v>
      </c>
      <c r="AV40" s="44">
        <v>6.5</v>
      </c>
      <c r="AW40" s="44">
        <v>8.2100000000000009</v>
      </c>
      <c r="AX40" s="44">
        <v>0.96</v>
      </c>
      <c r="AY40" s="352"/>
      <c r="AZ40" s="352"/>
      <c r="BA40" s="324">
        <v>0.06</v>
      </c>
      <c r="BB40" s="289">
        <v>8.0990000000000002</v>
      </c>
      <c r="BC40" s="289">
        <v>1.411</v>
      </c>
      <c r="BD40" s="289">
        <v>9.1349999999999998</v>
      </c>
      <c r="BE40" s="287">
        <v>6.0412001744791673E-2</v>
      </c>
      <c r="BF40" s="324">
        <v>0.12</v>
      </c>
      <c r="BG40" s="286">
        <v>10</v>
      </c>
      <c r="BH40" s="286">
        <v>9.75</v>
      </c>
      <c r="BI40" s="286">
        <v>5.12</v>
      </c>
      <c r="BJ40" s="287">
        <v>0.28888888888888892</v>
      </c>
      <c r="BK40" s="226">
        <v>0.34</v>
      </c>
      <c r="BL40" s="226">
        <v>0.18</v>
      </c>
      <c r="BM40" s="226">
        <v>0.88000000000000012</v>
      </c>
      <c r="BN40" s="39" t="s">
        <v>64</v>
      </c>
      <c r="BO40" s="354">
        <v>3</v>
      </c>
      <c r="BP40" s="354">
        <v>16</v>
      </c>
      <c r="BQ40" s="354">
        <v>8</v>
      </c>
      <c r="BR40" s="322">
        <v>384</v>
      </c>
      <c r="BS40" s="288">
        <v>162.64000000000001</v>
      </c>
      <c r="BT40" s="288" t="s">
        <v>62</v>
      </c>
      <c r="BU40" s="40" t="s">
        <v>67</v>
      </c>
      <c r="BV40" s="191"/>
      <c r="BW40" s="191"/>
      <c r="BX40" s="82"/>
    </row>
    <row r="41" spans="1:76" s="1" customFormat="1" ht="30" x14ac:dyDescent="0.25">
      <c r="A41" s="241">
        <v>42781</v>
      </c>
      <c r="B41" s="45" t="s">
        <v>36</v>
      </c>
      <c r="C41" s="45" t="s">
        <v>2790</v>
      </c>
      <c r="D41" s="45" t="s">
        <v>240</v>
      </c>
      <c r="E41" s="45" t="s">
        <v>2110</v>
      </c>
      <c r="F41" s="96" t="s">
        <v>2964</v>
      </c>
      <c r="G41" s="59" t="s">
        <v>995</v>
      </c>
      <c r="H41" s="75" t="s">
        <v>3299</v>
      </c>
      <c r="I41" s="355"/>
      <c r="J41" s="355"/>
      <c r="K41" s="29"/>
      <c r="L41" s="30"/>
      <c r="M41" s="30"/>
      <c r="N41" s="30"/>
      <c r="O41" s="80"/>
      <c r="P41" s="80"/>
      <c r="Q41" s="80"/>
      <c r="R41" s="80"/>
      <c r="S41" s="80"/>
      <c r="T41" s="80"/>
      <c r="U41" s="29"/>
      <c r="V41" s="41"/>
      <c r="W41" s="29"/>
      <c r="X41" s="41"/>
      <c r="Y41" s="37"/>
      <c r="Z41" s="41"/>
      <c r="AA41" s="29"/>
      <c r="AB41" s="355" t="s">
        <v>2965</v>
      </c>
      <c r="AC41" s="355"/>
      <c r="AD41" s="59"/>
      <c r="AE41" s="355"/>
      <c r="AF41" s="355"/>
      <c r="AG41" s="355" t="s">
        <v>2790</v>
      </c>
      <c r="AH41" s="355"/>
      <c r="AI41" s="355" t="s">
        <v>2790</v>
      </c>
      <c r="AJ41" s="355"/>
      <c r="AK41" s="355">
        <v>230179</v>
      </c>
      <c r="AL41" s="37"/>
      <c r="AM41" s="355" t="s">
        <v>2790</v>
      </c>
      <c r="AN41" s="355" t="s">
        <v>2790</v>
      </c>
      <c r="AO41" s="355" t="s">
        <v>3234</v>
      </c>
      <c r="AP41" s="355"/>
      <c r="AQ41" s="355" t="s">
        <v>2966</v>
      </c>
      <c r="AR41" s="63">
        <v>17.86</v>
      </c>
      <c r="AS41" s="27">
        <f t="shared" si="19"/>
        <v>40.225225225225223</v>
      </c>
      <c r="AT41" s="329" t="s">
        <v>2853</v>
      </c>
      <c r="AU41" s="329" t="s">
        <v>2854</v>
      </c>
      <c r="AV41" s="44">
        <v>9.75</v>
      </c>
      <c r="AW41" s="44">
        <v>7.05</v>
      </c>
      <c r="AX41" s="44">
        <v>1.38</v>
      </c>
      <c r="AY41" s="352"/>
      <c r="AZ41" s="352"/>
      <c r="BA41" s="324">
        <v>0.09</v>
      </c>
      <c r="BB41" s="289">
        <v>7.4059999999999997</v>
      </c>
      <c r="BC41" s="289">
        <v>1.786</v>
      </c>
      <c r="BD41" s="289">
        <v>10.821999999999999</v>
      </c>
      <c r="BE41" s="287">
        <v>8.2837875782407408E-2</v>
      </c>
      <c r="BF41" s="324">
        <v>0.15</v>
      </c>
      <c r="BG41" s="286">
        <v>11.93</v>
      </c>
      <c r="BH41" s="286">
        <v>8</v>
      </c>
      <c r="BI41" s="286">
        <v>6</v>
      </c>
      <c r="BJ41" s="287">
        <v>0.3313888888888889</v>
      </c>
      <c r="BK41" s="290">
        <v>0.42</v>
      </c>
      <c r="BL41" s="290">
        <v>0.24</v>
      </c>
      <c r="BM41" s="290">
        <v>1.1399999999999999</v>
      </c>
      <c r="BN41" s="39" t="s">
        <v>64</v>
      </c>
      <c r="BO41" s="354">
        <v>3</v>
      </c>
      <c r="BP41" s="354">
        <v>20</v>
      </c>
      <c r="BQ41" s="354">
        <v>7</v>
      </c>
      <c r="BR41" s="322">
        <v>420</v>
      </c>
      <c r="BS41" s="288">
        <v>209.59999999999997</v>
      </c>
      <c r="BT41" s="288" t="s">
        <v>62</v>
      </c>
      <c r="BU41" s="40" t="s">
        <v>67</v>
      </c>
      <c r="BV41" s="191"/>
      <c r="BW41" s="191"/>
      <c r="BX41" s="82"/>
    </row>
    <row r="42" spans="1:76" s="1" customFormat="1" ht="30" x14ac:dyDescent="0.25">
      <c r="A42" s="241">
        <v>42781</v>
      </c>
      <c r="B42" s="45" t="s">
        <v>36</v>
      </c>
      <c r="C42" s="45" t="s">
        <v>2791</v>
      </c>
      <c r="D42" s="45" t="s">
        <v>240</v>
      </c>
      <c r="E42" s="45" t="s">
        <v>2111</v>
      </c>
      <c r="F42" s="96" t="s">
        <v>3302</v>
      </c>
      <c r="G42" s="59" t="s">
        <v>72</v>
      </c>
      <c r="H42" s="29" t="s">
        <v>3300</v>
      </c>
      <c r="I42" s="355" t="s">
        <v>2285</v>
      </c>
      <c r="J42" s="355" t="s">
        <v>3301</v>
      </c>
      <c r="K42" s="29"/>
      <c r="L42" s="30"/>
      <c r="M42" s="30"/>
      <c r="N42" s="30"/>
      <c r="O42" s="80"/>
      <c r="P42" s="80"/>
      <c r="Q42" s="80"/>
      <c r="R42" s="80"/>
      <c r="S42" s="80"/>
      <c r="T42" s="80"/>
      <c r="U42" s="29" t="s">
        <v>2999</v>
      </c>
      <c r="V42" s="41"/>
      <c r="W42" s="29">
        <v>84279</v>
      </c>
      <c r="X42" s="41"/>
      <c r="Y42" s="37"/>
      <c r="Z42" s="41"/>
      <c r="AA42" s="29"/>
      <c r="AB42" s="355" t="s">
        <v>3000</v>
      </c>
      <c r="AC42" s="355" t="s">
        <v>3235</v>
      </c>
      <c r="AD42" s="59"/>
      <c r="AE42" s="355"/>
      <c r="AF42" s="355" t="s">
        <v>3236</v>
      </c>
      <c r="AG42" s="355" t="s">
        <v>2791</v>
      </c>
      <c r="AH42" s="355" t="s">
        <v>3237</v>
      </c>
      <c r="AI42" s="355" t="s">
        <v>2791</v>
      </c>
      <c r="AJ42" s="355"/>
      <c r="AK42" s="355"/>
      <c r="AL42" s="37" t="s">
        <v>3001</v>
      </c>
      <c r="AM42" s="355" t="s">
        <v>3003</v>
      </c>
      <c r="AN42" s="355" t="s">
        <v>3002</v>
      </c>
      <c r="AO42" s="355" t="s">
        <v>3238</v>
      </c>
      <c r="AP42" s="355"/>
      <c r="AQ42" s="355">
        <v>57279</v>
      </c>
      <c r="AR42" s="63">
        <v>36.89</v>
      </c>
      <c r="AS42" s="27">
        <f t="shared" si="19"/>
        <v>83.085585585585591</v>
      </c>
      <c r="AT42" s="98" t="s">
        <v>2855</v>
      </c>
      <c r="AU42" s="329" t="s">
        <v>2856</v>
      </c>
      <c r="AV42" s="44"/>
      <c r="AW42" s="44"/>
      <c r="AX42" s="44"/>
      <c r="AY42" s="84">
        <v>2.95</v>
      </c>
      <c r="AZ42" s="84">
        <v>5.82</v>
      </c>
      <c r="BA42" s="324">
        <v>0.22</v>
      </c>
      <c r="BB42" s="351">
        <f>3.15+0.036</f>
        <v>3.1859999999999999</v>
      </c>
      <c r="BC42" s="351">
        <f>3.15+0.036</f>
        <v>3.1859999999999999</v>
      </c>
      <c r="BD42" s="351">
        <f>6+0.036+0.036</f>
        <v>6.0719999999999992</v>
      </c>
      <c r="BE42" s="351">
        <f t="shared" ref="BE42" si="20">(BD42*BC42*BB42)/1728</f>
        <v>3.5668066499999991E-2</v>
      </c>
      <c r="BF42" s="224">
        <v>7.0000000000000007E-2</v>
      </c>
      <c r="BG42" s="353">
        <v>13.25</v>
      </c>
      <c r="BH42" s="353">
        <v>10</v>
      </c>
      <c r="BI42" s="353">
        <v>6.62</v>
      </c>
      <c r="BJ42" s="351">
        <f t="shared" ref="BJ42" si="21">(BI42*BH42*BG42)/1728</f>
        <v>0.50760995370370376</v>
      </c>
      <c r="BK42" s="227">
        <v>0.5</v>
      </c>
      <c r="BL42" s="227">
        <f t="shared" ref="BL42" si="22">BA42+BF42</f>
        <v>0.29000000000000004</v>
      </c>
      <c r="BM42" s="227">
        <f t="shared" ref="BM42" si="23">((BA42+BF42)*BO42)+BK42</f>
        <v>3.9800000000000004</v>
      </c>
      <c r="BN42" s="39" t="s">
        <v>64</v>
      </c>
      <c r="BO42" s="354">
        <v>12</v>
      </c>
      <c r="BP42" s="354">
        <v>14</v>
      </c>
      <c r="BQ42" s="354">
        <v>6</v>
      </c>
      <c r="BR42" s="322">
        <f t="shared" ref="BR42" si="24">BO42*BP42*BQ42</f>
        <v>1008</v>
      </c>
      <c r="BS42" s="322">
        <f t="shared" ref="BS42" si="25">((((BA42+BF42)*BO42)+BK42)*BP42*BQ42)+50</f>
        <v>384.32000000000005</v>
      </c>
      <c r="BT42" s="322" t="s">
        <v>69</v>
      </c>
      <c r="BU42" s="75" t="s">
        <v>1910</v>
      </c>
      <c r="BV42" s="191"/>
      <c r="BW42" s="191"/>
      <c r="BX42" s="82"/>
    </row>
    <row r="43" spans="1:76" s="1" customFormat="1" ht="30" x14ac:dyDescent="0.25">
      <c r="A43" s="241">
        <v>42781</v>
      </c>
      <c r="B43" s="45" t="s">
        <v>36</v>
      </c>
      <c r="C43" s="45" t="s">
        <v>1350</v>
      </c>
      <c r="D43" s="45" t="s">
        <v>240</v>
      </c>
      <c r="E43" s="45" t="s">
        <v>2111</v>
      </c>
      <c r="F43" s="96" t="s">
        <v>3303</v>
      </c>
      <c r="G43" s="59" t="s">
        <v>259</v>
      </c>
      <c r="H43" s="29">
        <v>11427583220</v>
      </c>
      <c r="I43" s="355"/>
      <c r="J43" s="355"/>
      <c r="K43" s="29"/>
      <c r="L43" s="30"/>
      <c r="M43" s="30"/>
      <c r="N43" s="30"/>
      <c r="O43" s="80"/>
      <c r="P43" s="80"/>
      <c r="Q43" s="80"/>
      <c r="R43" s="80"/>
      <c r="S43" s="80"/>
      <c r="T43" s="80"/>
      <c r="U43" s="29"/>
      <c r="V43" s="41"/>
      <c r="W43" s="29">
        <v>84189</v>
      </c>
      <c r="X43" s="41"/>
      <c r="Y43" s="37"/>
      <c r="Z43" s="41"/>
      <c r="AA43" s="29"/>
      <c r="AB43" s="355" t="s">
        <v>3004</v>
      </c>
      <c r="AC43" s="355" t="s">
        <v>1353</v>
      </c>
      <c r="AD43" s="59" t="s">
        <v>3239</v>
      </c>
      <c r="AE43" s="355"/>
      <c r="AF43" s="355" t="s">
        <v>3240</v>
      </c>
      <c r="AG43" s="355" t="s">
        <v>1350</v>
      </c>
      <c r="AH43" s="355" t="s">
        <v>3241</v>
      </c>
      <c r="AI43" s="355" t="s">
        <v>1350</v>
      </c>
      <c r="AJ43" s="355"/>
      <c r="AK43" s="355">
        <v>7189</v>
      </c>
      <c r="AL43" s="37" t="s">
        <v>1355</v>
      </c>
      <c r="AM43" s="355" t="s">
        <v>1356</v>
      </c>
      <c r="AN43" s="355" t="s">
        <v>1357</v>
      </c>
      <c r="AO43" s="355" t="s">
        <v>3242</v>
      </c>
      <c r="AP43" s="355"/>
      <c r="AQ43" s="355">
        <v>57189</v>
      </c>
      <c r="AR43" s="63">
        <v>23.3</v>
      </c>
      <c r="AS43" s="27">
        <f t="shared" si="19"/>
        <v>52.477477477477478</v>
      </c>
      <c r="AT43" s="329" t="s">
        <v>2857</v>
      </c>
      <c r="AU43" s="329" t="s">
        <v>2858</v>
      </c>
      <c r="AV43" s="44"/>
      <c r="AW43" s="44"/>
      <c r="AX43" s="44"/>
      <c r="AY43" s="352">
        <v>2.96</v>
      </c>
      <c r="AZ43" s="352">
        <v>4.33</v>
      </c>
      <c r="BA43" s="324">
        <v>0.21</v>
      </c>
      <c r="BB43" s="289">
        <v>3.1920000000000002</v>
      </c>
      <c r="BC43" s="289">
        <v>3.1920000000000002</v>
      </c>
      <c r="BD43" s="289">
        <v>4.9469999999999992</v>
      </c>
      <c r="BE43" s="287">
        <v>2.9169160999999999E-2</v>
      </c>
      <c r="BF43" s="324">
        <v>0.06</v>
      </c>
      <c r="BG43" s="286">
        <v>13.25</v>
      </c>
      <c r="BH43" s="286">
        <v>10</v>
      </c>
      <c r="BI43" s="286">
        <v>5.5</v>
      </c>
      <c r="BJ43" s="287">
        <v>0.42173032407407407</v>
      </c>
      <c r="BK43" s="290">
        <v>0.5</v>
      </c>
      <c r="BL43" s="290">
        <v>0.27</v>
      </c>
      <c r="BM43" s="290">
        <v>3.74</v>
      </c>
      <c r="BN43" s="39" t="s">
        <v>64</v>
      </c>
      <c r="BO43" s="354">
        <v>12</v>
      </c>
      <c r="BP43" s="354">
        <v>14</v>
      </c>
      <c r="BQ43" s="354">
        <v>8</v>
      </c>
      <c r="BR43" s="322">
        <v>1344</v>
      </c>
      <c r="BS43" s="288">
        <v>468.88</v>
      </c>
      <c r="BT43" s="288" t="s">
        <v>1011</v>
      </c>
      <c r="BU43" s="40" t="s">
        <v>1910</v>
      </c>
      <c r="BV43" s="191"/>
      <c r="BW43" s="191"/>
      <c r="BX43" s="82"/>
    </row>
    <row r="44" spans="1:76" s="1" customFormat="1" x14ac:dyDescent="0.25">
      <c r="A44" s="241">
        <v>42781</v>
      </c>
      <c r="B44" s="45" t="s">
        <v>36</v>
      </c>
      <c r="C44" s="45" t="s">
        <v>1336</v>
      </c>
      <c r="D44" s="45" t="s">
        <v>240</v>
      </c>
      <c r="E44" s="45" t="s">
        <v>2111</v>
      </c>
      <c r="F44" s="96" t="s">
        <v>3305</v>
      </c>
      <c r="G44" s="59" t="s">
        <v>1009</v>
      </c>
      <c r="H44" s="29" t="s">
        <v>3304</v>
      </c>
      <c r="I44" s="355"/>
      <c r="J44" s="355"/>
      <c r="K44" s="29"/>
      <c r="L44" s="30"/>
      <c r="M44" s="30"/>
      <c r="N44" s="30"/>
      <c r="O44" s="80"/>
      <c r="P44" s="80"/>
      <c r="Q44" s="80"/>
      <c r="R44" s="80"/>
      <c r="S44" s="80"/>
      <c r="T44" s="80"/>
      <c r="U44" s="29" t="s">
        <v>3005</v>
      </c>
      <c r="V44" s="41"/>
      <c r="W44" s="29">
        <v>85262</v>
      </c>
      <c r="X44" s="41"/>
      <c r="Y44" s="37"/>
      <c r="Z44" s="41"/>
      <c r="AA44" s="29"/>
      <c r="AB44" s="355" t="s">
        <v>1341</v>
      </c>
      <c r="AC44" s="355" t="s">
        <v>1342</v>
      </c>
      <c r="AD44" s="59" t="s">
        <v>1343</v>
      </c>
      <c r="AE44" s="355"/>
      <c r="AF44" s="355" t="s">
        <v>3243</v>
      </c>
      <c r="AG44" s="355" t="s">
        <v>1336</v>
      </c>
      <c r="AH44" s="355" t="s">
        <v>3245</v>
      </c>
      <c r="AI44" s="355" t="s">
        <v>1336</v>
      </c>
      <c r="AJ44" s="355"/>
      <c r="AK44" s="355">
        <v>7262</v>
      </c>
      <c r="AL44" s="37" t="s">
        <v>1345</v>
      </c>
      <c r="AM44" s="355" t="s">
        <v>3006</v>
      </c>
      <c r="AN44" s="355" t="s">
        <v>1346</v>
      </c>
      <c r="AO44" s="355" t="s">
        <v>3244</v>
      </c>
      <c r="AP44" s="355"/>
      <c r="AQ44" s="355">
        <v>57262</v>
      </c>
      <c r="AR44" s="63">
        <v>12.04</v>
      </c>
      <c r="AS44" s="27">
        <f t="shared" si="19"/>
        <v>27.117117117117115</v>
      </c>
      <c r="AT44" s="329" t="s">
        <v>2859</v>
      </c>
      <c r="AU44" s="329" t="s">
        <v>2860</v>
      </c>
      <c r="AV44" s="44"/>
      <c r="AW44" s="44"/>
      <c r="AX44" s="44"/>
      <c r="AY44" s="84">
        <v>2.56</v>
      </c>
      <c r="AZ44" s="84">
        <v>3.98</v>
      </c>
      <c r="BA44" s="324">
        <v>0.3</v>
      </c>
      <c r="BB44" s="351">
        <f>3.812+0.036</f>
        <v>3.8479999999999999</v>
      </c>
      <c r="BC44" s="351">
        <f>3.812+0.036</f>
        <v>3.8479999999999999</v>
      </c>
      <c r="BD44" s="351">
        <f>4.375+0.036+0.036</f>
        <v>4.4469999999999992</v>
      </c>
      <c r="BE44" s="351">
        <f t="shared" ref="BE44" si="26">(BD44*BC44*BB44)/1728</f>
        <v>3.810601359259258E-2</v>
      </c>
      <c r="BF44" s="224">
        <v>0.1</v>
      </c>
      <c r="BG44" s="353">
        <f>15.56+0.25</f>
        <v>15.81</v>
      </c>
      <c r="BH44" s="353">
        <f>11.68+0.25</f>
        <v>11.93</v>
      </c>
      <c r="BI44" s="353">
        <f>4.56+0.5</f>
        <v>5.0599999999999996</v>
      </c>
      <c r="BJ44" s="351">
        <f t="shared" ref="BJ44" si="27">(BI44*BH44*BG44)/1728</f>
        <v>0.55230514930555552</v>
      </c>
      <c r="BK44" s="227">
        <v>0.5</v>
      </c>
      <c r="BL44" s="227">
        <f t="shared" ref="BL44" si="28">BA44+BF44</f>
        <v>0.4</v>
      </c>
      <c r="BM44" s="227">
        <f t="shared" ref="BM44" si="29">((BA44+BF44)*BO44)+BK44</f>
        <v>5.3000000000000007</v>
      </c>
      <c r="BN44" s="39" t="s">
        <v>64</v>
      </c>
      <c r="BO44" s="354">
        <v>12</v>
      </c>
      <c r="BP44" s="354">
        <v>10</v>
      </c>
      <c r="BQ44" s="354">
        <v>8</v>
      </c>
      <c r="BR44" s="322">
        <f t="shared" ref="BR44" si="30">BO44*BP44*BQ44</f>
        <v>960</v>
      </c>
      <c r="BS44" s="322">
        <f t="shared" ref="BS44" si="31">((((BA44+BF44)*BO44)+BK44)*BP44*BQ44)+50</f>
        <v>474.00000000000006</v>
      </c>
      <c r="BT44" s="322" t="s">
        <v>1011</v>
      </c>
      <c r="BU44" s="75" t="s">
        <v>1910</v>
      </c>
      <c r="BV44" s="191"/>
      <c r="BW44" s="191"/>
      <c r="BX44" s="82"/>
    </row>
    <row r="45" spans="1:76" s="1" customFormat="1" x14ac:dyDescent="0.25">
      <c r="A45" s="241">
        <v>42781</v>
      </c>
      <c r="B45" s="45" t="s">
        <v>36</v>
      </c>
      <c r="C45" s="45" t="s">
        <v>1480</v>
      </c>
      <c r="D45" s="45" t="s">
        <v>240</v>
      </c>
      <c r="E45" s="45" t="s">
        <v>2111</v>
      </c>
      <c r="F45" s="96" t="s">
        <v>3306</v>
      </c>
      <c r="G45" s="59" t="s">
        <v>260</v>
      </c>
      <c r="H45" s="29">
        <v>2711800309</v>
      </c>
      <c r="I45" s="355"/>
      <c r="J45" s="355"/>
      <c r="K45" s="29"/>
      <c r="L45" s="30"/>
      <c r="M45" s="30"/>
      <c r="N45" s="30"/>
      <c r="O45" s="80"/>
      <c r="P45" s="80"/>
      <c r="Q45" s="80"/>
      <c r="R45" s="80"/>
      <c r="S45" s="80"/>
      <c r="T45" s="80"/>
      <c r="U45" s="29"/>
      <c r="V45" s="41"/>
      <c r="W45" s="29" t="s">
        <v>1480</v>
      </c>
      <c r="X45" s="41"/>
      <c r="Y45" s="37"/>
      <c r="Z45" s="41"/>
      <c r="AA45" s="29"/>
      <c r="AB45" s="355" t="s">
        <v>1483</v>
      </c>
      <c r="AC45" s="355"/>
      <c r="AD45" s="59" t="s">
        <v>1484</v>
      </c>
      <c r="AE45" s="355"/>
      <c r="AF45" s="355" t="s">
        <v>3246</v>
      </c>
      <c r="AG45" s="355" t="s">
        <v>1480</v>
      </c>
      <c r="AH45" s="355" t="s">
        <v>3247</v>
      </c>
      <c r="AI45" s="355" t="s">
        <v>1480</v>
      </c>
      <c r="AJ45" s="355"/>
      <c r="AK45" s="355">
        <v>100059</v>
      </c>
      <c r="AL45" s="37" t="s">
        <v>1486</v>
      </c>
      <c r="AM45" s="355" t="s">
        <v>3007</v>
      </c>
      <c r="AN45" s="355" t="s">
        <v>1487</v>
      </c>
      <c r="AO45" s="355" t="s">
        <v>3248</v>
      </c>
      <c r="AP45" s="355"/>
      <c r="AQ45" s="355" t="s">
        <v>3008</v>
      </c>
      <c r="AR45" s="63">
        <v>13.98</v>
      </c>
      <c r="AS45" s="27">
        <f t="shared" si="19"/>
        <v>31.486486486486488</v>
      </c>
      <c r="AT45" s="329" t="s">
        <v>2861</v>
      </c>
      <c r="AU45" s="329" t="s">
        <v>2862</v>
      </c>
      <c r="AV45" s="44"/>
      <c r="AW45" s="44"/>
      <c r="AX45" s="44"/>
      <c r="AY45" s="352">
        <v>1.79</v>
      </c>
      <c r="AZ45" s="352">
        <v>6.22</v>
      </c>
      <c r="BA45" s="324">
        <v>0.15</v>
      </c>
      <c r="BB45" s="289">
        <v>2.911</v>
      </c>
      <c r="BC45" s="289">
        <v>2.911</v>
      </c>
      <c r="BD45" s="289">
        <v>6.6969999999999992</v>
      </c>
      <c r="BE45" s="287">
        <v>3.2841347764467593E-2</v>
      </c>
      <c r="BF45" s="324">
        <v>0.08</v>
      </c>
      <c r="BG45" s="286">
        <v>12.25</v>
      </c>
      <c r="BH45" s="286">
        <v>9</v>
      </c>
      <c r="BI45" s="286">
        <v>7.88</v>
      </c>
      <c r="BJ45" s="287">
        <v>0.50276041666666671</v>
      </c>
      <c r="BK45" s="226">
        <v>0.51</v>
      </c>
      <c r="BL45" s="226">
        <v>0.22999999999999998</v>
      </c>
      <c r="BM45" s="226">
        <v>3.2699999999999996</v>
      </c>
      <c r="BN45" s="39" t="s">
        <v>64</v>
      </c>
      <c r="BO45" s="354">
        <v>12</v>
      </c>
      <c r="BP45" s="354">
        <v>16</v>
      </c>
      <c r="BQ45" s="354">
        <v>5</v>
      </c>
      <c r="BR45" s="322">
        <v>960</v>
      </c>
      <c r="BS45" s="288">
        <v>311.59999999999997</v>
      </c>
      <c r="BT45" s="288" t="s">
        <v>255</v>
      </c>
      <c r="BU45" s="40" t="s">
        <v>1910</v>
      </c>
      <c r="BV45" s="191"/>
      <c r="BW45" s="191"/>
      <c r="BX45" s="82"/>
    </row>
    <row r="46" spans="1:76" s="1" customFormat="1" ht="30" x14ac:dyDescent="0.25">
      <c r="A46" s="241">
        <v>42781</v>
      </c>
      <c r="B46" s="45" t="s">
        <v>36</v>
      </c>
      <c r="C46" s="45" t="s">
        <v>1706</v>
      </c>
      <c r="D46" s="45" t="s">
        <v>240</v>
      </c>
      <c r="E46" s="45" t="s">
        <v>2111</v>
      </c>
      <c r="F46" s="96" t="s">
        <v>3307</v>
      </c>
      <c r="G46" s="59" t="s">
        <v>1009</v>
      </c>
      <c r="H46" s="29" t="s">
        <v>1708</v>
      </c>
      <c r="I46" s="355"/>
      <c r="J46" s="355"/>
      <c r="K46" s="29"/>
      <c r="L46" s="30"/>
      <c r="M46" s="30"/>
      <c r="N46" s="30"/>
      <c r="O46" s="80"/>
      <c r="P46" s="80"/>
      <c r="Q46" s="80"/>
      <c r="R46" s="80"/>
      <c r="S46" s="80"/>
      <c r="T46" s="80"/>
      <c r="U46" s="29"/>
      <c r="V46" s="41"/>
      <c r="W46" s="29">
        <v>84462</v>
      </c>
      <c r="X46" s="41"/>
      <c r="Y46" s="37"/>
      <c r="Z46" s="41" t="s">
        <v>1706</v>
      </c>
      <c r="AA46" s="29"/>
      <c r="AB46" s="355" t="s">
        <v>1709</v>
      </c>
      <c r="AC46" s="355" t="s">
        <v>1710</v>
      </c>
      <c r="AD46" s="59"/>
      <c r="AE46" s="355"/>
      <c r="AF46" s="355" t="s">
        <v>3249</v>
      </c>
      <c r="AG46" s="355" t="s">
        <v>1706</v>
      </c>
      <c r="AH46" s="355" t="s">
        <v>3250</v>
      </c>
      <c r="AI46" s="355" t="s">
        <v>1706</v>
      </c>
      <c r="AJ46" s="355"/>
      <c r="AK46" s="355">
        <v>7462</v>
      </c>
      <c r="AL46" s="37" t="s">
        <v>1711</v>
      </c>
      <c r="AM46" s="355"/>
      <c r="AN46" s="355" t="s">
        <v>1712</v>
      </c>
      <c r="AO46" s="355" t="s">
        <v>3251</v>
      </c>
      <c r="AP46" s="355"/>
      <c r="AQ46" s="355">
        <v>57462</v>
      </c>
      <c r="AR46" s="63">
        <v>12.23</v>
      </c>
      <c r="AS46" s="27">
        <f t="shared" si="19"/>
        <v>27.545045045045047</v>
      </c>
      <c r="AT46" s="329" t="s">
        <v>2863</v>
      </c>
      <c r="AU46" s="329" t="s">
        <v>2864</v>
      </c>
      <c r="AV46" s="44"/>
      <c r="AW46" s="44"/>
      <c r="AX46" s="44"/>
      <c r="AY46" s="352">
        <v>3.169</v>
      </c>
      <c r="AZ46" s="352">
        <v>4.665</v>
      </c>
      <c r="BA46" s="324">
        <v>0.4</v>
      </c>
      <c r="BB46" s="289">
        <v>3.8460000000000001</v>
      </c>
      <c r="BC46" s="289">
        <v>3.8460000000000001</v>
      </c>
      <c r="BD46" s="289">
        <v>5.4419999999999993</v>
      </c>
      <c r="BE46" s="287">
        <v>4.6583633374999996E-2</v>
      </c>
      <c r="BF46" s="324">
        <v>0.08</v>
      </c>
      <c r="BG46" s="286">
        <v>15.81</v>
      </c>
      <c r="BH46" s="286">
        <v>11.93</v>
      </c>
      <c r="BI46" s="286">
        <v>6</v>
      </c>
      <c r="BJ46" s="287">
        <v>0.65490729166666672</v>
      </c>
      <c r="BK46" s="226">
        <v>0.5</v>
      </c>
      <c r="BL46" s="226">
        <v>0.48000000000000004</v>
      </c>
      <c r="BM46" s="226">
        <v>6.2600000000000007</v>
      </c>
      <c r="BN46" s="39" t="s">
        <v>64</v>
      </c>
      <c r="BO46" s="354">
        <v>12</v>
      </c>
      <c r="BP46" s="354">
        <v>10</v>
      </c>
      <c r="BQ46" s="354">
        <v>7</v>
      </c>
      <c r="BR46" s="322">
        <v>840</v>
      </c>
      <c r="BS46" s="288">
        <v>488.20000000000005</v>
      </c>
      <c r="BT46" s="288" t="s">
        <v>255</v>
      </c>
      <c r="BU46" s="40" t="s">
        <v>1910</v>
      </c>
      <c r="BV46" s="191"/>
      <c r="BW46" s="191"/>
      <c r="BX46" s="82"/>
    </row>
    <row r="47" spans="1:76" s="1" customFormat="1" x14ac:dyDescent="0.25">
      <c r="A47" s="241">
        <v>42781</v>
      </c>
      <c r="B47" s="45" t="s">
        <v>36</v>
      </c>
      <c r="C47" s="45" t="s">
        <v>2792</v>
      </c>
      <c r="D47" s="45" t="s">
        <v>240</v>
      </c>
      <c r="E47" s="45" t="s">
        <v>2248</v>
      </c>
      <c r="F47" s="96" t="s">
        <v>3309</v>
      </c>
      <c r="G47" s="59" t="s">
        <v>187</v>
      </c>
      <c r="H47" s="29">
        <v>15913344</v>
      </c>
      <c r="I47" s="355" t="s">
        <v>1178</v>
      </c>
      <c r="J47" s="355" t="s">
        <v>3308</v>
      </c>
      <c r="K47" s="29"/>
      <c r="L47" s="30"/>
      <c r="M47" s="30"/>
      <c r="N47" s="30"/>
      <c r="O47" s="80"/>
      <c r="P47" s="80"/>
      <c r="Q47" s="80"/>
      <c r="R47" s="80"/>
      <c r="S47" s="80"/>
      <c r="T47" s="80"/>
      <c r="U47" s="29" t="s">
        <v>3009</v>
      </c>
      <c r="V47" s="41"/>
      <c r="W47" s="29"/>
      <c r="X47" s="41"/>
      <c r="Y47" s="37"/>
      <c r="Z47" s="41"/>
      <c r="AA47" s="29"/>
      <c r="AB47" s="355" t="s">
        <v>3010</v>
      </c>
      <c r="AC47" s="355" t="s">
        <v>3252</v>
      </c>
      <c r="AD47" s="59" t="s">
        <v>3253</v>
      </c>
      <c r="AE47" s="355" t="s">
        <v>3011</v>
      </c>
      <c r="AF47" s="355"/>
      <c r="AG47" s="355" t="s">
        <v>2792</v>
      </c>
      <c r="AH47" s="355" t="s">
        <v>3254</v>
      </c>
      <c r="AI47" s="355" t="s">
        <v>2792</v>
      </c>
      <c r="AJ47" s="355"/>
      <c r="AK47" s="355">
        <v>9739</v>
      </c>
      <c r="AL47" s="37" t="s">
        <v>3012</v>
      </c>
      <c r="AM47" s="355" t="s">
        <v>3013</v>
      </c>
      <c r="AN47" s="355" t="s">
        <v>3014</v>
      </c>
      <c r="AO47" s="355" t="s">
        <v>3255</v>
      </c>
      <c r="AP47" s="355"/>
      <c r="AQ47" s="355">
        <v>49739</v>
      </c>
      <c r="AR47" s="63">
        <v>13.98</v>
      </c>
      <c r="AS47" s="27">
        <f t="shared" si="19"/>
        <v>31.486486486486488</v>
      </c>
      <c r="AT47" s="329" t="s">
        <v>2865</v>
      </c>
      <c r="AU47" s="329" t="s">
        <v>2866</v>
      </c>
      <c r="AV47" s="84">
        <v>10.41</v>
      </c>
      <c r="AW47" s="84">
        <v>10.39</v>
      </c>
      <c r="AX47" s="84">
        <v>1.3</v>
      </c>
      <c r="AY47" s="44"/>
      <c r="AZ47" s="44"/>
      <c r="BA47" s="324">
        <v>0.41</v>
      </c>
      <c r="BB47" s="289">
        <v>12.161</v>
      </c>
      <c r="BC47" s="289">
        <v>2.5979999999999999</v>
      </c>
      <c r="BD47" s="287">
        <v>12.196999999999999</v>
      </c>
      <c r="BE47" s="287">
        <v>0.22300660229513886</v>
      </c>
      <c r="BF47" s="324">
        <v>0.3</v>
      </c>
      <c r="BG47" s="286">
        <v>16.37</v>
      </c>
      <c r="BH47" s="286">
        <v>12.5</v>
      </c>
      <c r="BI47" s="286">
        <v>12.75</v>
      </c>
      <c r="BJ47" s="287">
        <v>1.5098198784722223</v>
      </c>
      <c r="BK47" s="290">
        <v>1.04</v>
      </c>
      <c r="BL47" s="290">
        <v>0.71</v>
      </c>
      <c r="BM47" s="290">
        <v>5.3</v>
      </c>
      <c r="BN47" s="39" t="s">
        <v>64</v>
      </c>
      <c r="BO47" s="354">
        <v>6</v>
      </c>
      <c r="BP47" s="354">
        <v>8</v>
      </c>
      <c r="BQ47" s="354">
        <v>3</v>
      </c>
      <c r="BR47" s="322">
        <v>144</v>
      </c>
      <c r="BS47" s="288">
        <v>177.2</v>
      </c>
      <c r="BT47" s="322" t="s">
        <v>62</v>
      </c>
      <c r="BU47" s="40" t="s">
        <v>67</v>
      </c>
      <c r="BV47" s="191"/>
      <c r="BW47" s="191"/>
      <c r="BX47" s="82"/>
    </row>
    <row r="48" spans="1:76" s="1" customFormat="1" x14ac:dyDescent="0.25">
      <c r="A48" s="241">
        <v>42781</v>
      </c>
      <c r="B48" s="45" t="s">
        <v>36</v>
      </c>
      <c r="C48" s="45" t="s">
        <v>2793</v>
      </c>
      <c r="D48" s="45" t="s">
        <v>240</v>
      </c>
      <c r="E48" s="45" t="s">
        <v>2248</v>
      </c>
      <c r="F48" s="96" t="s">
        <v>3310</v>
      </c>
      <c r="G48" s="59" t="s">
        <v>187</v>
      </c>
      <c r="H48" s="29">
        <v>20871244</v>
      </c>
      <c r="I48" s="355"/>
      <c r="J48" s="355"/>
      <c r="K48" s="29"/>
      <c r="L48" s="30"/>
      <c r="M48" s="30"/>
      <c r="N48" s="30"/>
      <c r="O48" s="80"/>
      <c r="P48" s="80"/>
      <c r="Q48" s="80"/>
      <c r="R48" s="80"/>
      <c r="S48" s="80"/>
      <c r="T48" s="80"/>
      <c r="U48" s="29"/>
      <c r="V48" s="41"/>
      <c r="W48" s="29">
        <v>83244</v>
      </c>
      <c r="X48" s="41"/>
      <c r="Y48" s="37"/>
      <c r="Z48" s="41"/>
      <c r="AA48" s="29"/>
      <c r="AB48" s="355" t="s">
        <v>3015</v>
      </c>
      <c r="AC48" s="355"/>
      <c r="AD48" s="59"/>
      <c r="AE48" s="355" t="s">
        <v>3016</v>
      </c>
      <c r="AF48" s="355"/>
      <c r="AG48" s="355" t="s">
        <v>2793</v>
      </c>
      <c r="AH48" s="355" t="s">
        <v>3256</v>
      </c>
      <c r="AI48" s="355" t="s">
        <v>3017</v>
      </c>
      <c r="AJ48" s="355"/>
      <c r="AK48" s="355">
        <v>9244</v>
      </c>
      <c r="AL48" s="37" t="s">
        <v>3018</v>
      </c>
      <c r="AM48" s="355" t="s">
        <v>3019</v>
      </c>
      <c r="AN48" s="355" t="s">
        <v>3020</v>
      </c>
      <c r="AO48" s="355" t="s">
        <v>3257</v>
      </c>
      <c r="AP48" s="355"/>
      <c r="AQ48" s="355">
        <v>49244</v>
      </c>
      <c r="AR48" s="63">
        <v>10.1</v>
      </c>
      <c r="AS48" s="27">
        <f t="shared" si="19"/>
        <v>22.747747747747745</v>
      </c>
      <c r="AT48" s="329" t="s">
        <v>2867</v>
      </c>
      <c r="AU48" s="329" t="s">
        <v>2868</v>
      </c>
      <c r="AV48" s="84">
        <v>7.54</v>
      </c>
      <c r="AW48" s="84">
        <v>7.13</v>
      </c>
      <c r="AX48" s="84">
        <v>1.79</v>
      </c>
      <c r="AY48" s="44"/>
      <c r="AZ48" s="44"/>
      <c r="BA48" s="324">
        <v>0.32</v>
      </c>
      <c r="BB48" s="289">
        <v>7.7859999999999996</v>
      </c>
      <c r="BC48" s="289">
        <v>2.536</v>
      </c>
      <c r="BD48" s="289">
        <v>9.0719999999999992</v>
      </c>
      <c r="BE48" s="287">
        <v>0.10366280399999998</v>
      </c>
      <c r="BF48" s="324">
        <v>0.16</v>
      </c>
      <c r="BG48" s="286">
        <v>15.37</v>
      </c>
      <c r="BH48" s="286">
        <v>9.75</v>
      </c>
      <c r="BI48" s="286">
        <v>9</v>
      </c>
      <c r="BJ48" s="287">
        <v>0.78050781250000001</v>
      </c>
      <c r="BK48" s="226">
        <v>0.67</v>
      </c>
      <c r="BL48" s="226">
        <v>0.48</v>
      </c>
      <c r="BM48" s="226">
        <v>3.55</v>
      </c>
      <c r="BN48" s="39" t="s">
        <v>64</v>
      </c>
      <c r="BO48" s="354">
        <v>6</v>
      </c>
      <c r="BP48" s="354">
        <v>12</v>
      </c>
      <c r="BQ48" s="354">
        <v>5</v>
      </c>
      <c r="BR48" s="322">
        <v>360</v>
      </c>
      <c r="BS48" s="288">
        <v>263</v>
      </c>
      <c r="BT48" s="322" t="s">
        <v>62</v>
      </c>
      <c r="BU48" s="40" t="s">
        <v>67</v>
      </c>
      <c r="BV48" s="191"/>
      <c r="BW48" s="191"/>
      <c r="BX48" s="82"/>
    </row>
    <row r="49" spans="1:76" s="1" customFormat="1" ht="15" customHeight="1" x14ac:dyDescent="0.25">
      <c r="A49" s="241">
        <v>42781</v>
      </c>
      <c r="B49" s="45" t="s">
        <v>36</v>
      </c>
      <c r="C49" s="45" t="s">
        <v>2794</v>
      </c>
      <c r="D49" s="45" t="s">
        <v>240</v>
      </c>
      <c r="E49" s="45" t="s">
        <v>2248</v>
      </c>
      <c r="F49" s="96" t="s">
        <v>3311</v>
      </c>
      <c r="G49" s="59" t="s">
        <v>187</v>
      </c>
      <c r="H49" s="29">
        <v>20972654</v>
      </c>
      <c r="I49" s="355"/>
      <c r="J49" s="355"/>
      <c r="K49" s="29"/>
      <c r="L49" s="30"/>
      <c r="M49" s="30"/>
      <c r="N49" s="30"/>
      <c r="O49" s="80"/>
      <c r="P49" s="80"/>
      <c r="Q49" s="80"/>
      <c r="R49" s="80"/>
      <c r="S49" s="80"/>
      <c r="T49" s="80"/>
      <c r="U49" s="29" t="s">
        <v>3021</v>
      </c>
      <c r="V49" s="41"/>
      <c r="W49" s="29">
        <v>93039</v>
      </c>
      <c r="X49" s="41"/>
      <c r="Y49" s="37"/>
      <c r="Z49" s="41"/>
      <c r="AA49" s="29"/>
      <c r="AB49" s="355" t="s">
        <v>3022</v>
      </c>
      <c r="AC49" s="355" t="s">
        <v>3258</v>
      </c>
      <c r="AD49" s="59"/>
      <c r="AE49" s="355" t="s">
        <v>3023</v>
      </c>
      <c r="AF49" s="355"/>
      <c r="AG49" s="355" t="s">
        <v>2794</v>
      </c>
      <c r="AH49" s="355"/>
      <c r="AI49" s="355" t="s">
        <v>2794</v>
      </c>
      <c r="AJ49" s="355"/>
      <c r="AK49" s="355">
        <v>200253</v>
      </c>
      <c r="AL49" s="37" t="s">
        <v>3024</v>
      </c>
      <c r="AM49" s="355" t="s">
        <v>3025</v>
      </c>
      <c r="AN49" s="355" t="s">
        <v>3026</v>
      </c>
      <c r="AO49" s="355" t="s">
        <v>3259</v>
      </c>
      <c r="AP49" s="355"/>
      <c r="AQ49" s="355" t="s">
        <v>3027</v>
      </c>
      <c r="AR49" s="63">
        <v>11.07</v>
      </c>
      <c r="AS49" s="27">
        <f t="shared" si="19"/>
        <v>24.932432432432432</v>
      </c>
      <c r="AT49" s="329" t="s">
        <v>2869</v>
      </c>
      <c r="AU49" s="329" t="s">
        <v>2870</v>
      </c>
      <c r="AV49" s="84">
        <v>9.9600000000000009</v>
      </c>
      <c r="AW49" s="84">
        <v>11.22</v>
      </c>
      <c r="AX49" s="84">
        <v>1.62</v>
      </c>
      <c r="AY49" s="44"/>
      <c r="AZ49" s="44"/>
      <c r="BA49" s="324">
        <v>0.77</v>
      </c>
      <c r="BB49" s="289">
        <v>12.161</v>
      </c>
      <c r="BC49" s="289">
        <v>2.5979999999999999</v>
      </c>
      <c r="BD49" s="289">
        <v>12.196999999999999</v>
      </c>
      <c r="BE49" s="287">
        <v>0.22300660229513886</v>
      </c>
      <c r="BF49" s="324">
        <v>0.3</v>
      </c>
      <c r="BG49" s="286">
        <v>16.37</v>
      </c>
      <c r="BH49" s="286">
        <v>12.5</v>
      </c>
      <c r="BI49" s="286">
        <v>12.75</v>
      </c>
      <c r="BJ49" s="287">
        <v>1.5098198784722223</v>
      </c>
      <c r="BK49" s="226">
        <v>1.04</v>
      </c>
      <c r="BL49" s="226">
        <v>1.07</v>
      </c>
      <c r="BM49" s="226">
        <v>7.46</v>
      </c>
      <c r="BN49" s="39" t="s">
        <v>64</v>
      </c>
      <c r="BO49" s="354">
        <v>6</v>
      </c>
      <c r="BP49" s="354">
        <v>8</v>
      </c>
      <c r="BQ49" s="354">
        <v>3</v>
      </c>
      <c r="BR49" s="322">
        <v>144</v>
      </c>
      <c r="BS49" s="288">
        <v>229.04</v>
      </c>
      <c r="BT49" s="322" t="s">
        <v>62</v>
      </c>
      <c r="BU49" s="40" t="s">
        <v>67</v>
      </c>
      <c r="BV49" s="191"/>
      <c r="BW49" s="191"/>
      <c r="BX49" s="82"/>
    </row>
    <row r="50" spans="1:76" s="1" customFormat="1" ht="30" x14ac:dyDescent="0.25">
      <c r="A50" s="241">
        <v>42781</v>
      </c>
      <c r="B50" s="45" t="s">
        <v>36</v>
      </c>
      <c r="C50" s="45" t="s">
        <v>1656</v>
      </c>
      <c r="D50" s="45" t="s">
        <v>240</v>
      </c>
      <c r="E50" s="45" t="s">
        <v>2248</v>
      </c>
      <c r="F50" s="96" t="s">
        <v>3312</v>
      </c>
      <c r="G50" s="29" t="s">
        <v>223</v>
      </c>
      <c r="H50" s="355" t="s">
        <v>1658</v>
      </c>
      <c r="I50" s="355"/>
      <c r="J50" s="355"/>
      <c r="K50" s="29"/>
      <c r="L50" s="30"/>
      <c r="M50" s="30"/>
      <c r="N50" s="30"/>
      <c r="O50" s="80"/>
      <c r="P50" s="80"/>
      <c r="Q50" s="80"/>
      <c r="R50" s="80"/>
      <c r="S50" s="80"/>
      <c r="T50" s="80"/>
      <c r="U50" s="29" t="s">
        <v>1660</v>
      </c>
      <c r="V50" s="41"/>
      <c r="W50" s="29">
        <v>83737</v>
      </c>
      <c r="X50" s="41"/>
      <c r="Y50" s="37"/>
      <c r="Z50" s="41"/>
      <c r="AA50" s="29"/>
      <c r="AB50" s="355" t="s">
        <v>1661</v>
      </c>
      <c r="AC50" s="355" t="s">
        <v>1662</v>
      </c>
      <c r="AD50" s="59"/>
      <c r="AE50" s="355" t="s">
        <v>1663</v>
      </c>
      <c r="AF50" s="355"/>
      <c r="AG50" s="355" t="s">
        <v>1656</v>
      </c>
      <c r="AH50" s="355"/>
      <c r="AI50" s="355" t="s">
        <v>1656</v>
      </c>
      <c r="AJ50" s="355"/>
      <c r="AK50" s="355">
        <v>9737</v>
      </c>
      <c r="AL50" s="37" t="s">
        <v>1664</v>
      </c>
      <c r="AM50" s="355" t="s">
        <v>3028</v>
      </c>
      <c r="AN50" s="355" t="s">
        <v>1665</v>
      </c>
      <c r="AO50" s="355" t="s">
        <v>3260</v>
      </c>
      <c r="AP50" s="355"/>
      <c r="AQ50" s="355">
        <v>49737</v>
      </c>
      <c r="AR50" s="63">
        <v>19.809999999999999</v>
      </c>
      <c r="AS50" s="27">
        <f t="shared" si="19"/>
        <v>44.617117117117111</v>
      </c>
      <c r="AT50" s="329" t="s">
        <v>2871</v>
      </c>
      <c r="AU50" s="329" t="s">
        <v>2872</v>
      </c>
      <c r="AV50" s="84">
        <v>12.75</v>
      </c>
      <c r="AW50" s="84">
        <v>9.77</v>
      </c>
      <c r="AX50" s="84">
        <v>1.63</v>
      </c>
      <c r="AY50" s="44"/>
      <c r="AZ50" s="44"/>
      <c r="BA50" s="324">
        <v>0.54</v>
      </c>
      <c r="BB50" s="289">
        <v>10.5036</v>
      </c>
      <c r="BC50" s="289">
        <v>2.786</v>
      </c>
      <c r="BD50" s="289">
        <v>15.071999999999999</v>
      </c>
      <c r="BE50" s="287">
        <v>0.25523864706666671</v>
      </c>
      <c r="BF50" s="324">
        <v>0.3</v>
      </c>
      <c r="BG50" s="286">
        <v>17.5</v>
      </c>
      <c r="BH50" s="286">
        <v>11.25</v>
      </c>
      <c r="BI50" s="286">
        <v>15.62</v>
      </c>
      <c r="BJ50" s="287">
        <v>1.7796223958333333</v>
      </c>
      <c r="BK50" s="226">
        <v>1.1000000000000001</v>
      </c>
      <c r="BL50" s="226">
        <v>0.84000000000000008</v>
      </c>
      <c r="BM50" s="226">
        <v>6.1400000000000006</v>
      </c>
      <c r="BN50" s="39" t="s">
        <v>64</v>
      </c>
      <c r="BO50" s="354">
        <v>6</v>
      </c>
      <c r="BP50" s="354">
        <v>9</v>
      </c>
      <c r="BQ50" s="354">
        <v>2</v>
      </c>
      <c r="BR50" s="322">
        <v>108</v>
      </c>
      <c r="BS50" s="288">
        <v>160.52000000000001</v>
      </c>
      <c r="BT50" s="322" t="s">
        <v>62</v>
      </c>
      <c r="BU50" s="40" t="s">
        <v>67</v>
      </c>
      <c r="BV50" s="191"/>
      <c r="BW50" s="191"/>
      <c r="BX50" s="82"/>
    </row>
    <row r="51" spans="1:76" s="1" customFormat="1" x14ac:dyDescent="0.25">
      <c r="A51" s="241">
        <v>42781</v>
      </c>
      <c r="B51" s="45" t="s">
        <v>36</v>
      </c>
      <c r="C51" s="45" t="s">
        <v>2795</v>
      </c>
      <c r="D51" s="45" t="s">
        <v>240</v>
      </c>
      <c r="E51" s="45" t="s">
        <v>2614</v>
      </c>
      <c r="F51" s="96" t="s">
        <v>3314</v>
      </c>
      <c r="G51" s="59" t="s">
        <v>1009</v>
      </c>
      <c r="H51" s="29" t="s">
        <v>3313</v>
      </c>
      <c r="I51" s="355"/>
      <c r="J51" s="355"/>
      <c r="K51" s="29"/>
      <c r="L51" s="30"/>
      <c r="M51" s="30"/>
      <c r="N51" s="30"/>
      <c r="O51" s="80"/>
      <c r="P51" s="80"/>
      <c r="Q51" s="80"/>
      <c r="R51" s="80"/>
      <c r="S51" s="80"/>
      <c r="T51" s="80"/>
      <c r="U51" s="29"/>
      <c r="V51" s="41"/>
      <c r="W51" s="29">
        <v>86831</v>
      </c>
      <c r="X51" s="41"/>
      <c r="Y51" s="37"/>
      <c r="Z51" s="41"/>
      <c r="AA51" s="29"/>
      <c r="AB51" s="355" t="s">
        <v>3029</v>
      </c>
      <c r="AC51" s="355" t="s">
        <v>3261</v>
      </c>
      <c r="AD51" s="59" t="s">
        <v>3177</v>
      </c>
      <c r="AE51" s="355"/>
      <c r="AF51" s="355" t="s">
        <v>3178</v>
      </c>
      <c r="AG51" s="355" t="s">
        <v>2795</v>
      </c>
      <c r="AH51" s="355" t="s">
        <v>3179</v>
      </c>
      <c r="AI51" s="355"/>
      <c r="AJ51" s="355"/>
      <c r="AK51" s="355"/>
      <c r="AL51" s="37"/>
      <c r="AM51" s="355"/>
      <c r="AN51" s="355">
        <v>59182</v>
      </c>
      <c r="AO51" s="355"/>
      <c r="AP51" s="355"/>
      <c r="AQ51" s="355">
        <v>33831</v>
      </c>
      <c r="AR51" s="63">
        <v>26.55</v>
      </c>
      <c r="AS51" s="27">
        <f t="shared" si="19"/>
        <v>59.797297297297298</v>
      </c>
      <c r="AT51" s="329" t="s">
        <v>2873</v>
      </c>
      <c r="AU51" s="329" t="s">
        <v>2874</v>
      </c>
      <c r="AV51" s="84"/>
      <c r="AW51" s="84"/>
      <c r="AX51" s="84"/>
      <c r="AY51" s="44">
        <v>2.93</v>
      </c>
      <c r="AZ51" s="44">
        <v>6.94</v>
      </c>
      <c r="BA51" s="324">
        <v>0.61</v>
      </c>
      <c r="BB51" s="289">
        <v>3.8460000000000001</v>
      </c>
      <c r="BC51" s="289">
        <v>3.8479999999999999</v>
      </c>
      <c r="BD51" s="289">
        <v>8.0719999999999992</v>
      </c>
      <c r="BE51" s="287">
        <v>6.9132419777777773E-2</v>
      </c>
      <c r="BF51" s="324">
        <v>0.09</v>
      </c>
      <c r="BG51" s="286">
        <v>15.81</v>
      </c>
      <c r="BH51" s="286">
        <v>11.93</v>
      </c>
      <c r="BI51" s="286">
        <v>8.6199999999999992</v>
      </c>
      <c r="BJ51" s="287">
        <v>0.94088347569444442</v>
      </c>
      <c r="BK51" s="226">
        <v>0.87</v>
      </c>
      <c r="BL51" s="226">
        <v>0.7</v>
      </c>
      <c r="BM51" s="226">
        <v>9.2699999999999978</v>
      </c>
      <c r="BN51" s="39" t="s">
        <v>64</v>
      </c>
      <c r="BO51" s="354">
        <v>12</v>
      </c>
      <c r="BP51" s="354">
        <v>10</v>
      </c>
      <c r="BQ51" s="354">
        <v>5</v>
      </c>
      <c r="BR51" s="322">
        <v>600</v>
      </c>
      <c r="BS51" s="288">
        <v>513.49999999999989</v>
      </c>
      <c r="BT51" s="322" t="s">
        <v>69</v>
      </c>
      <c r="BU51" s="40" t="s">
        <v>1910</v>
      </c>
      <c r="BV51" s="191"/>
      <c r="BW51" s="191"/>
      <c r="BX51" s="82"/>
    </row>
    <row r="52" spans="1:76" s="1" customFormat="1" x14ac:dyDescent="0.25">
      <c r="A52" s="241">
        <v>42781</v>
      </c>
      <c r="B52" s="45" t="s">
        <v>36</v>
      </c>
      <c r="C52" s="45" t="s">
        <v>2796</v>
      </c>
      <c r="D52" s="45" t="s">
        <v>240</v>
      </c>
      <c r="E52" s="45" t="s">
        <v>2248</v>
      </c>
      <c r="F52" s="96" t="s">
        <v>3316</v>
      </c>
      <c r="G52" s="59" t="s">
        <v>72</v>
      </c>
      <c r="H52" s="29" t="s">
        <v>3315</v>
      </c>
      <c r="I52" s="355" t="s">
        <v>51</v>
      </c>
      <c r="J52" s="355" t="s">
        <v>3264</v>
      </c>
      <c r="K52" s="29"/>
      <c r="L52" s="30"/>
      <c r="M52" s="30"/>
      <c r="N52" s="30"/>
      <c r="O52" s="80"/>
      <c r="P52" s="80"/>
      <c r="Q52" s="80"/>
      <c r="R52" s="80"/>
      <c r="S52" s="80"/>
      <c r="T52" s="80"/>
      <c r="U52" s="29" t="s">
        <v>3030</v>
      </c>
      <c r="V52" s="41"/>
      <c r="W52" s="29">
        <v>83902</v>
      </c>
      <c r="X52" s="41"/>
      <c r="Y52" s="37" t="s">
        <v>3262</v>
      </c>
      <c r="Z52" s="41"/>
      <c r="AA52" s="29" t="s">
        <v>3032</v>
      </c>
      <c r="AB52" s="355" t="s">
        <v>3031</v>
      </c>
      <c r="AC52" s="355" t="s">
        <v>3263</v>
      </c>
      <c r="AD52" s="59"/>
      <c r="AE52" s="355" t="s">
        <v>3033</v>
      </c>
      <c r="AF52" s="355"/>
      <c r="AG52" s="355" t="s">
        <v>2796</v>
      </c>
      <c r="AH52" s="355"/>
      <c r="AI52" s="355" t="s">
        <v>3034</v>
      </c>
      <c r="AJ52" s="355" t="s">
        <v>3264</v>
      </c>
      <c r="AK52" s="355">
        <v>9902</v>
      </c>
      <c r="AL52" s="37" t="s">
        <v>3035</v>
      </c>
      <c r="AM52" s="355" t="s">
        <v>3036</v>
      </c>
      <c r="AN52" s="355" t="s">
        <v>3037</v>
      </c>
      <c r="AO52" s="355" t="s">
        <v>3265</v>
      </c>
      <c r="AP52" s="355"/>
      <c r="AQ52" s="355">
        <v>49902</v>
      </c>
      <c r="AR52" s="63">
        <v>24.08</v>
      </c>
      <c r="AS52" s="27">
        <f t="shared" si="19"/>
        <v>54.234234234234229</v>
      </c>
      <c r="AT52" s="329" t="s">
        <v>2875</v>
      </c>
      <c r="AU52" s="329" t="s">
        <v>2876</v>
      </c>
      <c r="AV52" s="84">
        <v>14.06</v>
      </c>
      <c r="AW52" s="84">
        <v>6.74</v>
      </c>
      <c r="AX52" s="84">
        <v>4.1100000000000003</v>
      </c>
      <c r="AY52" s="44"/>
      <c r="AZ52" s="44"/>
      <c r="BA52" s="324">
        <v>1.17</v>
      </c>
      <c r="BB52" s="289">
        <v>8.0359999999999996</v>
      </c>
      <c r="BC52" s="289">
        <v>6.5035999999999996</v>
      </c>
      <c r="BD52" s="289">
        <v>14.071999999999999</v>
      </c>
      <c r="BE52" s="287">
        <v>0.42560413502962957</v>
      </c>
      <c r="BF52" s="324">
        <v>0.43</v>
      </c>
      <c r="BG52" s="286">
        <v>20.25</v>
      </c>
      <c r="BH52" s="286">
        <v>16.75</v>
      </c>
      <c r="BI52" s="286">
        <v>14.75</v>
      </c>
      <c r="BJ52" s="287">
        <v>2.895263671875</v>
      </c>
      <c r="BK52" s="226">
        <v>1.67</v>
      </c>
      <c r="BL52" s="226">
        <v>1.5999999999999999</v>
      </c>
      <c r="BM52" s="226">
        <v>11.27</v>
      </c>
      <c r="BN52" s="39" t="s">
        <v>64</v>
      </c>
      <c r="BO52" s="354">
        <v>6</v>
      </c>
      <c r="BP52" s="354">
        <v>4</v>
      </c>
      <c r="BQ52" s="354">
        <v>3</v>
      </c>
      <c r="BR52" s="322">
        <v>72</v>
      </c>
      <c r="BS52" s="288">
        <v>185.24</v>
      </c>
      <c r="BT52" s="322" t="s">
        <v>62</v>
      </c>
      <c r="BU52" s="40" t="s">
        <v>67</v>
      </c>
      <c r="BV52" s="191"/>
      <c r="BW52" s="191"/>
      <c r="BX52" s="82"/>
    </row>
    <row r="53" spans="1:76" s="1" customFormat="1" ht="15" customHeight="1" x14ac:dyDescent="0.25">
      <c r="A53" s="241">
        <v>42781</v>
      </c>
      <c r="B53" s="45" t="s">
        <v>36</v>
      </c>
      <c r="C53" s="45" t="s">
        <v>2797</v>
      </c>
      <c r="D53" s="45" t="s">
        <v>240</v>
      </c>
      <c r="E53" s="354" t="s">
        <v>2248</v>
      </c>
      <c r="F53" s="96" t="s">
        <v>3317</v>
      </c>
      <c r="G53" s="59" t="s">
        <v>259</v>
      </c>
      <c r="H53" s="29">
        <v>13717601868</v>
      </c>
      <c r="I53" s="355"/>
      <c r="J53" s="355"/>
      <c r="K53" s="29"/>
      <c r="L53" s="30"/>
      <c r="M53" s="30"/>
      <c r="N53" s="30"/>
      <c r="O53" s="80"/>
      <c r="P53" s="80"/>
      <c r="Q53" s="80"/>
      <c r="R53" s="80"/>
      <c r="S53" s="80"/>
      <c r="T53" s="80"/>
      <c r="U53" s="29"/>
      <c r="V53" s="41"/>
      <c r="W53" s="29">
        <v>83468</v>
      </c>
      <c r="X53" s="41"/>
      <c r="Y53" s="37"/>
      <c r="Z53" s="41"/>
      <c r="AA53" s="29"/>
      <c r="AB53" s="355" t="s">
        <v>3038</v>
      </c>
      <c r="AC53" s="355" t="s">
        <v>3266</v>
      </c>
      <c r="AD53" s="59"/>
      <c r="AE53" s="355" t="s">
        <v>3039</v>
      </c>
      <c r="AF53" s="355" t="s">
        <v>3267</v>
      </c>
      <c r="AG53" s="355" t="s">
        <v>2797</v>
      </c>
      <c r="AH53" s="355" t="s">
        <v>3268</v>
      </c>
      <c r="AI53" s="355" t="s">
        <v>2797</v>
      </c>
      <c r="AJ53" s="355"/>
      <c r="AK53" s="355">
        <v>9468</v>
      </c>
      <c r="AL53" s="37"/>
      <c r="AM53" s="355" t="s">
        <v>3040</v>
      </c>
      <c r="AN53" s="355"/>
      <c r="AO53" s="355" t="s">
        <v>3269</v>
      </c>
      <c r="AP53" s="355"/>
      <c r="AQ53" s="355">
        <v>49468</v>
      </c>
      <c r="AR53" s="63">
        <v>19.03</v>
      </c>
      <c r="AS53" s="27">
        <f t="shared" si="19"/>
        <v>42.86036036036036</v>
      </c>
      <c r="AT53" s="357" t="s">
        <v>2877</v>
      </c>
      <c r="AU53" s="329" t="s">
        <v>2878</v>
      </c>
      <c r="AV53" s="84">
        <v>12.32</v>
      </c>
      <c r="AW53" s="84">
        <v>10.18</v>
      </c>
      <c r="AX53" s="84">
        <v>1.42</v>
      </c>
      <c r="AY53" s="44"/>
      <c r="AZ53" s="44"/>
      <c r="BA53" s="324">
        <v>0.63</v>
      </c>
      <c r="BB53" s="289">
        <v>10.536</v>
      </c>
      <c r="BC53" s="289">
        <v>2.786</v>
      </c>
      <c r="BD53" s="289">
        <v>15.071999999999999</v>
      </c>
      <c r="BE53" s="287">
        <v>0.25602597066666666</v>
      </c>
      <c r="BF53" s="324">
        <v>0.3</v>
      </c>
      <c r="BG53" s="286">
        <v>17.5</v>
      </c>
      <c r="BH53" s="286">
        <v>11.25</v>
      </c>
      <c r="BI53" s="286">
        <v>15.62</v>
      </c>
      <c r="BJ53" s="287">
        <v>1.7796223958333333</v>
      </c>
      <c r="BK53" s="226">
        <v>1.1000000000000001</v>
      </c>
      <c r="BL53" s="226">
        <v>0.92999999999999994</v>
      </c>
      <c r="BM53" s="226">
        <v>6.68</v>
      </c>
      <c r="BN53" s="39" t="s">
        <v>64</v>
      </c>
      <c r="BO53" s="354">
        <v>6</v>
      </c>
      <c r="BP53" s="354">
        <v>9</v>
      </c>
      <c r="BQ53" s="354">
        <v>2</v>
      </c>
      <c r="BR53" s="322">
        <v>108</v>
      </c>
      <c r="BS53" s="288">
        <v>170.24</v>
      </c>
      <c r="BT53" s="322" t="s">
        <v>182</v>
      </c>
      <c r="BU53" s="40" t="s">
        <v>67</v>
      </c>
      <c r="BV53" s="191"/>
      <c r="BW53" s="191"/>
      <c r="BX53" s="82"/>
    </row>
    <row r="54" spans="1:76" s="1" customFormat="1" ht="15" customHeight="1" x14ac:dyDescent="0.25">
      <c r="A54" s="241">
        <v>42781</v>
      </c>
      <c r="B54" s="45" t="s">
        <v>36</v>
      </c>
      <c r="C54" s="45" t="s">
        <v>2249</v>
      </c>
      <c r="D54" s="45" t="s">
        <v>240</v>
      </c>
      <c r="E54" s="354" t="s">
        <v>2248</v>
      </c>
      <c r="F54" s="96" t="s">
        <v>3318</v>
      </c>
      <c r="G54" s="59" t="s">
        <v>187</v>
      </c>
      <c r="H54" s="75" t="s">
        <v>3319</v>
      </c>
      <c r="I54" s="355" t="s">
        <v>1178</v>
      </c>
      <c r="J54" s="355" t="s">
        <v>2274</v>
      </c>
      <c r="K54" s="29"/>
      <c r="L54" s="30"/>
      <c r="M54" s="30"/>
      <c r="N54" s="30"/>
      <c r="O54" s="80"/>
      <c r="P54" s="80"/>
      <c r="Q54" s="80"/>
      <c r="R54" s="80"/>
      <c r="S54" s="80"/>
      <c r="T54" s="80"/>
      <c r="U54" s="29"/>
      <c r="V54" s="41"/>
      <c r="W54" s="29">
        <v>83830</v>
      </c>
      <c r="X54" s="41"/>
      <c r="Y54" s="37"/>
      <c r="Z54" s="41"/>
      <c r="AA54" s="29"/>
      <c r="AB54" s="355" t="s">
        <v>2295</v>
      </c>
      <c r="AC54" s="355" t="s">
        <v>3270</v>
      </c>
      <c r="AD54" s="59"/>
      <c r="AE54" s="355"/>
      <c r="AF54" s="355"/>
      <c r="AG54" s="355" t="s">
        <v>2249</v>
      </c>
      <c r="AH54" s="355"/>
      <c r="AI54" s="355" t="s">
        <v>2249</v>
      </c>
      <c r="AJ54" s="355"/>
      <c r="AK54" s="355">
        <v>9830</v>
      </c>
      <c r="AL54" s="37" t="s">
        <v>2296</v>
      </c>
      <c r="AM54" s="355" t="s">
        <v>3041</v>
      </c>
      <c r="AN54" s="355" t="s">
        <v>2297</v>
      </c>
      <c r="AO54" s="355"/>
      <c r="AP54" s="355"/>
      <c r="AQ54" s="355">
        <v>49830</v>
      </c>
      <c r="AR54" s="63">
        <v>17.48</v>
      </c>
      <c r="AS54" s="27">
        <f t="shared" si="19"/>
        <v>39.369369369369373</v>
      </c>
      <c r="AT54" s="329" t="s">
        <v>2879</v>
      </c>
      <c r="AU54" s="329" t="s">
        <v>2880</v>
      </c>
      <c r="AV54" s="44">
        <v>12.32</v>
      </c>
      <c r="AW54" s="44">
        <v>10.98</v>
      </c>
      <c r="AX54" s="44">
        <v>1.67</v>
      </c>
      <c r="AY54" s="352"/>
      <c r="AZ54" s="352"/>
      <c r="BA54" s="324">
        <v>0.72</v>
      </c>
      <c r="BB54" s="289">
        <v>13.347999999999999</v>
      </c>
      <c r="BC54" s="289">
        <v>2.911</v>
      </c>
      <c r="BD54" s="289">
        <v>13.383999999999999</v>
      </c>
      <c r="BE54" s="287">
        <v>0.30095432798148142</v>
      </c>
      <c r="BF54" s="324">
        <v>0.36</v>
      </c>
      <c r="BG54" s="286">
        <v>18</v>
      </c>
      <c r="BH54" s="286">
        <v>13.75</v>
      </c>
      <c r="BI54" s="286">
        <v>14</v>
      </c>
      <c r="BJ54" s="286">
        <v>2.0052083333333335</v>
      </c>
      <c r="BK54" s="226">
        <v>1.26</v>
      </c>
      <c r="BL54" s="226">
        <v>1.08</v>
      </c>
      <c r="BM54" s="226">
        <v>7.74</v>
      </c>
      <c r="BN54" s="39" t="s">
        <v>64</v>
      </c>
      <c r="BO54" s="354">
        <v>6</v>
      </c>
      <c r="BP54" s="354">
        <v>6</v>
      </c>
      <c r="BQ54" s="354">
        <v>3</v>
      </c>
      <c r="BR54" s="322">
        <v>108</v>
      </c>
      <c r="BS54" s="288">
        <v>189.32</v>
      </c>
      <c r="BT54" s="322" t="s">
        <v>182</v>
      </c>
      <c r="BU54" s="40" t="s">
        <v>67</v>
      </c>
      <c r="BV54" s="191"/>
      <c r="BW54" s="191"/>
      <c r="BX54" s="82"/>
    </row>
    <row r="55" spans="1:76" s="1" customFormat="1" x14ac:dyDescent="0.25">
      <c r="A55" s="241">
        <v>42781</v>
      </c>
      <c r="B55" s="45" t="s">
        <v>36</v>
      </c>
      <c r="C55" s="45" t="s">
        <v>2798</v>
      </c>
      <c r="D55" s="45" t="s">
        <v>240</v>
      </c>
      <c r="E55" s="354" t="s">
        <v>2109</v>
      </c>
      <c r="F55" s="96" t="s">
        <v>3321</v>
      </c>
      <c r="G55" s="59" t="s">
        <v>957</v>
      </c>
      <c r="H55" s="29" t="s">
        <v>3320</v>
      </c>
      <c r="I55" s="355"/>
      <c r="J55" s="355"/>
      <c r="K55" s="29"/>
      <c r="L55" s="30"/>
      <c r="M55" s="30"/>
      <c r="N55" s="30"/>
      <c r="O55" s="80"/>
      <c r="P55" s="80"/>
      <c r="Q55" s="80"/>
      <c r="R55" s="80"/>
      <c r="S55" s="80"/>
      <c r="T55" s="80"/>
      <c r="U55" s="29"/>
      <c r="V55" s="41"/>
      <c r="W55" s="29">
        <v>83100</v>
      </c>
      <c r="X55" s="41"/>
      <c r="Y55" s="37"/>
      <c r="Z55" s="41"/>
      <c r="AA55" s="29"/>
      <c r="AB55" s="355" t="s">
        <v>3042</v>
      </c>
      <c r="AC55" s="355" t="s">
        <v>3271</v>
      </c>
      <c r="AD55" s="59"/>
      <c r="AE55" s="355" t="s">
        <v>3043</v>
      </c>
      <c r="AF55" s="355" t="s">
        <v>3272</v>
      </c>
      <c r="AG55" s="355" t="s">
        <v>2798</v>
      </c>
      <c r="AH55" s="355"/>
      <c r="AI55" s="355" t="s">
        <v>3044</v>
      </c>
      <c r="AJ55" s="355"/>
      <c r="AK55" s="355">
        <v>9100</v>
      </c>
      <c r="AL55" s="37" t="s">
        <v>3045</v>
      </c>
      <c r="AM55" s="355" t="s">
        <v>3046</v>
      </c>
      <c r="AN55" s="355" t="s">
        <v>3047</v>
      </c>
      <c r="AO55" s="355" t="s">
        <v>3273</v>
      </c>
      <c r="AP55" s="355"/>
      <c r="AQ55" s="355">
        <v>49100</v>
      </c>
      <c r="AR55" s="63">
        <v>11.65</v>
      </c>
      <c r="AS55" s="27">
        <f t="shared" si="19"/>
        <v>26.238738738738739</v>
      </c>
      <c r="AT55" s="329" t="s">
        <v>2881</v>
      </c>
      <c r="AU55" s="329" t="s">
        <v>2882</v>
      </c>
      <c r="AV55" s="44">
        <v>11.69</v>
      </c>
      <c r="AW55" s="44">
        <v>8.94</v>
      </c>
      <c r="AX55" s="44">
        <v>1.71</v>
      </c>
      <c r="AY55" s="352"/>
      <c r="AZ55" s="352"/>
      <c r="BA55" s="324">
        <v>0.65</v>
      </c>
      <c r="BB55" s="289">
        <v>10.036</v>
      </c>
      <c r="BC55" s="289">
        <v>2.536</v>
      </c>
      <c r="BD55" s="289">
        <v>12.571999999999999</v>
      </c>
      <c r="BE55" s="287">
        <v>0.18516996140740738</v>
      </c>
      <c r="BF55" s="324">
        <v>0.22</v>
      </c>
      <c r="BG55" s="286">
        <v>15.75</v>
      </c>
      <c r="BH55" s="286">
        <v>13.25</v>
      </c>
      <c r="BI55" s="286">
        <v>11</v>
      </c>
      <c r="BJ55" s="286">
        <v>1.3284505208333333</v>
      </c>
      <c r="BK55" s="226">
        <v>1.08</v>
      </c>
      <c r="BL55" s="226">
        <v>0.87</v>
      </c>
      <c r="BM55" s="226">
        <v>6.3</v>
      </c>
      <c r="BN55" s="39" t="s">
        <v>64</v>
      </c>
      <c r="BO55" s="354">
        <v>6</v>
      </c>
      <c r="BP55" s="354">
        <v>9</v>
      </c>
      <c r="BQ55" s="354">
        <v>4</v>
      </c>
      <c r="BR55" s="322">
        <v>216</v>
      </c>
      <c r="BS55" s="288">
        <v>276.79999999999995</v>
      </c>
      <c r="BT55" s="322" t="s">
        <v>69</v>
      </c>
      <c r="BU55" s="40" t="s">
        <v>67</v>
      </c>
      <c r="BV55" s="191"/>
      <c r="BW55" s="191"/>
      <c r="BX55" s="82"/>
    </row>
    <row r="56" spans="1:76" s="1" customFormat="1" ht="15" customHeight="1" x14ac:dyDescent="0.25">
      <c r="A56" s="241">
        <v>42781</v>
      </c>
      <c r="B56" s="45" t="s">
        <v>36</v>
      </c>
      <c r="C56" s="45" t="s">
        <v>2799</v>
      </c>
      <c r="D56" s="45" t="s">
        <v>240</v>
      </c>
      <c r="E56" s="354" t="s">
        <v>2109</v>
      </c>
      <c r="F56" s="96" t="s">
        <v>3323</v>
      </c>
      <c r="G56" s="59" t="s">
        <v>957</v>
      </c>
      <c r="H56" s="29" t="s">
        <v>3322</v>
      </c>
      <c r="I56" s="355"/>
      <c r="J56" s="355"/>
      <c r="K56" s="29"/>
      <c r="L56" s="30"/>
      <c r="M56" s="30"/>
      <c r="N56" s="30"/>
      <c r="O56" s="80"/>
      <c r="P56" s="80"/>
      <c r="Q56" s="80"/>
      <c r="R56" s="80"/>
      <c r="S56" s="80"/>
      <c r="T56" s="80"/>
      <c r="U56" s="29"/>
      <c r="V56" s="41"/>
      <c r="W56" s="29">
        <v>83110</v>
      </c>
      <c r="X56" s="41"/>
      <c r="Y56" s="37"/>
      <c r="Z56" s="41"/>
      <c r="AA56" s="29"/>
      <c r="AB56" s="355" t="s">
        <v>3048</v>
      </c>
      <c r="AC56" s="355"/>
      <c r="AD56" s="59"/>
      <c r="AE56" s="355" t="s">
        <v>3049</v>
      </c>
      <c r="AF56" s="355"/>
      <c r="AG56" s="355" t="s">
        <v>2799</v>
      </c>
      <c r="AH56" s="355"/>
      <c r="AI56" s="355" t="s">
        <v>2799</v>
      </c>
      <c r="AJ56" s="355"/>
      <c r="AK56" s="355">
        <v>9110</v>
      </c>
      <c r="AL56" s="37" t="s">
        <v>3050</v>
      </c>
      <c r="AM56" s="355" t="s">
        <v>3051</v>
      </c>
      <c r="AN56" s="355" t="s">
        <v>3052</v>
      </c>
      <c r="AO56" s="355" t="s">
        <v>3274</v>
      </c>
      <c r="AP56" s="355"/>
      <c r="AQ56" s="355">
        <v>49110</v>
      </c>
      <c r="AR56" s="63">
        <v>13.59</v>
      </c>
      <c r="AS56" s="27">
        <f t="shared" si="19"/>
        <v>30.608108108108109</v>
      </c>
      <c r="AT56" s="329" t="s">
        <v>2883</v>
      </c>
      <c r="AU56" s="329" t="s">
        <v>2884</v>
      </c>
      <c r="AV56" s="44">
        <v>8.7200000000000006</v>
      </c>
      <c r="AW56" s="44">
        <v>10.51</v>
      </c>
      <c r="AX56" s="44">
        <v>2.12</v>
      </c>
      <c r="AY56" s="352"/>
      <c r="AZ56" s="352"/>
      <c r="BA56" s="324">
        <v>0.76</v>
      </c>
      <c r="BB56" s="289">
        <v>9.5359999999999996</v>
      </c>
      <c r="BC56" s="289">
        <v>2.536</v>
      </c>
      <c r="BD56" s="289">
        <v>11.071999999999999</v>
      </c>
      <c r="BE56" s="287">
        <v>0.15495222992592589</v>
      </c>
      <c r="BF56" s="324">
        <v>0.23</v>
      </c>
      <c r="BG56" s="286">
        <v>16</v>
      </c>
      <c r="BH56" s="286">
        <v>10.25</v>
      </c>
      <c r="BI56" s="286">
        <v>11.62</v>
      </c>
      <c r="BJ56" s="286">
        <v>1.102824074074074</v>
      </c>
      <c r="BK56" s="226">
        <v>0.82</v>
      </c>
      <c r="BL56" s="226">
        <v>0.99</v>
      </c>
      <c r="BM56" s="226">
        <v>6.76</v>
      </c>
      <c r="BN56" s="39" t="s">
        <v>64</v>
      </c>
      <c r="BO56" s="354">
        <v>6</v>
      </c>
      <c r="BP56" s="354">
        <v>10</v>
      </c>
      <c r="BQ56" s="354">
        <v>3</v>
      </c>
      <c r="BR56" s="322">
        <v>180</v>
      </c>
      <c r="BS56" s="288">
        <v>252.79999999999998</v>
      </c>
      <c r="BT56" s="322" t="s">
        <v>69</v>
      </c>
      <c r="BU56" s="40" t="s">
        <v>67</v>
      </c>
      <c r="BV56" s="191"/>
      <c r="BW56" s="191"/>
      <c r="BX56" s="82"/>
    </row>
    <row r="57" spans="1:76" s="1" customFormat="1" ht="15" customHeight="1" x14ac:dyDescent="0.25">
      <c r="A57" s="241">
        <v>42781</v>
      </c>
      <c r="B57" s="45" t="s">
        <v>36</v>
      </c>
      <c r="C57" s="45" t="s">
        <v>2590</v>
      </c>
      <c r="D57" s="45" t="s">
        <v>240</v>
      </c>
      <c r="E57" s="354" t="s">
        <v>2248</v>
      </c>
      <c r="F57" s="96" t="s">
        <v>3325</v>
      </c>
      <c r="G57" s="59" t="s">
        <v>1009</v>
      </c>
      <c r="H57" s="29" t="s">
        <v>3324</v>
      </c>
      <c r="I57" s="355"/>
      <c r="J57" s="355"/>
      <c r="K57" s="29"/>
      <c r="L57" s="30"/>
      <c r="M57" s="30"/>
      <c r="N57" s="30"/>
      <c r="O57" s="80"/>
      <c r="P57" s="80"/>
      <c r="Q57" s="80"/>
      <c r="R57" s="80"/>
      <c r="S57" s="80"/>
      <c r="T57" s="80"/>
      <c r="U57" s="29"/>
      <c r="V57" s="41"/>
      <c r="W57" s="29">
        <v>94072</v>
      </c>
      <c r="X57" s="41"/>
      <c r="Y57" s="37"/>
      <c r="Z57" s="41"/>
      <c r="AA57" s="29"/>
      <c r="AB57" s="355"/>
      <c r="AC57" s="355"/>
      <c r="AD57" s="59"/>
      <c r="AE57" s="355"/>
      <c r="AF57" s="355"/>
      <c r="AG57" s="355" t="s">
        <v>2590</v>
      </c>
      <c r="AH57" s="355" t="s">
        <v>2669</v>
      </c>
      <c r="AI57" s="355"/>
      <c r="AJ57" s="355"/>
      <c r="AK57" s="355">
        <v>200072</v>
      </c>
      <c r="AL57" s="37"/>
      <c r="AM57" s="355"/>
      <c r="AN57" s="355"/>
      <c r="AO57" s="355"/>
      <c r="AP57" s="355"/>
      <c r="AQ57" s="355" t="s">
        <v>2668</v>
      </c>
      <c r="AR57" s="63">
        <v>10.29</v>
      </c>
      <c r="AS57" s="27">
        <f t="shared" si="19"/>
        <v>23.175675675675674</v>
      </c>
      <c r="AT57" s="329" t="s">
        <v>2885</v>
      </c>
      <c r="AU57" s="329" t="s">
        <v>2886</v>
      </c>
      <c r="AV57" s="44">
        <v>10.55</v>
      </c>
      <c r="AW57" s="44">
        <v>7.44</v>
      </c>
      <c r="AX57" s="44">
        <v>1.18</v>
      </c>
      <c r="AY57" s="352"/>
      <c r="AZ57" s="352"/>
      <c r="BA57" s="324">
        <v>0.35</v>
      </c>
      <c r="BB57" s="289">
        <v>8.5359999999999996</v>
      </c>
      <c r="BC57" s="289">
        <v>2.411</v>
      </c>
      <c r="BD57" s="289">
        <v>10.696999999999999</v>
      </c>
      <c r="BE57" s="287">
        <v>0.12740013096759259</v>
      </c>
      <c r="BF57" s="324">
        <v>0.2</v>
      </c>
      <c r="BG57" s="286">
        <v>15</v>
      </c>
      <c r="BH57" s="286">
        <v>11.25</v>
      </c>
      <c r="BI57" s="286">
        <v>9.3800000000000008</v>
      </c>
      <c r="BJ57" s="286">
        <v>0.916015625</v>
      </c>
      <c r="BK57" s="226">
        <v>0.78</v>
      </c>
      <c r="BL57" s="226">
        <v>0.55000000000000004</v>
      </c>
      <c r="BM57" s="226">
        <v>4.08</v>
      </c>
      <c r="BN57" s="39" t="s">
        <v>64</v>
      </c>
      <c r="BO57" s="354">
        <v>6</v>
      </c>
      <c r="BP57" s="354">
        <v>10</v>
      </c>
      <c r="BQ57" s="354">
        <v>4</v>
      </c>
      <c r="BR57" s="322">
        <v>240</v>
      </c>
      <c r="BS57" s="288">
        <v>213.2</v>
      </c>
      <c r="BT57" s="322" t="s">
        <v>69</v>
      </c>
      <c r="BU57" s="40" t="s">
        <v>67</v>
      </c>
      <c r="BV57" s="191"/>
      <c r="BW57" s="191"/>
      <c r="BX57" s="82"/>
    </row>
    <row r="58" spans="1:76" s="1" customFormat="1" ht="15" customHeight="1" x14ac:dyDescent="0.25">
      <c r="A58" s="241">
        <v>42781</v>
      </c>
      <c r="B58" s="45" t="s">
        <v>36</v>
      </c>
      <c r="C58" s="45" t="s">
        <v>244</v>
      </c>
      <c r="D58" s="45" t="s">
        <v>240</v>
      </c>
      <c r="E58" s="354" t="s">
        <v>2248</v>
      </c>
      <c r="F58" s="96" t="s">
        <v>3326</v>
      </c>
      <c r="G58" s="59" t="s">
        <v>187</v>
      </c>
      <c r="H58" s="29">
        <v>25898499</v>
      </c>
      <c r="I58" s="355"/>
      <c r="J58" s="355"/>
      <c r="K58" s="29"/>
      <c r="L58" s="30"/>
      <c r="M58" s="30"/>
      <c r="N58" s="30"/>
      <c r="O58" s="80"/>
      <c r="P58" s="80"/>
      <c r="Q58" s="80"/>
      <c r="R58" s="80"/>
      <c r="S58" s="80"/>
      <c r="T58" s="80"/>
      <c r="U58" s="29"/>
      <c r="V58" s="41"/>
      <c r="W58" s="29">
        <v>83499</v>
      </c>
      <c r="X58" s="41"/>
      <c r="Y58" s="37"/>
      <c r="Z58" s="41"/>
      <c r="AA58" s="29"/>
      <c r="AB58" s="355" t="s">
        <v>1014</v>
      </c>
      <c r="AC58" s="355" t="s">
        <v>3275</v>
      </c>
      <c r="AD58" s="59"/>
      <c r="AE58" s="355"/>
      <c r="AF58" s="355"/>
      <c r="AG58" s="355" t="s">
        <v>244</v>
      </c>
      <c r="AH58" s="355"/>
      <c r="AI58" s="355" t="s">
        <v>244</v>
      </c>
      <c r="AJ58" s="355"/>
      <c r="AK58" s="355">
        <v>9499</v>
      </c>
      <c r="AL58" s="37"/>
      <c r="AM58" s="355" t="s">
        <v>3053</v>
      </c>
      <c r="AN58" s="355"/>
      <c r="AO58" s="355"/>
      <c r="AP58" s="355"/>
      <c r="AQ58" s="355">
        <v>49499</v>
      </c>
      <c r="AR58" s="63">
        <v>27.96</v>
      </c>
      <c r="AS58" s="27">
        <f t="shared" si="19"/>
        <v>62.972972972972975</v>
      </c>
      <c r="AT58" s="329" t="s">
        <v>2887</v>
      </c>
      <c r="AU58" s="329" t="s">
        <v>2888</v>
      </c>
      <c r="AV58" s="44">
        <v>11.32</v>
      </c>
      <c r="AW58" s="44">
        <v>9.31</v>
      </c>
      <c r="AX58" s="44">
        <v>1.97</v>
      </c>
      <c r="AY58" s="352"/>
      <c r="AZ58" s="352"/>
      <c r="BA58" s="324">
        <v>0.65300000000000002</v>
      </c>
      <c r="BB58" s="289">
        <v>10.036</v>
      </c>
      <c r="BC58" s="289">
        <v>2.536</v>
      </c>
      <c r="BD58" s="289">
        <v>12.571999999999999</v>
      </c>
      <c r="BE58" s="287">
        <v>0.18516996140740738</v>
      </c>
      <c r="BF58" s="324">
        <v>0.22</v>
      </c>
      <c r="BG58" s="286">
        <v>15.75</v>
      </c>
      <c r="BH58" s="286">
        <v>13.25</v>
      </c>
      <c r="BI58" s="286">
        <v>11</v>
      </c>
      <c r="BJ58" s="286">
        <v>1.3284505208333333</v>
      </c>
      <c r="BK58" s="226">
        <v>1.08</v>
      </c>
      <c r="BL58" s="226">
        <v>0.873</v>
      </c>
      <c r="BM58" s="226">
        <v>6.3179999999999996</v>
      </c>
      <c r="BN58" s="39" t="s">
        <v>64</v>
      </c>
      <c r="BO58" s="354">
        <v>6</v>
      </c>
      <c r="BP58" s="354">
        <v>9</v>
      </c>
      <c r="BQ58" s="354">
        <v>4</v>
      </c>
      <c r="BR58" s="322">
        <v>216</v>
      </c>
      <c r="BS58" s="288">
        <v>277.44799999999998</v>
      </c>
      <c r="BT58" s="322" t="s">
        <v>255</v>
      </c>
      <c r="BU58" s="40" t="s">
        <v>67</v>
      </c>
      <c r="BV58" s="191"/>
      <c r="BW58" s="191"/>
      <c r="BX58" s="82"/>
    </row>
    <row r="59" spans="1:76" s="1" customFormat="1" ht="15" customHeight="1" x14ac:dyDescent="0.25">
      <c r="A59" s="241">
        <v>42781</v>
      </c>
      <c r="B59" s="45" t="s">
        <v>36</v>
      </c>
      <c r="C59" s="45" t="s">
        <v>2611</v>
      </c>
      <c r="D59" s="45" t="s">
        <v>240</v>
      </c>
      <c r="E59" s="354" t="s">
        <v>2248</v>
      </c>
      <c r="F59" s="96" t="s">
        <v>2707</v>
      </c>
      <c r="G59" s="355" t="s">
        <v>3327</v>
      </c>
      <c r="H59" s="75" t="s">
        <v>2705</v>
      </c>
      <c r="I59" s="355"/>
      <c r="J59" s="355"/>
      <c r="K59" s="29"/>
      <c r="L59" s="30"/>
      <c r="M59" s="30"/>
      <c r="N59" s="30"/>
      <c r="O59" s="80"/>
      <c r="P59" s="80"/>
      <c r="Q59" s="80"/>
      <c r="R59" s="80"/>
      <c r="S59" s="80"/>
      <c r="T59" s="80"/>
      <c r="U59" s="29" t="s">
        <v>3054</v>
      </c>
      <c r="V59" s="41"/>
      <c r="W59" s="29">
        <v>93645</v>
      </c>
      <c r="X59" s="41"/>
      <c r="Y59" s="37"/>
      <c r="Z59" s="41"/>
      <c r="AA59" s="29"/>
      <c r="AB59" s="355" t="s">
        <v>3055</v>
      </c>
      <c r="AC59" s="355" t="s">
        <v>3276</v>
      </c>
      <c r="AD59" s="59"/>
      <c r="AE59" s="355" t="s">
        <v>3056</v>
      </c>
      <c r="AF59" s="355"/>
      <c r="AG59" s="355" t="s">
        <v>2611</v>
      </c>
      <c r="AH59" s="355"/>
      <c r="AI59" s="355" t="s">
        <v>2611</v>
      </c>
      <c r="AJ59" s="355" t="s">
        <v>2706</v>
      </c>
      <c r="AK59" s="355">
        <v>200315</v>
      </c>
      <c r="AL59" s="37" t="s">
        <v>2703</v>
      </c>
      <c r="AM59" s="355" t="s">
        <v>3057</v>
      </c>
      <c r="AN59" s="355" t="s">
        <v>3058</v>
      </c>
      <c r="AO59" s="355" t="s">
        <v>3277</v>
      </c>
      <c r="AP59" s="355"/>
      <c r="AQ59" s="355" t="s">
        <v>3059</v>
      </c>
      <c r="AR59" s="63">
        <v>10.1</v>
      </c>
      <c r="AS59" s="27">
        <f t="shared" si="19"/>
        <v>22.747747747747745</v>
      </c>
      <c r="AT59" s="329" t="s">
        <v>2889</v>
      </c>
      <c r="AU59" s="329" t="s">
        <v>2890</v>
      </c>
      <c r="AV59" s="44">
        <v>11.18</v>
      </c>
      <c r="AW59" s="44">
        <v>10.199999999999999</v>
      </c>
      <c r="AX59" s="44">
        <v>2.21</v>
      </c>
      <c r="AY59" s="352"/>
      <c r="AZ59" s="352"/>
      <c r="BA59" s="324">
        <v>0.72</v>
      </c>
      <c r="BB59" s="289">
        <v>11.286</v>
      </c>
      <c r="BC59" s="289">
        <v>2.7229999999999999</v>
      </c>
      <c r="BD59" s="289">
        <v>11.321999999999999</v>
      </c>
      <c r="BE59" s="287">
        <v>0.20135717043749998</v>
      </c>
      <c r="BF59" s="324">
        <v>0.28000000000000003</v>
      </c>
      <c r="BG59" s="286">
        <v>16.87</v>
      </c>
      <c r="BH59" s="286">
        <v>11.75</v>
      </c>
      <c r="BI59" s="286">
        <v>12</v>
      </c>
      <c r="BJ59" s="286">
        <v>1.376545138888889</v>
      </c>
      <c r="BK59" s="226">
        <v>0.97</v>
      </c>
      <c r="BL59" s="226">
        <v>1</v>
      </c>
      <c r="BM59" s="226">
        <v>6.97</v>
      </c>
      <c r="BN59" s="39" t="s">
        <v>64</v>
      </c>
      <c r="BO59" s="354">
        <v>6</v>
      </c>
      <c r="BP59" s="354">
        <v>8</v>
      </c>
      <c r="BQ59" s="354">
        <v>3</v>
      </c>
      <c r="BR59" s="322">
        <v>144</v>
      </c>
      <c r="BS59" s="288">
        <v>217.28</v>
      </c>
      <c r="BT59" s="322" t="s">
        <v>69</v>
      </c>
      <c r="BU59" s="40" t="s">
        <v>67</v>
      </c>
      <c r="BV59" s="191"/>
      <c r="BW59" s="191"/>
      <c r="BX59" s="82"/>
    </row>
    <row r="60" spans="1:76" s="1" customFormat="1" ht="15" customHeight="1" x14ac:dyDescent="0.25">
      <c r="A60" s="241">
        <v>42781</v>
      </c>
      <c r="B60" s="45" t="s">
        <v>36</v>
      </c>
      <c r="C60" s="45" t="s">
        <v>1491</v>
      </c>
      <c r="D60" s="45" t="s">
        <v>240</v>
      </c>
      <c r="E60" s="354" t="s">
        <v>2109</v>
      </c>
      <c r="F60" s="96" t="s">
        <v>3328</v>
      </c>
      <c r="G60" s="59" t="s">
        <v>1493</v>
      </c>
      <c r="H60" s="29" t="s">
        <v>1494</v>
      </c>
      <c r="I60" s="355"/>
      <c r="J60" s="355"/>
      <c r="K60" s="29"/>
      <c r="L60" s="30"/>
      <c r="M60" s="30"/>
      <c r="N60" s="30"/>
      <c r="O60" s="80"/>
      <c r="P60" s="80"/>
      <c r="Q60" s="80"/>
      <c r="R60" s="80"/>
      <c r="S60" s="80"/>
      <c r="T60" s="80"/>
      <c r="U60" s="29"/>
      <c r="V60" s="41"/>
      <c r="W60" s="75" t="s">
        <v>3060</v>
      </c>
      <c r="X60" s="41"/>
      <c r="Y60" s="37"/>
      <c r="Z60" s="41"/>
      <c r="AA60" s="29"/>
      <c r="AB60" s="75" t="s">
        <v>1495</v>
      </c>
      <c r="AC60" s="75" t="s">
        <v>1496</v>
      </c>
      <c r="AD60" s="75"/>
      <c r="AE60" s="75" t="s">
        <v>1497</v>
      </c>
      <c r="AF60" s="355"/>
      <c r="AG60" s="355" t="s">
        <v>1491</v>
      </c>
      <c r="AH60" s="355"/>
      <c r="AI60" s="355" t="s">
        <v>1491</v>
      </c>
      <c r="AJ60" s="355"/>
      <c r="AK60" s="75" t="s">
        <v>3061</v>
      </c>
      <c r="AL60" s="75" t="s">
        <v>1498</v>
      </c>
      <c r="AM60" s="75" t="s">
        <v>3062</v>
      </c>
      <c r="AN60" s="75" t="s">
        <v>1499</v>
      </c>
      <c r="AO60" s="355"/>
      <c r="AP60" s="355"/>
      <c r="AQ60" s="75" t="s">
        <v>1501</v>
      </c>
      <c r="AR60" s="63">
        <v>27.57</v>
      </c>
      <c r="AS60" s="27">
        <f t="shared" si="19"/>
        <v>62.094594594594597</v>
      </c>
      <c r="AT60" s="329" t="s">
        <v>2891</v>
      </c>
      <c r="AU60" s="329" t="s">
        <v>2892</v>
      </c>
      <c r="AV60" s="44">
        <v>6.67</v>
      </c>
      <c r="AW60" s="44">
        <v>6.02</v>
      </c>
      <c r="AX60" s="44">
        <v>1.83</v>
      </c>
      <c r="AY60" s="352"/>
      <c r="AZ60" s="352"/>
      <c r="BA60" s="324">
        <v>0.36399999999999999</v>
      </c>
      <c r="BB60" s="289">
        <v>7.7859999999999996</v>
      </c>
      <c r="BC60" s="289">
        <v>2.536</v>
      </c>
      <c r="BD60" s="289">
        <v>9.0719999999999992</v>
      </c>
      <c r="BE60" s="287">
        <v>0.10366280399999998</v>
      </c>
      <c r="BF60" s="324">
        <v>0.16</v>
      </c>
      <c r="BG60" s="286">
        <v>15.37</v>
      </c>
      <c r="BH60" s="286">
        <v>9.75</v>
      </c>
      <c r="BI60" s="286">
        <v>9</v>
      </c>
      <c r="BJ60" s="286">
        <v>0.78050781250000001</v>
      </c>
      <c r="BK60" s="226">
        <v>0.67</v>
      </c>
      <c r="BL60" s="226">
        <v>0.52400000000000002</v>
      </c>
      <c r="BM60" s="226">
        <v>3.8140000000000001</v>
      </c>
      <c r="BN60" s="39" t="s">
        <v>64</v>
      </c>
      <c r="BO60" s="354">
        <v>6</v>
      </c>
      <c r="BP60" s="354">
        <v>12</v>
      </c>
      <c r="BQ60" s="354">
        <v>4</v>
      </c>
      <c r="BR60" s="322">
        <v>288</v>
      </c>
      <c r="BS60" s="288">
        <v>233.072</v>
      </c>
      <c r="BT60" s="322" t="s">
        <v>69</v>
      </c>
      <c r="BU60" s="40" t="s">
        <v>67</v>
      </c>
      <c r="BV60" s="191"/>
      <c r="BW60" s="191"/>
      <c r="BX60" s="82"/>
    </row>
    <row r="61" spans="1:76" s="1" customFormat="1" ht="15" customHeight="1" x14ac:dyDescent="0.25">
      <c r="A61" s="241">
        <v>42781</v>
      </c>
      <c r="B61" s="45" t="s">
        <v>36</v>
      </c>
      <c r="C61" s="52" t="s">
        <v>2597</v>
      </c>
      <c r="D61" s="45" t="s">
        <v>240</v>
      </c>
      <c r="E61" s="354" t="s">
        <v>2109</v>
      </c>
      <c r="F61" s="96" t="s">
        <v>2691</v>
      </c>
      <c r="G61" s="59"/>
      <c r="H61" s="29"/>
      <c r="I61" s="355"/>
      <c r="J61" s="355"/>
      <c r="K61" s="29"/>
      <c r="L61" s="30"/>
      <c r="M61" s="30"/>
      <c r="N61" s="30"/>
      <c r="O61" s="80"/>
      <c r="P61" s="80"/>
      <c r="Q61" s="80"/>
      <c r="R61" s="80"/>
      <c r="S61" s="80"/>
      <c r="T61" s="80"/>
      <c r="U61" s="29"/>
      <c r="V61" s="41"/>
      <c r="W61" s="29"/>
      <c r="X61" s="41"/>
      <c r="Y61" s="37"/>
      <c r="Z61" s="41"/>
      <c r="AA61" s="29"/>
      <c r="AB61" s="75" t="s">
        <v>3063</v>
      </c>
      <c r="AC61" s="75" t="s">
        <v>2687</v>
      </c>
      <c r="AD61" s="59"/>
      <c r="AE61" s="75" t="s">
        <v>3064</v>
      </c>
      <c r="AF61" s="355"/>
      <c r="AG61" s="75" t="s">
        <v>2597</v>
      </c>
      <c r="AH61" s="355"/>
      <c r="AI61" s="75" t="s">
        <v>2597</v>
      </c>
      <c r="AJ61" s="355"/>
      <c r="AK61" s="75" t="s">
        <v>3065</v>
      </c>
      <c r="AL61" s="75" t="s">
        <v>3066</v>
      </c>
      <c r="AM61" s="355"/>
      <c r="AN61" s="75" t="s">
        <v>2688</v>
      </c>
      <c r="AO61" s="75" t="s">
        <v>3067</v>
      </c>
      <c r="AP61" s="355"/>
      <c r="AQ61" s="75" t="s">
        <v>2689</v>
      </c>
      <c r="AR61" s="63">
        <v>10.1</v>
      </c>
      <c r="AS61" s="27">
        <f t="shared" si="19"/>
        <v>22.747747747747745</v>
      </c>
      <c r="AT61" s="329" t="s">
        <v>2893</v>
      </c>
      <c r="AU61" s="329" t="s">
        <v>2894</v>
      </c>
      <c r="AV61" s="44">
        <v>7.78</v>
      </c>
      <c r="AW61" s="44">
        <v>5.87</v>
      </c>
      <c r="AX61" s="44">
        <v>1.99</v>
      </c>
      <c r="AY61" s="352"/>
      <c r="AZ61" s="352"/>
      <c r="BA61" s="324">
        <v>0.47</v>
      </c>
      <c r="BB61" s="289">
        <v>7.7859999999999996</v>
      </c>
      <c r="BC61" s="289">
        <v>2.536</v>
      </c>
      <c r="BD61" s="289">
        <v>9.0719999999999992</v>
      </c>
      <c r="BE61" s="287">
        <v>0.10366280399999998</v>
      </c>
      <c r="BF61" s="324">
        <v>0.16</v>
      </c>
      <c r="BG61" s="286">
        <v>15.37</v>
      </c>
      <c r="BH61" s="286">
        <v>9.75</v>
      </c>
      <c r="BI61" s="286">
        <v>9</v>
      </c>
      <c r="BJ61" s="286">
        <v>0.78050781250000001</v>
      </c>
      <c r="BK61" s="226">
        <v>0.67</v>
      </c>
      <c r="BL61" s="226">
        <v>0.63</v>
      </c>
      <c r="BM61" s="226">
        <v>4.45</v>
      </c>
      <c r="BN61" s="39" t="s">
        <v>64</v>
      </c>
      <c r="BO61" s="354">
        <v>6</v>
      </c>
      <c r="BP61" s="354">
        <v>12</v>
      </c>
      <c r="BQ61" s="354">
        <v>5</v>
      </c>
      <c r="BR61" s="322">
        <v>360</v>
      </c>
      <c r="BS61" s="288">
        <v>317</v>
      </c>
      <c r="BT61" s="322" t="s">
        <v>69</v>
      </c>
      <c r="BU61" s="40" t="s">
        <v>67</v>
      </c>
      <c r="BV61" s="191"/>
      <c r="BW61" s="191"/>
      <c r="BX61" s="82"/>
    </row>
    <row r="62" spans="1:76" s="1" customFormat="1" ht="15" customHeight="1" x14ac:dyDescent="0.25">
      <c r="A62" s="241">
        <v>42781</v>
      </c>
      <c r="B62" s="45" t="s">
        <v>36</v>
      </c>
      <c r="C62" s="45" t="s">
        <v>2800</v>
      </c>
      <c r="D62" s="45" t="s">
        <v>240</v>
      </c>
      <c r="E62" s="354" t="s">
        <v>2248</v>
      </c>
      <c r="F62" s="96" t="s">
        <v>3357</v>
      </c>
      <c r="G62" s="59" t="s">
        <v>259</v>
      </c>
      <c r="H62" s="29">
        <v>13717561235</v>
      </c>
      <c r="I62" s="355"/>
      <c r="J62" s="355"/>
      <c r="K62" s="29"/>
      <c r="L62" s="30"/>
      <c r="M62" s="30"/>
      <c r="N62" s="30"/>
      <c r="O62" s="80"/>
      <c r="P62" s="80"/>
      <c r="Q62" s="80"/>
      <c r="R62" s="80"/>
      <c r="S62" s="80"/>
      <c r="T62" s="80"/>
      <c r="U62" s="75" t="s">
        <v>3068</v>
      </c>
      <c r="V62" s="41"/>
      <c r="W62" s="29">
        <v>83235</v>
      </c>
      <c r="X62" s="41"/>
      <c r="Y62" s="37"/>
      <c r="Z62" s="41"/>
      <c r="AA62" s="29"/>
      <c r="AB62" s="355" t="s">
        <v>3069</v>
      </c>
      <c r="AC62" s="355" t="s">
        <v>3070</v>
      </c>
      <c r="AD62" s="59"/>
      <c r="AE62" s="355" t="s">
        <v>3071</v>
      </c>
      <c r="AF62" s="355"/>
      <c r="AG62" s="355" t="s">
        <v>2800</v>
      </c>
      <c r="AH62" s="355"/>
      <c r="AI62" s="355" t="s">
        <v>2800</v>
      </c>
      <c r="AJ62" s="355"/>
      <c r="AK62" s="355">
        <v>9235</v>
      </c>
      <c r="AL62" s="37" t="s">
        <v>3072</v>
      </c>
      <c r="AM62" s="355" t="s">
        <v>3074</v>
      </c>
      <c r="AN62" s="355" t="s">
        <v>3073</v>
      </c>
      <c r="AO62" s="355" t="s">
        <v>3075</v>
      </c>
      <c r="AP62" s="355"/>
      <c r="AQ62" s="355">
        <v>49235</v>
      </c>
      <c r="AR62" s="63">
        <v>20.190000000000001</v>
      </c>
      <c r="AS62" s="27">
        <f t="shared" si="19"/>
        <v>45.472972972972975</v>
      </c>
      <c r="AT62" s="329" t="s">
        <v>2895</v>
      </c>
      <c r="AU62" s="329" t="s">
        <v>2896</v>
      </c>
      <c r="AV62" s="44">
        <v>14.38</v>
      </c>
      <c r="AW62" s="44">
        <v>5.13</v>
      </c>
      <c r="AX62" s="44">
        <v>1.97</v>
      </c>
      <c r="AY62" s="352"/>
      <c r="AZ62" s="352"/>
      <c r="BA62" s="324">
        <v>0.52</v>
      </c>
      <c r="BB62" s="289">
        <v>7.0359999999999996</v>
      </c>
      <c r="BC62" s="289">
        <v>2.661</v>
      </c>
      <c r="BD62" s="289">
        <v>15.321999999999999</v>
      </c>
      <c r="BE62" s="287">
        <v>0.16601312518055555</v>
      </c>
      <c r="BF62" s="324">
        <v>0.11</v>
      </c>
      <c r="BG62" s="286">
        <v>16.38</v>
      </c>
      <c r="BH62" s="286">
        <v>16</v>
      </c>
      <c r="BI62" s="286">
        <v>7.88</v>
      </c>
      <c r="BJ62" s="286">
        <v>1.1951333333333334</v>
      </c>
      <c r="BK62" s="226">
        <v>1.1100000000000001</v>
      </c>
      <c r="BL62" s="226">
        <v>0.63</v>
      </c>
      <c r="BM62" s="226">
        <v>4.8900000000000006</v>
      </c>
      <c r="BN62" s="39" t="s">
        <v>64</v>
      </c>
      <c r="BO62" s="354">
        <v>6</v>
      </c>
      <c r="BP62" s="354">
        <v>6</v>
      </c>
      <c r="BQ62" s="354">
        <v>5</v>
      </c>
      <c r="BR62" s="322">
        <v>180</v>
      </c>
      <c r="BS62" s="288">
        <v>196.70000000000002</v>
      </c>
      <c r="BT62" s="322" t="s">
        <v>1000</v>
      </c>
      <c r="BU62" s="40" t="s">
        <v>67</v>
      </c>
      <c r="BV62" s="191"/>
      <c r="BW62" s="191"/>
      <c r="BX62" s="82"/>
    </row>
    <row r="63" spans="1:76" s="1" customFormat="1" ht="30" x14ac:dyDescent="0.25">
      <c r="A63" s="241">
        <v>42781</v>
      </c>
      <c r="B63" s="45" t="s">
        <v>36</v>
      </c>
      <c r="C63" s="45" t="s">
        <v>2801</v>
      </c>
      <c r="D63" s="45" t="s">
        <v>240</v>
      </c>
      <c r="E63" s="354" t="s">
        <v>2109</v>
      </c>
      <c r="F63" s="96" t="s">
        <v>3359</v>
      </c>
      <c r="G63" s="59" t="s">
        <v>957</v>
      </c>
      <c r="H63" s="29" t="s">
        <v>3358</v>
      </c>
      <c r="I63" s="355"/>
      <c r="J63" s="355"/>
      <c r="K63" s="29"/>
      <c r="L63" s="30"/>
      <c r="M63" s="30"/>
      <c r="N63" s="30"/>
      <c r="O63" s="80"/>
      <c r="P63" s="80"/>
      <c r="Q63" s="80"/>
      <c r="R63" s="80"/>
      <c r="S63" s="80"/>
      <c r="T63" s="80"/>
      <c r="U63" s="29" t="s">
        <v>3076</v>
      </c>
      <c r="V63" s="41"/>
      <c r="W63" s="29">
        <v>83250</v>
      </c>
      <c r="X63" s="41"/>
      <c r="Y63" s="37"/>
      <c r="Z63" s="41"/>
      <c r="AA63" s="29"/>
      <c r="AB63" s="355" t="s">
        <v>3077</v>
      </c>
      <c r="AC63" s="355" t="s">
        <v>3078</v>
      </c>
      <c r="AD63" s="59"/>
      <c r="AE63" s="355" t="s">
        <v>3079</v>
      </c>
      <c r="AF63" s="355" t="s">
        <v>3080</v>
      </c>
      <c r="AG63" s="355" t="s">
        <v>2801</v>
      </c>
      <c r="AH63" s="355" t="s">
        <v>3081</v>
      </c>
      <c r="AI63" s="355" t="s">
        <v>2801</v>
      </c>
      <c r="AJ63" s="355"/>
      <c r="AK63" s="355">
        <v>9250</v>
      </c>
      <c r="AL63" s="37" t="s">
        <v>3329</v>
      </c>
      <c r="AM63" s="355" t="s">
        <v>3083</v>
      </c>
      <c r="AN63" s="355" t="s">
        <v>3084</v>
      </c>
      <c r="AO63" s="355" t="s">
        <v>3085</v>
      </c>
      <c r="AP63" s="355"/>
      <c r="AQ63" s="355">
        <v>49450</v>
      </c>
      <c r="AR63" s="63">
        <v>9.9</v>
      </c>
      <c r="AS63" s="27">
        <f t="shared" si="19"/>
        <v>22.297297297297298</v>
      </c>
      <c r="AT63" s="329" t="s">
        <v>2897</v>
      </c>
      <c r="AU63" s="329" t="s">
        <v>2898</v>
      </c>
      <c r="AV63" s="44">
        <v>10.94</v>
      </c>
      <c r="AW63" s="44">
        <v>8.94</v>
      </c>
      <c r="AX63" s="44">
        <v>1.57</v>
      </c>
      <c r="AY63" s="352"/>
      <c r="AZ63" s="352"/>
      <c r="BA63" s="324">
        <v>0.6</v>
      </c>
      <c r="BB63" s="289">
        <v>9.5359999999999996</v>
      </c>
      <c r="BC63" s="289">
        <v>2.536</v>
      </c>
      <c r="BD63" s="289">
        <v>11.071999999999999</v>
      </c>
      <c r="BE63" s="287">
        <v>0.15495222992592589</v>
      </c>
      <c r="BF63" s="324">
        <v>0.23</v>
      </c>
      <c r="BG63" s="286">
        <v>16</v>
      </c>
      <c r="BH63" s="286">
        <v>10.25</v>
      </c>
      <c r="BI63" s="286">
        <v>11.62</v>
      </c>
      <c r="BJ63" s="286">
        <v>1.102824074074074</v>
      </c>
      <c r="BK63" s="226">
        <v>0.82</v>
      </c>
      <c r="BL63" s="226">
        <v>0.83</v>
      </c>
      <c r="BM63" s="226">
        <v>5.8</v>
      </c>
      <c r="BN63" s="39" t="s">
        <v>64</v>
      </c>
      <c r="BO63" s="354">
        <v>6</v>
      </c>
      <c r="BP63" s="354">
        <v>10</v>
      </c>
      <c r="BQ63" s="354">
        <v>3</v>
      </c>
      <c r="BR63" s="322">
        <v>180</v>
      </c>
      <c r="BS63" s="288">
        <v>224</v>
      </c>
      <c r="BT63" s="322" t="s">
        <v>255</v>
      </c>
      <c r="BU63" s="40" t="s">
        <v>67</v>
      </c>
      <c r="BV63" s="191"/>
      <c r="BW63" s="191"/>
      <c r="BX63" s="82"/>
    </row>
    <row r="64" spans="1:76" s="1" customFormat="1" x14ac:dyDescent="0.25">
      <c r="A64" s="241">
        <v>42781</v>
      </c>
      <c r="B64" s="45" t="s">
        <v>36</v>
      </c>
      <c r="C64" s="45" t="s">
        <v>2644</v>
      </c>
      <c r="D64" s="45" t="s">
        <v>240</v>
      </c>
      <c r="E64" s="354" t="s">
        <v>2248</v>
      </c>
      <c r="F64" s="96" t="s">
        <v>2740</v>
      </c>
      <c r="G64" s="355" t="s">
        <v>259</v>
      </c>
      <c r="H64" s="75" t="s">
        <v>3360</v>
      </c>
      <c r="I64" s="355"/>
      <c r="J64" s="355"/>
      <c r="K64" s="29"/>
      <c r="L64" s="30"/>
      <c r="M64" s="30"/>
      <c r="N64" s="30"/>
      <c r="O64" s="80"/>
      <c r="P64" s="80"/>
      <c r="Q64" s="80"/>
      <c r="R64" s="80"/>
      <c r="S64" s="80"/>
      <c r="T64" s="80"/>
      <c r="U64" s="29"/>
      <c r="V64" s="41"/>
      <c r="W64" s="29">
        <v>83208</v>
      </c>
      <c r="X64" s="41"/>
      <c r="Y64" s="37"/>
      <c r="Z64" s="41"/>
      <c r="AA64" s="29"/>
      <c r="AB64" s="355" t="s">
        <v>2732</v>
      </c>
      <c r="AC64" s="355" t="s">
        <v>2733</v>
      </c>
      <c r="AD64" s="59" t="s">
        <v>2734</v>
      </c>
      <c r="AE64" s="355" t="s">
        <v>2735</v>
      </c>
      <c r="AF64" s="355" t="s">
        <v>2736</v>
      </c>
      <c r="AG64" s="355" t="s">
        <v>2644</v>
      </c>
      <c r="AH64" s="355" t="s">
        <v>2737</v>
      </c>
      <c r="AI64" s="355" t="s">
        <v>2644</v>
      </c>
      <c r="AJ64" s="355"/>
      <c r="AK64" s="355">
        <v>9208</v>
      </c>
      <c r="AL64" s="37" t="s">
        <v>3330</v>
      </c>
      <c r="AM64" s="355" t="s">
        <v>2739</v>
      </c>
      <c r="AN64" s="355"/>
      <c r="AO64" s="355" t="s">
        <v>3331</v>
      </c>
      <c r="AP64" s="355"/>
      <c r="AQ64" s="355">
        <v>49208</v>
      </c>
      <c r="AR64" s="63">
        <v>26.41</v>
      </c>
      <c r="AS64" s="27">
        <f t="shared" si="19"/>
        <v>59.481981981981981</v>
      </c>
      <c r="AT64" s="329" t="s">
        <v>2899</v>
      </c>
      <c r="AU64" s="329" t="s">
        <v>2900</v>
      </c>
      <c r="AV64" s="44">
        <v>10.63</v>
      </c>
      <c r="AW64" s="44">
        <v>9.92</v>
      </c>
      <c r="AX64" s="44">
        <v>2.0099999999999998</v>
      </c>
      <c r="AY64" s="352"/>
      <c r="AZ64" s="352"/>
      <c r="BA64" s="324">
        <v>0.62</v>
      </c>
      <c r="BB64" s="289">
        <v>10.722999999999999</v>
      </c>
      <c r="BC64" s="289">
        <v>2.4729999999999999</v>
      </c>
      <c r="BD64" s="289">
        <v>10.758999999999999</v>
      </c>
      <c r="BE64" s="287">
        <v>0.16510818059085644</v>
      </c>
      <c r="BF64" s="324">
        <v>0.24</v>
      </c>
      <c r="BG64" s="286">
        <v>16.119999999999997</v>
      </c>
      <c r="BH64" s="286">
        <v>11.25</v>
      </c>
      <c r="BI64" s="286">
        <v>11.5</v>
      </c>
      <c r="BJ64" s="286">
        <v>1.2069010416666666</v>
      </c>
      <c r="BK64" s="226">
        <v>0.89</v>
      </c>
      <c r="BL64" s="226">
        <v>0.86</v>
      </c>
      <c r="BM64" s="226">
        <v>6.05</v>
      </c>
      <c r="BN64" s="39" t="s">
        <v>64</v>
      </c>
      <c r="BO64" s="354">
        <v>6</v>
      </c>
      <c r="BP64" s="354">
        <v>9</v>
      </c>
      <c r="BQ64" s="354">
        <v>3</v>
      </c>
      <c r="BR64" s="322">
        <v>162</v>
      </c>
      <c r="BS64" s="288">
        <v>213.35</v>
      </c>
      <c r="BT64" s="322" t="s">
        <v>69</v>
      </c>
      <c r="BU64" s="40" t="s">
        <v>67</v>
      </c>
      <c r="BV64" s="191"/>
      <c r="BW64" s="191"/>
      <c r="BX64" s="82"/>
    </row>
    <row r="65" spans="1:76" s="1" customFormat="1" ht="15" customHeight="1" x14ac:dyDescent="0.25">
      <c r="A65" s="241">
        <v>42781</v>
      </c>
      <c r="B65" s="45" t="s">
        <v>36</v>
      </c>
      <c r="C65" s="52" t="s">
        <v>2802</v>
      </c>
      <c r="D65" s="45" t="s">
        <v>240</v>
      </c>
      <c r="E65" s="354" t="s">
        <v>2248</v>
      </c>
      <c r="F65" s="96" t="s">
        <v>3362</v>
      </c>
      <c r="G65" s="355" t="s">
        <v>3327</v>
      </c>
      <c r="H65" s="75" t="s">
        <v>3361</v>
      </c>
      <c r="I65" s="355" t="s">
        <v>51</v>
      </c>
      <c r="J65" s="355" t="s">
        <v>3337</v>
      </c>
      <c r="K65" s="29"/>
      <c r="L65" s="30"/>
      <c r="M65" s="30"/>
      <c r="N65" s="30"/>
      <c r="O65" s="80"/>
      <c r="P65" s="80"/>
      <c r="Q65" s="80"/>
      <c r="R65" s="80"/>
      <c r="S65" s="80"/>
      <c r="T65" s="80"/>
      <c r="U65" s="29" t="s">
        <v>3332</v>
      </c>
      <c r="V65" s="41"/>
      <c r="W65" s="29">
        <v>83901</v>
      </c>
      <c r="X65" s="41"/>
      <c r="Y65" s="37"/>
      <c r="Z65" s="41"/>
      <c r="AA65" s="29"/>
      <c r="AB65" s="355" t="s">
        <v>3333</v>
      </c>
      <c r="AC65" s="355" t="s">
        <v>3334</v>
      </c>
      <c r="AD65" s="59"/>
      <c r="AE65" s="355" t="s">
        <v>3335</v>
      </c>
      <c r="AF65" s="355"/>
      <c r="AG65" s="355"/>
      <c r="AH65" s="355"/>
      <c r="AI65" s="355" t="s">
        <v>3336</v>
      </c>
      <c r="AJ65" s="355" t="s">
        <v>3337</v>
      </c>
      <c r="AK65" s="355">
        <v>9901</v>
      </c>
      <c r="AL65" s="37" t="s">
        <v>3338</v>
      </c>
      <c r="AM65" s="355" t="s">
        <v>3339</v>
      </c>
      <c r="AN65" s="355" t="s">
        <v>3340</v>
      </c>
      <c r="AO65" s="355" t="s">
        <v>3341</v>
      </c>
      <c r="AP65" s="355"/>
      <c r="AQ65" s="355">
        <v>49901</v>
      </c>
      <c r="AR65" s="63">
        <v>15.92</v>
      </c>
      <c r="AS65" s="27">
        <f t="shared" si="19"/>
        <v>35.855855855855857</v>
      </c>
      <c r="AT65" s="329" t="s">
        <v>2901</v>
      </c>
      <c r="AU65" s="329" t="s">
        <v>2902</v>
      </c>
      <c r="AV65" s="44">
        <v>9.84</v>
      </c>
      <c r="AW65" s="44">
        <v>8.19</v>
      </c>
      <c r="AX65" s="44">
        <v>2.36</v>
      </c>
      <c r="AY65" s="352"/>
      <c r="AZ65" s="352"/>
      <c r="BA65" s="324">
        <v>0.48499999999999999</v>
      </c>
      <c r="BB65" s="289">
        <v>9.5359999999999996</v>
      </c>
      <c r="BC65" s="289">
        <v>2.536</v>
      </c>
      <c r="BD65" s="289">
        <v>11.071999999999999</v>
      </c>
      <c r="BE65" s="287">
        <v>0.15495222992592589</v>
      </c>
      <c r="BF65" s="324">
        <v>0.23</v>
      </c>
      <c r="BG65" s="286">
        <v>16</v>
      </c>
      <c r="BH65" s="286">
        <v>10.25</v>
      </c>
      <c r="BI65" s="286">
        <v>11.62</v>
      </c>
      <c r="BJ65" s="286">
        <v>1.102824074074074</v>
      </c>
      <c r="BK65" s="226">
        <v>0.82</v>
      </c>
      <c r="BL65" s="226">
        <v>0.71499999999999997</v>
      </c>
      <c r="BM65" s="226">
        <v>5.1100000000000003</v>
      </c>
      <c r="BN65" s="39" t="s">
        <v>64</v>
      </c>
      <c r="BO65" s="354">
        <v>6</v>
      </c>
      <c r="BP65" s="354">
        <v>10</v>
      </c>
      <c r="BQ65" s="354">
        <v>3</v>
      </c>
      <c r="BR65" s="322">
        <v>180</v>
      </c>
      <c r="BS65" s="288">
        <v>203.3</v>
      </c>
      <c r="BT65" s="322" t="s">
        <v>182</v>
      </c>
      <c r="BU65" s="40" t="s">
        <v>67</v>
      </c>
      <c r="BV65" s="191"/>
      <c r="BW65" s="191"/>
      <c r="BX65" s="82"/>
    </row>
    <row r="66" spans="1:76" s="1" customFormat="1" ht="15" customHeight="1" x14ac:dyDescent="0.25">
      <c r="A66" s="241">
        <v>42781</v>
      </c>
      <c r="B66" s="45" t="s">
        <v>36</v>
      </c>
      <c r="C66" s="52" t="s">
        <v>2803</v>
      </c>
      <c r="D66" s="45" t="s">
        <v>240</v>
      </c>
      <c r="E66" s="354" t="s">
        <v>2248</v>
      </c>
      <c r="F66" s="96" t="s">
        <v>3363</v>
      </c>
      <c r="G66" s="59" t="s">
        <v>187</v>
      </c>
      <c r="H66" s="29">
        <v>92196275</v>
      </c>
      <c r="I66" s="355"/>
      <c r="J66" s="355"/>
      <c r="K66" s="29"/>
      <c r="L66" s="30"/>
      <c r="M66" s="30"/>
      <c r="N66" s="30"/>
      <c r="O66" s="80"/>
      <c r="P66" s="80"/>
      <c r="Q66" s="80"/>
      <c r="R66" s="80"/>
      <c r="S66" s="80"/>
      <c r="T66" s="80"/>
      <c r="U66" s="29"/>
      <c r="V66" s="41"/>
      <c r="W66" s="29">
        <v>83651</v>
      </c>
      <c r="X66" s="41"/>
      <c r="Y66" s="37"/>
      <c r="Z66" s="41"/>
      <c r="AA66" s="29"/>
      <c r="AB66" s="355" t="s">
        <v>3342</v>
      </c>
      <c r="AC66" s="355" t="s">
        <v>3343</v>
      </c>
      <c r="AD66" s="59"/>
      <c r="AE66" s="355" t="s">
        <v>3344</v>
      </c>
      <c r="AF66" s="355"/>
      <c r="AG66" s="355" t="s">
        <v>2803</v>
      </c>
      <c r="AH66" s="355" t="s">
        <v>3345</v>
      </c>
      <c r="AI66" s="355" t="s">
        <v>3346</v>
      </c>
      <c r="AJ66" s="355"/>
      <c r="AK66" s="355">
        <v>9651</v>
      </c>
      <c r="AL66" s="37"/>
      <c r="AM66" s="355" t="s">
        <v>3347</v>
      </c>
      <c r="AN66" s="355" t="s">
        <v>3348</v>
      </c>
      <c r="AO66" s="355" t="s">
        <v>3349</v>
      </c>
      <c r="AP66" s="355"/>
      <c r="AQ66" s="355">
        <v>49651</v>
      </c>
      <c r="AR66" s="63">
        <v>14.76</v>
      </c>
      <c r="AS66" s="27">
        <f t="shared" si="19"/>
        <v>33.243243243243242</v>
      </c>
      <c r="AT66" s="329" t="s">
        <v>2903</v>
      </c>
      <c r="AU66" s="329" t="s">
        <v>2904</v>
      </c>
      <c r="AV66" s="44">
        <v>11.16</v>
      </c>
      <c r="AW66" s="44">
        <v>9.23</v>
      </c>
      <c r="AX66" s="44">
        <v>2.17</v>
      </c>
      <c r="AY66" s="352"/>
      <c r="AZ66" s="352"/>
      <c r="BA66" s="324">
        <v>0.73899999999999999</v>
      </c>
      <c r="BB66" s="289">
        <v>10.036</v>
      </c>
      <c r="BC66" s="289">
        <v>2.536</v>
      </c>
      <c r="BD66" s="289">
        <v>12.571999999999999</v>
      </c>
      <c r="BE66" s="287">
        <v>0.18516996140740738</v>
      </c>
      <c r="BF66" s="324">
        <v>0.22</v>
      </c>
      <c r="BG66" s="286">
        <v>15.75</v>
      </c>
      <c r="BH66" s="286">
        <v>13.25</v>
      </c>
      <c r="BI66" s="286">
        <v>11</v>
      </c>
      <c r="BJ66" s="286">
        <v>1.3284505208333333</v>
      </c>
      <c r="BK66" s="226">
        <v>1.08</v>
      </c>
      <c r="BL66" s="226">
        <v>0.95899999999999996</v>
      </c>
      <c r="BM66" s="226">
        <v>6.8339999999999996</v>
      </c>
      <c r="BN66" s="39" t="s">
        <v>64</v>
      </c>
      <c r="BO66" s="354">
        <v>6</v>
      </c>
      <c r="BP66" s="354">
        <v>9</v>
      </c>
      <c r="BQ66" s="354">
        <v>4</v>
      </c>
      <c r="BR66" s="322">
        <v>216</v>
      </c>
      <c r="BS66" s="288">
        <v>296.024</v>
      </c>
      <c r="BT66" s="322" t="s">
        <v>182</v>
      </c>
      <c r="BU66" s="40" t="s">
        <v>67</v>
      </c>
      <c r="BV66" s="191"/>
      <c r="BW66" s="191"/>
      <c r="BX66" s="82"/>
    </row>
    <row r="67" spans="1:76" s="1" customFormat="1" ht="15" customHeight="1" x14ac:dyDescent="0.25">
      <c r="A67" s="241">
        <v>42781</v>
      </c>
      <c r="B67" s="45" t="s">
        <v>36</v>
      </c>
      <c r="C67" s="45" t="s">
        <v>1792</v>
      </c>
      <c r="D67" s="45" t="s">
        <v>240</v>
      </c>
      <c r="E67" s="354" t="s">
        <v>2820</v>
      </c>
      <c r="F67" s="96" t="s">
        <v>2822</v>
      </c>
      <c r="G67" s="355" t="s">
        <v>3327</v>
      </c>
      <c r="H67" s="75" t="s">
        <v>3364</v>
      </c>
      <c r="I67" s="355" t="s">
        <v>3327</v>
      </c>
      <c r="J67" s="75" t="s">
        <v>3365</v>
      </c>
      <c r="K67" s="29"/>
      <c r="L67" s="30"/>
      <c r="M67" s="30"/>
      <c r="N67" s="30"/>
      <c r="O67" s="80"/>
      <c r="P67" s="80"/>
      <c r="Q67" s="80"/>
      <c r="R67" s="80"/>
      <c r="S67" s="80"/>
      <c r="T67" s="80"/>
      <c r="U67" s="29" t="s">
        <v>1795</v>
      </c>
      <c r="V67" s="41"/>
      <c r="W67" s="29">
        <v>83017</v>
      </c>
      <c r="X67" s="41"/>
      <c r="Y67" s="37"/>
      <c r="Z67" s="41"/>
      <c r="AA67" s="29"/>
      <c r="AB67" s="355" t="s">
        <v>1796</v>
      </c>
      <c r="AC67" s="355" t="s">
        <v>3350</v>
      </c>
      <c r="AD67" s="59"/>
      <c r="AE67" s="355"/>
      <c r="AF67" s="355" t="s">
        <v>3351</v>
      </c>
      <c r="AG67" s="355" t="s">
        <v>1792</v>
      </c>
      <c r="AH67" s="355"/>
      <c r="AI67" s="355" t="s">
        <v>1792</v>
      </c>
      <c r="AJ67" s="355" t="s">
        <v>1794</v>
      </c>
      <c r="AK67" s="355">
        <v>9017</v>
      </c>
      <c r="AL67" s="37" t="s">
        <v>1797</v>
      </c>
      <c r="AM67" s="355" t="s">
        <v>3352</v>
      </c>
      <c r="AN67" s="355" t="s">
        <v>1798</v>
      </c>
      <c r="AO67" s="355" t="s">
        <v>3353</v>
      </c>
      <c r="AP67" s="355"/>
      <c r="AQ67" s="355">
        <v>49017</v>
      </c>
      <c r="AR67" s="63">
        <v>16.7</v>
      </c>
      <c r="AS67" s="27">
        <f t="shared" si="19"/>
        <v>37.612612612612608</v>
      </c>
      <c r="AT67" s="329" t="s">
        <v>2905</v>
      </c>
      <c r="AU67" s="329" t="s">
        <v>2906</v>
      </c>
      <c r="AV67" s="44"/>
      <c r="AW67" s="44"/>
      <c r="AX67" s="44"/>
      <c r="AY67" s="352">
        <v>6.19</v>
      </c>
      <c r="AZ67" s="352">
        <v>8.31</v>
      </c>
      <c r="BA67" s="324">
        <v>0.69</v>
      </c>
      <c r="BB67" s="289">
        <v>6.9729999999999999</v>
      </c>
      <c r="BC67" s="289">
        <v>6.9729999999999999</v>
      </c>
      <c r="BD67" s="289">
        <v>9.1969999999999992</v>
      </c>
      <c r="BE67" s="287">
        <v>0.25878659641956014</v>
      </c>
      <c r="BF67" s="324">
        <v>0.41</v>
      </c>
      <c r="BG67" s="286">
        <v>21.25</v>
      </c>
      <c r="BH67" s="286">
        <v>14.37</v>
      </c>
      <c r="BI67" s="286">
        <v>9.25</v>
      </c>
      <c r="BJ67" s="286">
        <v>1.6346082899305554</v>
      </c>
      <c r="BK67" s="226">
        <v>1.45</v>
      </c>
      <c r="BL67" s="226">
        <v>1.0999999999999999</v>
      </c>
      <c r="BM67" s="226">
        <v>8.0499999999999989</v>
      </c>
      <c r="BN67" s="39" t="s">
        <v>64</v>
      </c>
      <c r="BO67" s="354">
        <v>6</v>
      </c>
      <c r="BP67" s="354">
        <v>5</v>
      </c>
      <c r="BQ67" s="354">
        <v>4</v>
      </c>
      <c r="BR67" s="322">
        <v>120</v>
      </c>
      <c r="BS67" s="288">
        <v>210.99999999999997</v>
      </c>
      <c r="BT67" s="322" t="s">
        <v>1412</v>
      </c>
      <c r="BU67" s="40" t="s">
        <v>67</v>
      </c>
      <c r="BV67" s="191"/>
      <c r="BW67" s="191"/>
      <c r="BX67" s="82"/>
    </row>
    <row r="68" spans="1:76" s="1" customFormat="1" ht="15" customHeight="1" x14ac:dyDescent="0.25">
      <c r="A68" s="241">
        <v>42781</v>
      </c>
      <c r="B68" s="45" t="s">
        <v>36</v>
      </c>
      <c r="C68" s="45" t="s">
        <v>2028</v>
      </c>
      <c r="D68" s="45" t="s">
        <v>240</v>
      </c>
      <c r="E68" s="354" t="s">
        <v>2111</v>
      </c>
      <c r="F68" s="96" t="s">
        <v>2042</v>
      </c>
      <c r="G68" s="355" t="s">
        <v>3327</v>
      </c>
      <c r="H68" s="75" t="s">
        <v>2068</v>
      </c>
      <c r="I68" s="355"/>
      <c r="J68" s="355"/>
      <c r="K68" s="29"/>
      <c r="L68" s="30"/>
      <c r="M68" s="30"/>
      <c r="N68" s="30"/>
      <c r="O68" s="80"/>
      <c r="P68" s="80"/>
      <c r="Q68" s="80"/>
      <c r="R68" s="80"/>
      <c r="S68" s="80"/>
      <c r="T68" s="80"/>
      <c r="U68" s="29"/>
      <c r="V68" s="41"/>
      <c r="W68" s="29">
        <v>94103</v>
      </c>
      <c r="X68" s="41"/>
      <c r="Y68" s="37"/>
      <c r="Z68" s="41"/>
      <c r="AA68" s="29"/>
      <c r="AB68" s="355" t="s">
        <v>2101</v>
      </c>
      <c r="AC68" s="355"/>
      <c r="AD68" s="59"/>
      <c r="AE68" s="355"/>
      <c r="AF68" s="355"/>
      <c r="AG68" s="355" t="s">
        <v>2028</v>
      </c>
      <c r="AH68" s="355"/>
      <c r="AI68" s="355" t="s">
        <v>2028</v>
      </c>
      <c r="AJ68" s="355" t="s">
        <v>3354</v>
      </c>
      <c r="AK68" s="355">
        <v>100050</v>
      </c>
      <c r="AL68" s="37" t="s">
        <v>2069</v>
      </c>
      <c r="AM68" s="355" t="s">
        <v>2071</v>
      </c>
      <c r="AN68" s="355" t="s">
        <v>2070</v>
      </c>
      <c r="AO68" s="355" t="s">
        <v>3355</v>
      </c>
      <c r="AP68" s="355"/>
      <c r="AQ68" s="355" t="s">
        <v>3356</v>
      </c>
      <c r="AR68" s="63">
        <v>9.1300000000000008</v>
      </c>
      <c r="AS68" s="27">
        <f t="shared" si="19"/>
        <v>20.563063063063066</v>
      </c>
      <c r="AT68" s="329" t="s">
        <v>2907</v>
      </c>
      <c r="AU68" s="329" t="s">
        <v>2908</v>
      </c>
      <c r="AV68" s="44"/>
      <c r="AW68" s="44"/>
      <c r="AX68" s="44"/>
      <c r="AY68" s="352">
        <v>1.94</v>
      </c>
      <c r="AZ68" s="352">
        <v>5.39</v>
      </c>
      <c r="BA68" s="324">
        <v>0.115</v>
      </c>
      <c r="BB68" s="289">
        <v>2.911</v>
      </c>
      <c r="BC68" s="289">
        <v>2.911</v>
      </c>
      <c r="BD68" s="289">
        <v>6.6969999999999992</v>
      </c>
      <c r="BE68" s="287">
        <v>3.2841347764467593E-2</v>
      </c>
      <c r="BF68" s="324">
        <v>0.08</v>
      </c>
      <c r="BG68" s="286">
        <v>12.25</v>
      </c>
      <c r="BH68" s="286">
        <v>9</v>
      </c>
      <c r="BI68" s="286">
        <v>7.88</v>
      </c>
      <c r="BJ68" s="286">
        <v>0.50276041666666671</v>
      </c>
      <c r="BK68" s="226">
        <v>0.51</v>
      </c>
      <c r="BL68" s="226">
        <v>0.19500000000000001</v>
      </c>
      <c r="BM68" s="226">
        <v>2.8499999999999996</v>
      </c>
      <c r="BN68" s="39" t="s">
        <v>64</v>
      </c>
      <c r="BO68" s="354">
        <v>12</v>
      </c>
      <c r="BP68" s="354">
        <v>16</v>
      </c>
      <c r="BQ68" s="354">
        <v>5</v>
      </c>
      <c r="BR68" s="322">
        <v>960</v>
      </c>
      <c r="BS68" s="288">
        <v>278</v>
      </c>
      <c r="BT68" s="322" t="s">
        <v>62</v>
      </c>
      <c r="BU68" s="40" t="s">
        <v>1910</v>
      </c>
      <c r="BV68" s="191"/>
      <c r="BW68" s="191"/>
      <c r="BX68" s="82"/>
    </row>
    <row r="69" spans="1:76" s="1" customFormat="1" ht="15" customHeight="1" x14ac:dyDescent="0.25">
      <c r="A69" s="241">
        <v>42781</v>
      </c>
      <c r="B69" s="45" t="s">
        <v>36</v>
      </c>
      <c r="C69" s="354" t="s">
        <v>1628</v>
      </c>
      <c r="D69" s="45" t="s">
        <v>240</v>
      </c>
      <c r="E69" s="354" t="s">
        <v>2109</v>
      </c>
      <c r="F69" s="96" t="s">
        <v>3366</v>
      </c>
      <c r="G69" s="59" t="s">
        <v>1493</v>
      </c>
      <c r="H69" s="29" t="s">
        <v>1630</v>
      </c>
      <c r="I69" s="355"/>
      <c r="J69" s="355"/>
      <c r="K69" s="29"/>
      <c r="L69" s="30"/>
      <c r="M69" s="30"/>
      <c r="N69" s="30"/>
      <c r="O69" s="80"/>
      <c r="P69" s="80"/>
      <c r="Q69" s="80"/>
      <c r="R69" s="80"/>
      <c r="S69" s="80"/>
      <c r="T69" s="80"/>
      <c r="U69" s="29"/>
      <c r="V69" s="41"/>
      <c r="W69" s="29"/>
      <c r="X69" s="41"/>
      <c r="Y69" s="37"/>
      <c r="Z69" s="41"/>
      <c r="AA69" s="29"/>
      <c r="AB69" s="355"/>
      <c r="AC69" s="355"/>
      <c r="AD69" s="59"/>
      <c r="AE69" s="355"/>
      <c r="AF69" s="355"/>
      <c r="AG69" s="355"/>
      <c r="AH69" s="355"/>
      <c r="AI69" s="355"/>
      <c r="AJ69" s="355"/>
      <c r="AK69" s="355"/>
      <c r="AL69" s="37" t="s">
        <v>3082</v>
      </c>
      <c r="AM69" s="355" t="s">
        <v>3083</v>
      </c>
      <c r="AN69" s="355" t="s">
        <v>3084</v>
      </c>
      <c r="AO69" s="355" t="s">
        <v>3085</v>
      </c>
      <c r="AP69" s="355"/>
      <c r="AQ69" s="355">
        <v>49450</v>
      </c>
      <c r="AR69" s="63">
        <v>10.29</v>
      </c>
      <c r="AS69" s="27">
        <f t="shared" si="19"/>
        <v>23.175675675675674</v>
      </c>
      <c r="AT69" s="329" t="s">
        <v>2909</v>
      </c>
      <c r="AU69" s="329" t="s">
        <v>2910</v>
      </c>
      <c r="AV69" s="44">
        <v>9.3699999999999992</v>
      </c>
      <c r="AW69" s="44">
        <v>7.34</v>
      </c>
      <c r="AX69" s="44">
        <v>1.88</v>
      </c>
      <c r="AY69" s="352"/>
      <c r="AZ69" s="352"/>
      <c r="BA69" s="324">
        <v>0.6</v>
      </c>
      <c r="BB69" s="289">
        <v>8.5359999999999996</v>
      </c>
      <c r="BC69" s="289">
        <v>2.411</v>
      </c>
      <c r="BD69" s="289">
        <v>10.696999999999999</v>
      </c>
      <c r="BE69" s="287">
        <v>0.12740013096759259</v>
      </c>
      <c r="BF69" s="324">
        <v>0.2</v>
      </c>
      <c r="BG69" s="286">
        <v>15</v>
      </c>
      <c r="BH69" s="286">
        <v>11.25</v>
      </c>
      <c r="BI69" s="286">
        <v>9.3800000000000008</v>
      </c>
      <c r="BJ69" s="286">
        <v>0.916015625</v>
      </c>
      <c r="BK69" s="226">
        <v>0.78</v>
      </c>
      <c r="BL69" s="226">
        <v>0.8</v>
      </c>
      <c r="BM69" s="226">
        <v>5.580000000000001</v>
      </c>
      <c r="BN69" s="39" t="s">
        <v>64</v>
      </c>
      <c r="BO69" s="354">
        <v>6</v>
      </c>
      <c r="BP69" s="354">
        <v>10</v>
      </c>
      <c r="BQ69" s="354">
        <v>4</v>
      </c>
      <c r="BR69" s="322">
        <v>240</v>
      </c>
      <c r="BS69" s="288">
        <v>273.20000000000005</v>
      </c>
      <c r="BT69" s="322" t="s">
        <v>182</v>
      </c>
      <c r="BU69" s="40" t="s">
        <v>67</v>
      </c>
      <c r="BV69" s="191"/>
      <c r="BW69" s="191"/>
      <c r="BX69" s="82"/>
    </row>
    <row r="70" spans="1:76" s="1" customFormat="1" ht="15" customHeight="1" x14ac:dyDescent="0.25">
      <c r="A70" s="241">
        <v>42781</v>
      </c>
      <c r="B70" s="45" t="s">
        <v>36</v>
      </c>
      <c r="C70" s="45" t="s">
        <v>1614</v>
      </c>
      <c r="D70" s="45" t="s">
        <v>240</v>
      </c>
      <c r="E70" s="354" t="s">
        <v>2109</v>
      </c>
      <c r="F70" s="96" t="s">
        <v>3367</v>
      </c>
      <c r="G70" s="59" t="s">
        <v>1493</v>
      </c>
      <c r="H70" s="29" t="s">
        <v>1616</v>
      </c>
      <c r="I70" s="355"/>
      <c r="J70" s="355"/>
      <c r="K70" s="29"/>
      <c r="L70" s="30"/>
      <c r="M70" s="30"/>
      <c r="N70" s="30"/>
      <c r="O70" s="80"/>
      <c r="P70" s="80"/>
      <c r="Q70" s="80"/>
      <c r="R70" s="80"/>
      <c r="S70" s="80"/>
      <c r="T70" s="80"/>
      <c r="U70" s="113" t="s">
        <v>1617</v>
      </c>
      <c r="V70" s="113"/>
      <c r="W70" s="29">
        <v>83630</v>
      </c>
      <c r="X70" s="113"/>
      <c r="Y70" s="114"/>
      <c r="Z70" s="113"/>
      <c r="AA70" s="114"/>
      <c r="AB70" s="114" t="s">
        <v>1618</v>
      </c>
      <c r="AC70" s="113" t="s">
        <v>1619</v>
      </c>
      <c r="AD70" s="113"/>
      <c r="AE70" s="113" t="s">
        <v>1620</v>
      </c>
      <c r="AF70" s="113"/>
      <c r="AG70" s="113" t="s">
        <v>1614</v>
      </c>
      <c r="AH70" s="113"/>
      <c r="AI70" s="113" t="s">
        <v>1614</v>
      </c>
      <c r="AJ70" s="113"/>
      <c r="AK70" s="113">
        <v>9630</v>
      </c>
      <c r="AL70" s="113" t="s">
        <v>1621</v>
      </c>
      <c r="AM70" s="113" t="s">
        <v>1622</v>
      </c>
      <c r="AN70" s="113" t="s">
        <v>1623</v>
      </c>
      <c r="AO70" s="113" t="s">
        <v>3405</v>
      </c>
      <c r="AP70" s="113"/>
      <c r="AQ70" s="113" t="s">
        <v>1625</v>
      </c>
      <c r="AR70" s="63">
        <v>17.28</v>
      </c>
      <c r="AS70" s="27">
        <f t="shared" si="19"/>
        <v>38.918918918918919</v>
      </c>
      <c r="AT70" s="329" t="s">
        <v>2911</v>
      </c>
      <c r="AU70" s="329" t="s">
        <v>2912</v>
      </c>
      <c r="AV70" s="44">
        <v>10.039999999999999</v>
      </c>
      <c r="AW70" s="44">
        <v>7.72</v>
      </c>
      <c r="AX70" s="44">
        <v>2.12</v>
      </c>
      <c r="AY70" s="352"/>
      <c r="AZ70" s="352"/>
      <c r="BA70" s="324">
        <v>0.5</v>
      </c>
      <c r="BB70" s="289">
        <v>8.5359999999999996</v>
      </c>
      <c r="BC70" s="289">
        <v>2.411</v>
      </c>
      <c r="BD70" s="289">
        <v>10.696999999999999</v>
      </c>
      <c r="BE70" s="287">
        <v>0.12740013096759259</v>
      </c>
      <c r="BF70" s="324">
        <v>0.2</v>
      </c>
      <c r="BG70" s="286">
        <v>15</v>
      </c>
      <c r="BH70" s="286">
        <v>11.25</v>
      </c>
      <c r="BI70" s="286">
        <v>9.3800000000000008</v>
      </c>
      <c r="BJ70" s="286">
        <v>0.916015625</v>
      </c>
      <c r="BK70" s="226">
        <v>0.78</v>
      </c>
      <c r="BL70" s="226">
        <v>0.7</v>
      </c>
      <c r="BM70" s="226">
        <v>4.9799999999999995</v>
      </c>
      <c r="BN70" s="39" t="s">
        <v>64</v>
      </c>
      <c r="BO70" s="354">
        <v>6</v>
      </c>
      <c r="BP70" s="354">
        <v>10</v>
      </c>
      <c r="BQ70" s="354">
        <v>4</v>
      </c>
      <c r="BR70" s="322">
        <v>240</v>
      </c>
      <c r="BS70" s="288">
        <v>249.2</v>
      </c>
      <c r="BT70" s="322" t="s">
        <v>69</v>
      </c>
      <c r="BU70" s="40" t="s">
        <v>67</v>
      </c>
      <c r="BV70" s="191"/>
      <c r="BW70" s="191"/>
      <c r="BX70" s="82"/>
    </row>
    <row r="71" spans="1:76" s="1" customFormat="1" ht="15" customHeight="1" x14ac:dyDescent="0.25">
      <c r="A71" s="241">
        <v>42781</v>
      </c>
      <c r="B71" s="45" t="s">
        <v>36</v>
      </c>
      <c r="C71" s="45" t="s">
        <v>2804</v>
      </c>
      <c r="D71" s="45" t="s">
        <v>240</v>
      </c>
      <c r="E71" s="354" t="s">
        <v>2109</v>
      </c>
      <c r="F71" s="96" t="s">
        <v>3369</v>
      </c>
      <c r="G71" s="59" t="s">
        <v>1493</v>
      </c>
      <c r="H71" s="29" t="s">
        <v>3368</v>
      </c>
      <c r="I71" s="355"/>
      <c r="J71" s="355"/>
      <c r="K71" s="29"/>
      <c r="L71" s="30"/>
      <c r="M71" s="30"/>
      <c r="N71" s="30"/>
      <c r="O71" s="80"/>
      <c r="P71" s="80"/>
      <c r="Q71" s="80"/>
      <c r="R71" s="80"/>
      <c r="S71" s="80"/>
      <c r="T71" s="80"/>
      <c r="U71" s="29"/>
      <c r="V71" s="41"/>
      <c r="W71" s="29">
        <v>83009</v>
      </c>
      <c r="X71" s="41"/>
      <c r="Y71" s="37"/>
      <c r="Z71" s="41"/>
      <c r="AA71" s="29"/>
      <c r="AB71" s="355" t="s">
        <v>3086</v>
      </c>
      <c r="AC71" s="355" t="s">
        <v>3087</v>
      </c>
      <c r="AD71" s="59"/>
      <c r="AE71" s="355"/>
      <c r="AF71" s="355"/>
      <c r="AG71" s="355" t="s">
        <v>2804</v>
      </c>
      <c r="AH71" s="355"/>
      <c r="AI71" s="355" t="s">
        <v>2804</v>
      </c>
      <c r="AJ71" s="355"/>
      <c r="AK71" s="355">
        <v>9009</v>
      </c>
      <c r="AL71" s="37" t="s">
        <v>3088</v>
      </c>
      <c r="AM71" s="355" t="s">
        <v>3089</v>
      </c>
      <c r="AN71" s="355" t="s">
        <v>3090</v>
      </c>
      <c r="AO71" s="355" t="s">
        <v>3091</v>
      </c>
      <c r="AP71" s="355"/>
      <c r="AQ71" s="355">
        <v>49009</v>
      </c>
      <c r="AR71" s="63">
        <v>12.23</v>
      </c>
      <c r="AS71" s="27">
        <f t="shared" si="19"/>
        <v>27.545045045045047</v>
      </c>
      <c r="AT71" s="329" t="s">
        <v>2913</v>
      </c>
      <c r="AU71" s="329" t="s">
        <v>2914</v>
      </c>
      <c r="AV71" s="44">
        <v>11.89</v>
      </c>
      <c r="AW71" s="44">
        <v>6.77</v>
      </c>
      <c r="AX71" s="44">
        <v>1.87</v>
      </c>
      <c r="AY71" s="352"/>
      <c r="AZ71" s="352"/>
      <c r="BA71" s="324">
        <v>0.68</v>
      </c>
      <c r="BB71" s="289">
        <v>10.036</v>
      </c>
      <c r="BC71" s="289">
        <v>2.536</v>
      </c>
      <c r="BD71" s="289">
        <v>12.571999999999999</v>
      </c>
      <c r="BE71" s="287">
        <v>0.18516996140740738</v>
      </c>
      <c r="BF71" s="324">
        <v>0.22</v>
      </c>
      <c r="BG71" s="286">
        <v>15.75</v>
      </c>
      <c r="BH71" s="286">
        <v>13.25</v>
      </c>
      <c r="BI71" s="286">
        <v>11</v>
      </c>
      <c r="BJ71" s="286">
        <v>1.3284505208333333</v>
      </c>
      <c r="BK71" s="226">
        <v>1.08</v>
      </c>
      <c r="BL71" s="226">
        <v>0.9</v>
      </c>
      <c r="BM71" s="226">
        <v>6.48</v>
      </c>
      <c r="BN71" s="39" t="s">
        <v>64</v>
      </c>
      <c r="BO71" s="354">
        <v>6</v>
      </c>
      <c r="BP71" s="354">
        <v>9</v>
      </c>
      <c r="BQ71" s="354">
        <v>4</v>
      </c>
      <c r="BR71" s="322">
        <v>216</v>
      </c>
      <c r="BS71" s="288">
        <v>283.28000000000003</v>
      </c>
      <c r="BT71" s="322" t="s">
        <v>69</v>
      </c>
      <c r="BU71" s="40" t="s">
        <v>67</v>
      </c>
      <c r="BV71" s="191"/>
      <c r="BW71" s="191"/>
      <c r="BX71" s="82"/>
    </row>
    <row r="72" spans="1:76" s="1" customFormat="1" ht="15" customHeight="1" x14ac:dyDescent="0.25">
      <c r="A72" s="241">
        <v>42781</v>
      </c>
      <c r="B72" s="45" t="s">
        <v>36</v>
      </c>
      <c r="C72" s="45" t="s">
        <v>2102</v>
      </c>
      <c r="D72" s="45" t="s">
        <v>240</v>
      </c>
      <c r="E72" s="354" t="s">
        <v>2109</v>
      </c>
      <c r="F72" s="96" t="s">
        <v>3370</v>
      </c>
      <c r="G72" s="59" t="s">
        <v>957</v>
      </c>
      <c r="H72" s="29" t="s">
        <v>2120</v>
      </c>
      <c r="I72" s="355"/>
      <c r="J72" s="355"/>
      <c r="K72" s="29"/>
      <c r="L72" s="30"/>
      <c r="M72" s="30"/>
      <c r="N72" s="30"/>
      <c r="O72" s="80"/>
      <c r="P72" s="80"/>
      <c r="Q72" s="80"/>
      <c r="R72" s="80"/>
      <c r="S72" s="80"/>
      <c r="T72" s="80"/>
      <c r="U72" s="29" t="s">
        <v>3092</v>
      </c>
      <c r="V72" s="41"/>
      <c r="W72" s="29">
        <v>83670</v>
      </c>
      <c r="X72" s="41"/>
      <c r="Y72" s="37"/>
      <c r="Z72" s="41"/>
      <c r="AA72" s="29"/>
      <c r="AB72" s="354" t="s">
        <v>2127</v>
      </c>
      <c r="AC72" s="355" t="s">
        <v>3093</v>
      </c>
      <c r="AD72" s="59"/>
      <c r="AE72" s="355" t="s">
        <v>3094</v>
      </c>
      <c r="AF72" s="355"/>
      <c r="AG72" s="355" t="s">
        <v>2102</v>
      </c>
      <c r="AH72" s="355" t="s">
        <v>3095</v>
      </c>
      <c r="AI72" s="355" t="s">
        <v>2102</v>
      </c>
      <c r="AJ72" s="355"/>
      <c r="AK72" s="355">
        <v>9670</v>
      </c>
      <c r="AL72" s="354" t="s">
        <v>3096</v>
      </c>
      <c r="AM72" s="355" t="s">
        <v>3097</v>
      </c>
      <c r="AN72" s="355" t="s">
        <v>3098</v>
      </c>
      <c r="AO72" s="355" t="s">
        <v>3099</v>
      </c>
      <c r="AP72" s="355"/>
      <c r="AQ72" s="354">
        <v>49670</v>
      </c>
      <c r="AR72" s="63">
        <v>11.26</v>
      </c>
      <c r="AS72" s="27">
        <f t="shared" si="19"/>
        <v>25.36036036036036</v>
      </c>
      <c r="AT72" s="329" t="s">
        <v>2915</v>
      </c>
      <c r="AU72" s="329" t="s">
        <v>2916</v>
      </c>
      <c r="AV72" s="44">
        <v>11.77</v>
      </c>
      <c r="AW72" s="44">
        <v>8.92</v>
      </c>
      <c r="AX72" s="44">
        <v>1.48</v>
      </c>
      <c r="AY72" s="352"/>
      <c r="AZ72" s="352"/>
      <c r="BA72" s="324">
        <v>0.68799999999999994</v>
      </c>
      <c r="BB72" s="289">
        <v>9.7859999999999996</v>
      </c>
      <c r="BC72" s="289">
        <v>1.786</v>
      </c>
      <c r="BD72" s="289">
        <v>16.322000000000003</v>
      </c>
      <c r="BE72" s="287">
        <v>0.1650883022638889</v>
      </c>
      <c r="BF72" s="324">
        <v>0.26</v>
      </c>
      <c r="BG72" s="286">
        <v>11.25</v>
      </c>
      <c r="BH72" s="286">
        <v>10.5</v>
      </c>
      <c r="BI72" s="286">
        <v>16.87</v>
      </c>
      <c r="BJ72" s="286">
        <v>1.1532226562500001</v>
      </c>
      <c r="BK72" s="226">
        <v>0.85</v>
      </c>
      <c r="BL72" s="226">
        <v>0.94799999999999995</v>
      </c>
      <c r="BM72" s="226">
        <v>6.5379999999999994</v>
      </c>
      <c r="BN72" s="39" t="s">
        <v>64</v>
      </c>
      <c r="BO72" s="354">
        <v>6</v>
      </c>
      <c r="BP72" s="354">
        <v>9</v>
      </c>
      <c r="BQ72" s="354">
        <v>4</v>
      </c>
      <c r="BR72" s="322">
        <v>216</v>
      </c>
      <c r="BS72" s="288">
        <v>285.36799999999994</v>
      </c>
      <c r="BT72" s="322" t="s">
        <v>69</v>
      </c>
      <c r="BU72" s="40" t="s">
        <v>67</v>
      </c>
      <c r="BV72" s="191"/>
      <c r="BW72" s="191"/>
      <c r="BX72" s="82"/>
    </row>
    <row r="73" spans="1:76" s="1" customFormat="1" x14ac:dyDescent="0.25">
      <c r="A73" s="241">
        <v>42781</v>
      </c>
      <c r="B73" s="45" t="s">
        <v>36</v>
      </c>
      <c r="C73" s="45" t="s">
        <v>2805</v>
      </c>
      <c r="D73" s="45" t="s">
        <v>240</v>
      </c>
      <c r="E73" s="354" t="s">
        <v>2109</v>
      </c>
      <c r="F73" s="96" t="s">
        <v>3372</v>
      </c>
      <c r="G73" s="59" t="s">
        <v>957</v>
      </c>
      <c r="H73" s="29" t="s">
        <v>3371</v>
      </c>
      <c r="I73" s="355"/>
      <c r="J73" s="355"/>
      <c r="K73" s="29"/>
      <c r="L73" s="30"/>
      <c r="M73" s="30"/>
      <c r="N73" s="30"/>
      <c r="O73" s="80"/>
      <c r="P73" s="80"/>
      <c r="Q73" s="80"/>
      <c r="R73" s="80"/>
      <c r="S73" s="80"/>
      <c r="T73" s="80"/>
      <c r="U73" s="29"/>
      <c r="V73" s="41"/>
      <c r="W73" s="29">
        <v>83210</v>
      </c>
      <c r="X73" s="41"/>
      <c r="Y73" s="37"/>
      <c r="Z73" s="41"/>
      <c r="AA73" s="29"/>
      <c r="AB73" s="355" t="s">
        <v>3100</v>
      </c>
      <c r="AC73" s="355" t="s">
        <v>3101</v>
      </c>
      <c r="AD73" s="59"/>
      <c r="AE73" s="355" t="s">
        <v>3102</v>
      </c>
      <c r="AF73" s="355"/>
      <c r="AG73" s="355" t="s">
        <v>2805</v>
      </c>
      <c r="AH73" s="355" t="s">
        <v>3103</v>
      </c>
      <c r="AI73" s="355" t="s">
        <v>2805</v>
      </c>
      <c r="AJ73" s="355"/>
      <c r="AK73" s="355">
        <v>9210</v>
      </c>
      <c r="AL73" s="37" t="s">
        <v>3104</v>
      </c>
      <c r="AM73" s="355" t="s">
        <v>3105</v>
      </c>
      <c r="AN73" s="355" t="s">
        <v>3106</v>
      </c>
      <c r="AO73" s="355" t="s">
        <v>3107</v>
      </c>
      <c r="AP73" s="355"/>
      <c r="AQ73" s="355">
        <v>49210</v>
      </c>
      <c r="AR73" s="63">
        <v>10.87</v>
      </c>
      <c r="AS73" s="27">
        <f t="shared" si="19"/>
        <v>24.481981981981981</v>
      </c>
      <c r="AT73" s="329" t="s">
        <v>2917</v>
      </c>
      <c r="AU73" s="329" t="s">
        <v>2918</v>
      </c>
      <c r="AV73" s="44">
        <v>10.16</v>
      </c>
      <c r="AW73" s="44">
        <v>6.42</v>
      </c>
      <c r="AX73" s="44">
        <v>2.09</v>
      </c>
      <c r="AY73" s="352"/>
      <c r="AZ73" s="352"/>
      <c r="BA73" s="324">
        <v>0.5</v>
      </c>
      <c r="BB73" s="289">
        <v>7.0359999999999996</v>
      </c>
      <c r="BC73" s="289">
        <v>2.536</v>
      </c>
      <c r="BD73" s="289">
        <v>11.821999999999999</v>
      </c>
      <c r="BE73" s="287">
        <v>0.12207375307407406</v>
      </c>
      <c r="BF73" s="324">
        <v>0.19</v>
      </c>
      <c r="BG73" s="286">
        <v>15.75</v>
      </c>
      <c r="BH73" s="286">
        <v>12.5</v>
      </c>
      <c r="BI73" s="286">
        <v>7.75</v>
      </c>
      <c r="BJ73" s="286">
        <v>0.88297526041666663</v>
      </c>
      <c r="BK73" s="226">
        <v>0.81</v>
      </c>
      <c r="BL73" s="226">
        <v>0.69</v>
      </c>
      <c r="BM73" s="226">
        <v>4.9499999999999993</v>
      </c>
      <c r="BN73" s="39" t="s">
        <v>64</v>
      </c>
      <c r="BO73" s="354">
        <v>6</v>
      </c>
      <c r="BP73" s="354">
        <v>9</v>
      </c>
      <c r="BQ73" s="354">
        <v>5</v>
      </c>
      <c r="BR73" s="322">
        <v>270</v>
      </c>
      <c r="BS73" s="288">
        <v>272.75</v>
      </c>
      <c r="BT73" s="322" t="s">
        <v>69</v>
      </c>
      <c r="BU73" s="40" t="s">
        <v>67</v>
      </c>
      <c r="BV73" s="191"/>
      <c r="BW73" s="191"/>
      <c r="BX73" s="82"/>
    </row>
    <row r="74" spans="1:76" s="1" customFormat="1" ht="15" customHeight="1" x14ac:dyDescent="0.25">
      <c r="A74" s="241">
        <v>42781</v>
      </c>
      <c r="B74" s="45" t="s">
        <v>36</v>
      </c>
      <c r="C74" s="45" t="s">
        <v>2392</v>
      </c>
      <c r="D74" s="45" t="s">
        <v>240</v>
      </c>
      <c r="E74" s="354" t="s">
        <v>2109</v>
      </c>
      <c r="F74" s="96" t="s">
        <v>2404</v>
      </c>
      <c r="G74" s="102" t="s">
        <v>1493</v>
      </c>
      <c r="H74" s="59" t="s">
        <v>2402</v>
      </c>
      <c r="I74" s="355"/>
      <c r="J74" s="355"/>
      <c r="K74" s="29"/>
      <c r="L74" s="30"/>
      <c r="M74" s="30"/>
      <c r="N74" s="30"/>
      <c r="O74" s="80"/>
      <c r="P74" s="80"/>
      <c r="Q74" s="80"/>
      <c r="R74" s="80"/>
      <c r="S74" s="80"/>
      <c r="T74" s="80"/>
      <c r="U74" s="29"/>
      <c r="V74" s="41"/>
      <c r="W74" s="29">
        <v>93050</v>
      </c>
      <c r="X74" s="41"/>
      <c r="Y74" s="37"/>
      <c r="Z74" s="41"/>
      <c r="AA74" s="29"/>
      <c r="AB74" s="355" t="s">
        <v>2518</v>
      </c>
      <c r="AC74" s="355" t="s">
        <v>2559</v>
      </c>
      <c r="AD74" s="59"/>
      <c r="AE74" s="355" t="s">
        <v>2519</v>
      </c>
      <c r="AF74" s="355"/>
      <c r="AG74" s="355" t="s">
        <v>2392</v>
      </c>
      <c r="AH74" s="355"/>
      <c r="AI74" s="355"/>
      <c r="AJ74" s="355"/>
      <c r="AK74" s="355">
        <v>200050</v>
      </c>
      <c r="AL74" s="355" t="s">
        <v>2520</v>
      </c>
      <c r="AM74" s="355" t="s">
        <v>3108</v>
      </c>
      <c r="AN74" s="355" t="s">
        <v>2521</v>
      </c>
      <c r="AO74" s="355" t="s">
        <v>3109</v>
      </c>
      <c r="AP74" s="355"/>
      <c r="AQ74" s="355" t="s">
        <v>2523</v>
      </c>
      <c r="AR74" s="63">
        <v>18.64</v>
      </c>
      <c r="AS74" s="27">
        <f t="shared" si="19"/>
        <v>41.981981981981981</v>
      </c>
      <c r="AT74" s="329" t="s">
        <v>2919</v>
      </c>
      <c r="AU74" s="329" t="s">
        <v>2920</v>
      </c>
      <c r="AV74" s="44">
        <v>11.53</v>
      </c>
      <c r="AW74" s="44">
        <v>6.89</v>
      </c>
      <c r="AX74" s="44">
        <v>1.73</v>
      </c>
      <c r="AY74" s="352"/>
      <c r="AZ74" s="352"/>
      <c r="BA74" s="324">
        <v>0.69</v>
      </c>
      <c r="BB74" s="289">
        <v>7.0359999999999996</v>
      </c>
      <c r="BC74" s="289">
        <v>2.536</v>
      </c>
      <c r="BD74" s="289">
        <v>11.821999999999999</v>
      </c>
      <c r="BE74" s="287">
        <v>0.12207375307407406</v>
      </c>
      <c r="BF74" s="324">
        <v>0.19</v>
      </c>
      <c r="BG74" s="286">
        <v>15.75</v>
      </c>
      <c r="BH74" s="286">
        <v>12.5</v>
      </c>
      <c r="BI74" s="286">
        <v>7.75</v>
      </c>
      <c r="BJ74" s="286">
        <v>0.88297526041666663</v>
      </c>
      <c r="BK74" s="226">
        <v>0.81</v>
      </c>
      <c r="BL74" s="226">
        <v>0.87999999999999989</v>
      </c>
      <c r="BM74" s="226">
        <v>6.09</v>
      </c>
      <c r="BN74" s="39" t="s">
        <v>64</v>
      </c>
      <c r="BO74" s="354">
        <v>6</v>
      </c>
      <c r="BP74" s="354">
        <v>9</v>
      </c>
      <c r="BQ74" s="354">
        <v>5</v>
      </c>
      <c r="BR74" s="322">
        <v>270</v>
      </c>
      <c r="BS74" s="288">
        <v>324.05</v>
      </c>
      <c r="BT74" s="322" t="s">
        <v>69</v>
      </c>
      <c r="BU74" s="40" t="s">
        <v>67</v>
      </c>
      <c r="BV74" s="191"/>
      <c r="BW74" s="191"/>
      <c r="BX74" s="82"/>
    </row>
    <row r="75" spans="1:76" s="1" customFormat="1" x14ac:dyDescent="0.25">
      <c r="A75" s="241">
        <v>42781</v>
      </c>
      <c r="B75" s="45" t="s">
        <v>36</v>
      </c>
      <c r="C75" s="45" t="s">
        <v>1683</v>
      </c>
      <c r="D75" s="45" t="s">
        <v>240</v>
      </c>
      <c r="E75" s="354" t="s">
        <v>2109</v>
      </c>
      <c r="F75" s="96" t="s">
        <v>3373</v>
      </c>
      <c r="G75" s="59" t="s">
        <v>1493</v>
      </c>
      <c r="H75" s="29" t="s">
        <v>1685</v>
      </c>
      <c r="I75" s="355"/>
      <c r="J75" s="355"/>
      <c r="K75" s="29"/>
      <c r="L75" s="30"/>
      <c r="M75" s="30"/>
      <c r="N75" s="30"/>
      <c r="O75" s="80"/>
      <c r="P75" s="80"/>
      <c r="Q75" s="80"/>
      <c r="R75" s="80"/>
      <c r="S75" s="80"/>
      <c r="T75" s="80"/>
      <c r="U75" s="113"/>
      <c r="V75" s="113"/>
      <c r="W75" s="29">
        <v>83610</v>
      </c>
      <c r="X75" s="113"/>
      <c r="Y75" s="114"/>
      <c r="Z75" s="113"/>
      <c r="AA75" s="114"/>
      <c r="AB75" s="114" t="s">
        <v>1686</v>
      </c>
      <c r="AC75" s="113" t="s">
        <v>1687</v>
      </c>
      <c r="AD75" s="113"/>
      <c r="AE75" s="113" t="s">
        <v>1688</v>
      </c>
      <c r="AF75" s="113"/>
      <c r="AG75" s="113" t="s">
        <v>1683</v>
      </c>
      <c r="AH75" s="113"/>
      <c r="AI75" s="113"/>
      <c r="AJ75" s="113"/>
      <c r="AK75" s="113">
        <v>9610</v>
      </c>
      <c r="AL75" s="113" t="s">
        <v>1689</v>
      </c>
      <c r="AM75" s="113" t="s">
        <v>3111</v>
      </c>
      <c r="AN75" s="113" t="s">
        <v>1690</v>
      </c>
      <c r="AO75" s="113" t="s">
        <v>3110</v>
      </c>
      <c r="AP75" s="113"/>
      <c r="AQ75" s="113" t="s">
        <v>1692</v>
      </c>
      <c r="AR75" s="63">
        <v>13.2</v>
      </c>
      <c r="AS75" s="27">
        <f t="shared" si="19"/>
        <v>29.729729729729726</v>
      </c>
      <c r="AT75" s="329" t="s">
        <v>2921</v>
      </c>
      <c r="AU75" s="329" t="s">
        <v>2922</v>
      </c>
      <c r="AV75" s="44">
        <v>11.02</v>
      </c>
      <c r="AW75" s="44">
        <v>7.09</v>
      </c>
      <c r="AX75" s="44">
        <v>2.17</v>
      </c>
      <c r="AY75" s="352"/>
      <c r="AZ75" s="352"/>
      <c r="BA75" s="324">
        <v>0.7</v>
      </c>
      <c r="BB75" s="289">
        <v>7.7859999999999996</v>
      </c>
      <c r="BC75" s="289">
        <v>2.536</v>
      </c>
      <c r="BD75" s="289">
        <v>12.821999999999999</v>
      </c>
      <c r="BE75" s="287">
        <v>0.14651283872222221</v>
      </c>
      <c r="BF75" s="324">
        <v>0.22</v>
      </c>
      <c r="BG75" s="286">
        <v>15.63</v>
      </c>
      <c r="BH75" s="286">
        <v>13.5</v>
      </c>
      <c r="BI75" s="286">
        <v>8.5</v>
      </c>
      <c r="BJ75" s="286">
        <v>1.0379296874999999</v>
      </c>
      <c r="BK75" s="226">
        <v>0.92</v>
      </c>
      <c r="BL75" s="226">
        <v>0.91999999999999993</v>
      </c>
      <c r="BM75" s="226">
        <v>6.4399999999999995</v>
      </c>
      <c r="BN75" s="39" t="s">
        <v>64</v>
      </c>
      <c r="BO75" s="354">
        <v>6</v>
      </c>
      <c r="BP75" s="354">
        <v>6</v>
      </c>
      <c r="BQ75" s="354">
        <v>5</v>
      </c>
      <c r="BR75" s="322">
        <v>180</v>
      </c>
      <c r="BS75" s="288">
        <v>243.2</v>
      </c>
      <c r="BT75" s="322" t="s">
        <v>69</v>
      </c>
      <c r="BU75" s="40" t="s">
        <v>67</v>
      </c>
      <c r="BV75" s="191"/>
      <c r="BW75" s="191"/>
      <c r="BX75" s="82"/>
    </row>
    <row r="76" spans="1:76" s="1" customFormat="1" ht="15" customHeight="1" x14ac:dyDescent="0.25">
      <c r="A76" s="241">
        <v>42781</v>
      </c>
      <c r="B76" s="45" t="s">
        <v>36</v>
      </c>
      <c r="C76" s="45" t="s">
        <v>2806</v>
      </c>
      <c r="D76" s="45" t="s">
        <v>240</v>
      </c>
      <c r="E76" s="354" t="s">
        <v>2109</v>
      </c>
      <c r="F76" s="96" t="s">
        <v>3376</v>
      </c>
      <c r="G76" s="59" t="s">
        <v>3374</v>
      </c>
      <c r="H76" s="29" t="s">
        <v>3375</v>
      </c>
      <c r="I76" s="355"/>
      <c r="J76" s="355"/>
      <c r="K76" s="29"/>
      <c r="L76" s="30"/>
      <c r="M76" s="30"/>
      <c r="N76" s="30"/>
      <c r="O76" s="80"/>
      <c r="P76" s="80"/>
      <c r="Q76" s="80"/>
      <c r="R76" s="80"/>
      <c r="S76" s="80"/>
      <c r="T76" s="80"/>
      <c r="U76" s="29"/>
      <c r="V76" s="41"/>
      <c r="W76" s="29">
        <v>83400</v>
      </c>
      <c r="X76" s="41"/>
      <c r="Y76" s="37"/>
      <c r="Z76" s="41"/>
      <c r="AA76" s="29"/>
      <c r="AB76" s="355" t="s">
        <v>3112</v>
      </c>
      <c r="AC76" s="355" t="s">
        <v>3113</v>
      </c>
      <c r="AD76" s="59"/>
      <c r="AE76" s="355" t="s">
        <v>3114</v>
      </c>
      <c r="AF76" s="355" t="s">
        <v>3115</v>
      </c>
      <c r="AG76" s="355" t="s">
        <v>2806</v>
      </c>
      <c r="AH76" s="355" t="s">
        <v>3116</v>
      </c>
      <c r="AI76" s="355" t="s">
        <v>2806</v>
      </c>
      <c r="AJ76" s="355"/>
      <c r="AK76" s="355">
        <v>9400</v>
      </c>
      <c r="AL76" s="37" t="s">
        <v>3117</v>
      </c>
      <c r="AM76" s="355" t="s">
        <v>3118</v>
      </c>
      <c r="AN76" s="355" t="s">
        <v>3119</v>
      </c>
      <c r="AO76" s="355" t="s">
        <v>3120</v>
      </c>
      <c r="AP76" s="355"/>
      <c r="AQ76" s="355">
        <v>49400</v>
      </c>
      <c r="AR76" s="63">
        <v>11.84</v>
      </c>
      <c r="AS76" s="27">
        <f t="shared" si="19"/>
        <v>26.666666666666664</v>
      </c>
      <c r="AT76" s="329" t="s">
        <v>2923</v>
      </c>
      <c r="AU76" s="329" t="s">
        <v>2924</v>
      </c>
      <c r="AV76" s="44">
        <v>9.8000000000000007</v>
      </c>
      <c r="AW76" s="44">
        <v>5.12</v>
      </c>
      <c r="AX76" s="44">
        <v>2.17</v>
      </c>
      <c r="AY76" s="352"/>
      <c r="AZ76" s="352"/>
      <c r="BA76" s="324">
        <v>0.44</v>
      </c>
      <c r="BB76" s="289">
        <v>7.0359999999999996</v>
      </c>
      <c r="BC76" s="289">
        <v>2.536</v>
      </c>
      <c r="BD76" s="289">
        <v>11.821999999999999</v>
      </c>
      <c r="BE76" s="287">
        <v>0.12207375307407406</v>
      </c>
      <c r="BF76" s="324">
        <v>0.19</v>
      </c>
      <c r="BG76" s="286">
        <v>15.75</v>
      </c>
      <c r="BH76" s="286">
        <v>12.5</v>
      </c>
      <c r="BI76" s="286">
        <v>7.75</v>
      </c>
      <c r="BJ76" s="286">
        <v>0.88297526041666663</v>
      </c>
      <c r="BK76" s="226">
        <v>0.81</v>
      </c>
      <c r="BL76" s="226">
        <v>0.63</v>
      </c>
      <c r="BM76" s="226">
        <v>4.59</v>
      </c>
      <c r="BN76" s="39" t="s">
        <v>64</v>
      </c>
      <c r="BO76" s="354">
        <v>6</v>
      </c>
      <c r="BP76" s="354">
        <v>9</v>
      </c>
      <c r="BQ76" s="354">
        <v>5</v>
      </c>
      <c r="BR76" s="322">
        <v>270</v>
      </c>
      <c r="BS76" s="288">
        <v>256.55</v>
      </c>
      <c r="BT76" s="322" t="s">
        <v>69</v>
      </c>
      <c r="BU76" s="40" t="s">
        <v>67</v>
      </c>
      <c r="BV76" s="191"/>
      <c r="BW76" s="191"/>
      <c r="BX76" s="82"/>
    </row>
    <row r="77" spans="1:76" s="1" customFormat="1" ht="15" customHeight="1" x14ac:dyDescent="0.25">
      <c r="A77" s="241">
        <v>42781</v>
      </c>
      <c r="B77" s="45" t="s">
        <v>36</v>
      </c>
      <c r="C77" s="45" t="s">
        <v>247</v>
      </c>
      <c r="D77" s="45" t="s">
        <v>240</v>
      </c>
      <c r="E77" s="354" t="s">
        <v>2248</v>
      </c>
      <c r="F77" s="96" t="s">
        <v>3377</v>
      </c>
      <c r="G77" s="59" t="s">
        <v>260</v>
      </c>
      <c r="H77" s="29">
        <v>2710940304</v>
      </c>
      <c r="I77" s="355"/>
      <c r="J77" s="355"/>
      <c r="K77" s="29"/>
      <c r="L77" s="30"/>
      <c r="M77" s="30"/>
      <c r="N77" s="30"/>
      <c r="O77" s="80"/>
      <c r="P77" s="80"/>
      <c r="Q77" s="80"/>
      <c r="R77" s="80"/>
      <c r="S77" s="80"/>
      <c r="T77" s="80"/>
      <c r="U77" s="29"/>
      <c r="V77" s="41"/>
      <c r="W77" s="29">
        <v>83094</v>
      </c>
      <c r="X77" s="41"/>
      <c r="Y77" s="37"/>
      <c r="Z77" s="41"/>
      <c r="AA77" s="29"/>
      <c r="AB77" s="355" t="s">
        <v>1017</v>
      </c>
      <c r="AC77" s="355"/>
      <c r="AD77" s="59" t="s">
        <v>3121</v>
      </c>
      <c r="AE77" s="355"/>
      <c r="AF77" s="355"/>
      <c r="AG77" s="355" t="s">
        <v>247</v>
      </c>
      <c r="AH77" s="355" t="s">
        <v>3122</v>
      </c>
      <c r="AI77" s="355" t="s">
        <v>247</v>
      </c>
      <c r="AJ77" s="355"/>
      <c r="AK77" s="355">
        <v>9094</v>
      </c>
      <c r="AL77" s="37" t="s">
        <v>3123</v>
      </c>
      <c r="AM77" s="355" t="s">
        <v>3124</v>
      </c>
      <c r="AN77" s="355"/>
      <c r="AO77" s="355" t="s">
        <v>3125</v>
      </c>
      <c r="AP77" s="355"/>
      <c r="AQ77" s="355">
        <v>49094</v>
      </c>
      <c r="AR77" s="63">
        <v>21.17</v>
      </c>
      <c r="AS77" s="27">
        <f t="shared" si="19"/>
        <v>47.68018018018018</v>
      </c>
      <c r="AT77" s="329" t="s">
        <v>2925</v>
      </c>
      <c r="AU77" s="329" t="s">
        <v>2926</v>
      </c>
      <c r="AV77" s="44">
        <v>12.36</v>
      </c>
      <c r="AW77" s="44">
        <v>5.75</v>
      </c>
      <c r="AX77" s="44">
        <v>2.0099999999999998</v>
      </c>
      <c r="AY77" s="352"/>
      <c r="AZ77" s="352"/>
      <c r="BA77" s="324">
        <v>0.4</v>
      </c>
      <c r="BB77" s="289">
        <v>9.2859999999999996</v>
      </c>
      <c r="BC77" s="289">
        <v>2.911</v>
      </c>
      <c r="BD77" s="289">
        <v>13.196999999999999</v>
      </c>
      <c r="BE77" s="287">
        <v>0.20644404662152774</v>
      </c>
      <c r="BF77" s="324">
        <v>0.25</v>
      </c>
      <c r="BG77" s="286">
        <v>18.25</v>
      </c>
      <c r="BH77" s="286">
        <v>9.75</v>
      </c>
      <c r="BI77" s="286">
        <v>13.5</v>
      </c>
      <c r="BJ77" s="286">
        <v>1.39013671875</v>
      </c>
      <c r="BK77" s="226">
        <v>0.94</v>
      </c>
      <c r="BL77" s="226">
        <v>0.65</v>
      </c>
      <c r="BM77" s="226">
        <v>4.84</v>
      </c>
      <c r="BN77" s="39" t="s">
        <v>64</v>
      </c>
      <c r="BO77" s="354">
        <v>6</v>
      </c>
      <c r="BP77" s="354">
        <v>6</v>
      </c>
      <c r="BQ77" s="354">
        <v>4</v>
      </c>
      <c r="BR77" s="322">
        <v>144</v>
      </c>
      <c r="BS77" s="288">
        <v>166.16</v>
      </c>
      <c r="BT77" s="322" t="s">
        <v>69</v>
      </c>
      <c r="BU77" s="40" t="s">
        <v>67</v>
      </c>
      <c r="BV77" s="191"/>
      <c r="BW77" s="191"/>
      <c r="BX77" s="82"/>
    </row>
    <row r="78" spans="1:76" s="1" customFormat="1" ht="30" x14ac:dyDescent="0.25">
      <c r="A78" s="241">
        <v>42781</v>
      </c>
      <c r="B78" s="45" t="s">
        <v>36</v>
      </c>
      <c r="C78" s="45" t="s">
        <v>2807</v>
      </c>
      <c r="D78" s="45" t="s">
        <v>240</v>
      </c>
      <c r="E78" s="354" t="s">
        <v>2248</v>
      </c>
      <c r="F78" s="96" t="s">
        <v>3379</v>
      </c>
      <c r="G78" s="59" t="s">
        <v>2285</v>
      </c>
      <c r="H78" s="29" t="s">
        <v>3378</v>
      </c>
      <c r="I78" s="355"/>
      <c r="J78" s="355"/>
      <c r="K78" s="29"/>
      <c r="L78" s="30"/>
      <c r="M78" s="30"/>
      <c r="N78" s="30"/>
      <c r="O78" s="80"/>
      <c r="P78" s="80"/>
      <c r="Q78" s="80"/>
      <c r="R78" s="80"/>
      <c r="S78" s="80"/>
      <c r="T78" s="80"/>
      <c r="U78" s="29"/>
      <c r="V78" s="41"/>
      <c r="W78" s="29">
        <v>87261</v>
      </c>
      <c r="X78" s="41"/>
      <c r="Y78" s="37"/>
      <c r="Z78" s="41"/>
      <c r="AA78" s="29"/>
      <c r="AB78" s="355" t="s">
        <v>3126</v>
      </c>
      <c r="AC78" s="355"/>
      <c r="AD78" s="59"/>
      <c r="AE78" s="355" t="s">
        <v>3127</v>
      </c>
      <c r="AF78" s="355" t="s">
        <v>3128</v>
      </c>
      <c r="AG78" s="355" t="s">
        <v>2807</v>
      </c>
      <c r="AH78" s="355" t="s">
        <v>3129</v>
      </c>
      <c r="AI78" s="355" t="s">
        <v>2807</v>
      </c>
      <c r="AJ78" s="355"/>
      <c r="AK78" s="355">
        <v>2261</v>
      </c>
      <c r="AL78" s="37" t="s">
        <v>3130</v>
      </c>
      <c r="AM78" s="355" t="s">
        <v>3131</v>
      </c>
      <c r="AN78" s="355" t="s">
        <v>3132</v>
      </c>
      <c r="AO78" s="355"/>
      <c r="AP78" s="355"/>
      <c r="AQ78" s="355">
        <v>42261</v>
      </c>
      <c r="AR78" s="63">
        <v>10.87</v>
      </c>
      <c r="AS78" s="27">
        <f t="shared" si="19"/>
        <v>24.481981981981981</v>
      </c>
      <c r="AT78" s="329" t="s">
        <v>2927</v>
      </c>
      <c r="AU78" s="329" t="s">
        <v>2928</v>
      </c>
      <c r="AV78" s="44">
        <v>11.65</v>
      </c>
      <c r="AW78" s="44">
        <v>6.73</v>
      </c>
      <c r="AX78" s="44">
        <v>2.2200000000000002</v>
      </c>
      <c r="AY78" s="352"/>
      <c r="AZ78" s="352"/>
      <c r="BA78" s="324">
        <v>0.53</v>
      </c>
      <c r="BB78" s="289">
        <v>7.0359999999999996</v>
      </c>
      <c r="BC78" s="289">
        <v>2.536</v>
      </c>
      <c r="BD78" s="289">
        <v>11.821999999999999</v>
      </c>
      <c r="BE78" s="287">
        <v>0.12207375307407406</v>
      </c>
      <c r="BF78" s="324">
        <v>0.19</v>
      </c>
      <c r="BG78" s="286">
        <v>15.75</v>
      </c>
      <c r="BH78" s="286">
        <v>12.5</v>
      </c>
      <c r="BI78" s="286">
        <v>7.75</v>
      </c>
      <c r="BJ78" s="286">
        <v>0.88297526041666663</v>
      </c>
      <c r="BK78" s="226">
        <v>0.81</v>
      </c>
      <c r="BL78" s="226">
        <v>0.72</v>
      </c>
      <c r="BM78" s="226">
        <v>5.1300000000000008</v>
      </c>
      <c r="BN78" s="39" t="s">
        <v>64</v>
      </c>
      <c r="BO78" s="354">
        <v>6</v>
      </c>
      <c r="BP78" s="354">
        <v>9</v>
      </c>
      <c r="BQ78" s="354">
        <v>5</v>
      </c>
      <c r="BR78" s="322">
        <v>270</v>
      </c>
      <c r="BS78" s="288">
        <v>280.85000000000002</v>
      </c>
      <c r="BT78" s="322" t="s">
        <v>69</v>
      </c>
      <c r="BU78" s="40" t="s">
        <v>67</v>
      </c>
      <c r="BV78" s="191"/>
      <c r="BW78" s="191"/>
      <c r="BX78" s="82"/>
    </row>
    <row r="79" spans="1:76" s="1" customFormat="1" ht="15" customHeight="1" x14ac:dyDescent="0.25">
      <c r="A79" s="241">
        <v>42781</v>
      </c>
      <c r="B79" s="45" t="s">
        <v>36</v>
      </c>
      <c r="C79" s="45" t="s">
        <v>2808</v>
      </c>
      <c r="D79" s="45" t="s">
        <v>240</v>
      </c>
      <c r="E79" s="354" t="s">
        <v>2109</v>
      </c>
      <c r="F79" s="96" t="s">
        <v>3381</v>
      </c>
      <c r="G79" s="59" t="s">
        <v>1493</v>
      </c>
      <c r="H79" s="29" t="s">
        <v>3380</v>
      </c>
      <c r="I79" s="355"/>
      <c r="J79" s="355"/>
      <c r="K79" s="29"/>
      <c r="L79" s="30"/>
      <c r="M79" s="30"/>
      <c r="N79" s="30"/>
      <c r="O79" s="80"/>
      <c r="P79" s="80"/>
      <c r="Q79" s="80"/>
      <c r="R79" s="80"/>
      <c r="S79" s="80"/>
      <c r="T79" s="80"/>
      <c r="U79" s="29"/>
      <c r="V79" s="41"/>
      <c r="W79" s="29">
        <v>83270</v>
      </c>
      <c r="X79" s="41"/>
      <c r="Y79" s="37"/>
      <c r="Z79" s="41"/>
      <c r="AA79" s="29"/>
      <c r="AB79" s="355" t="s">
        <v>3133</v>
      </c>
      <c r="AC79" s="355" t="s">
        <v>3134</v>
      </c>
      <c r="AD79" s="59"/>
      <c r="AE79" s="355" t="s">
        <v>3135</v>
      </c>
      <c r="AF79" s="355" t="s">
        <v>3136</v>
      </c>
      <c r="AG79" s="355" t="s">
        <v>2808</v>
      </c>
      <c r="AH79" s="355"/>
      <c r="AI79" s="355" t="s">
        <v>2808</v>
      </c>
      <c r="AJ79" s="355"/>
      <c r="AK79" s="355">
        <v>9270</v>
      </c>
      <c r="AL79" s="37" t="s">
        <v>3137</v>
      </c>
      <c r="AM79" s="355" t="s">
        <v>3138</v>
      </c>
      <c r="AN79" s="355" t="s">
        <v>3139</v>
      </c>
      <c r="AO79" s="355" t="s">
        <v>3140</v>
      </c>
      <c r="AP79" s="355"/>
      <c r="AQ79" s="355">
        <v>49270</v>
      </c>
      <c r="AR79" s="63">
        <v>10.49</v>
      </c>
      <c r="AS79" s="27">
        <f t="shared" si="19"/>
        <v>23.626126126126128</v>
      </c>
      <c r="AT79" s="329" t="s">
        <v>2929</v>
      </c>
      <c r="AU79" s="329" t="s">
        <v>2930</v>
      </c>
      <c r="AV79" s="44">
        <v>7.08</v>
      </c>
      <c r="AW79" s="44">
        <v>6.02</v>
      </c>
      <c r="AX79" s="44">
        <v>1.65</v>
      </c>
      <c r="AY79" s="352"/>
      <c r="AZ79" s="352"/>
      <c r="BA79" s="324">
        <v>0.39</v>
      </c>
      <c r="BB79" s="289">
        <v>7.2859999999999996</v>
      </c>
      <c r="BC79" s="289">
        <v>1.7110000000000001</v>
      </c>
      <c r="BD79" s="289">
        <v>8.0719999999999992</v>
      </c>
      <c r="BE79" s="287">
        <v>5.8233995898148143E-2</v>
      </c>
      <c r="BF79" s="324">
        <v>0.13</v>
      </c>
      <c r="BG79" s="286">
        <v>11</v>
      </c>
      <c r="BH79" s="286">
        <v>8</v>
      </c>
      <c r="BI79" s="286">
        <v>8.6199999999999992</v>
      </c>
      <c r="BJ79" s="286">
        <v>0.43898148148148147</v>
      </c>
      <c r="BK79" s="226">
        <v>0.47</v>
      </c>
      <c r="BL79" s="226">
        <v>0.52</v>
      </c>
      <c r="BM79" s="226">
        <v>3.59</v>
      </c>
      <c r="BN79" s="39" t="s">
        <v>64</v>
      </c>
      <c r="BO79" s="354">
        <v>6</v>
      </c>
      <c r="BP79" s="354">
        <v>20</v>
      </c>
      <c r="BQ79" s="354">
        <v>5</v>
      </c>
      <c r="BR79" s="322">
        <v>600</v>
      </c>
      <c r="BS79" s="288">
        <v>409</v>
      </c>
      <c r="BT79" s="322" t="s">
        <v>69</v>
      </c>
      <c r="BU79" s="40" t="s">
        <v>67</v>
      </c>
      <c r="BV79" s="191"/>
      <c r="BW79" s="191"/>
      <c r="BX79" s="82"/>
    </row>
    <row r="80" spans="1:76" s="1" customFormat="1" x14ac:dyDescent="0.25">
      <c r="A80" s="241">
        <v>42781</v>
      </c>
      <c r="B80" s="45" t="s">
        <v>36</v>
      </c>
      <c r="C80" s="45" t="s">
        <v>2809</v>
      </c>
      <c r="D80" s="45" t="s">
        <v>240</v>
      </c>
      <c r="E80" s="354" t="s">
        <v>2109</v>
      </c>
      <c r="F80" s="96" t="s">
        <v>3383</v>
      </c>
      <c r="G80" s="59" t="s">
        <v>1493</v>
      </c>
      <c r="H80" s="29" t="s">
        <v>3382</v>
      </c>
      <c r="I80" s="355"/>
      <c r="J80" s="355"/>
      <c r="K80" s="29"/>
      <c r="L80" s="30"/>
      <c r="M80" s="30"/>
      <c r="N80" s="30"/>
      <c r="O80" s="80"/>
      <c r="P80" s="80"/>
      <c r="Q80" s="80"/>
      <c r="R80" s="80"/>
      <c r="S80" s="80"/>
      <c r="T80" s="80"/>
      <c r="U80" s="29"/>
      <c r="V80" s="41"/>
      <c r="W80" s="29"/>
      <c r="X80" s="41"/>
      <c r="Y80" s="37"/>
      <c r="Z80" s="41"/>
      <c r="AA80" s="29"/>
      <c r="AB80" s="355" t="s">
        <v>3141</v>
      </c>
      <c r="AC80" s="355"/>
      <c r="AD80" s="59"/>
      <c r="AE80" s="355" t="s">
        <v>3142</v>
      </c>
      <c r="AF80" s="355"/>
      <c r="AG80" s="355" t="s">
        <v>2809</v>
      </c>
      <c r="AH80" s="355"/>
      <c r="AI80" s="355" t="s">
        <v>2809</v>
      </c>
      <c r="AJ80" s="355"/>
      <c r="AK80" s="355">
        <v>200124</v>
      </c>
      <c r="AL80" s="37" t="s">
        <v>3143</v>
      </c>
      <c r="AM80" s="355" t="s">
        <v>3144</v>
      </c>
      <c r="AN80" s="355"/>
      <c r="AO80" s="355"/>
      <c r="AP80" s="355"/>
      <c r="AQ80" s="355" t="s">
        <v>3145</v>
      </c>
      <c r="AR80" s="63">
        <v>13.59</v>
      </c>
      <c r="AS80" s="27">
        <f t="shared" si="19"/>
        <v>30.608108108108109</v>
      </c>
      <c r="AT80" s="329" t="s">
        <v>2931</v>
      </c>
      <c r="AU80" s="329" t="s">
        <v>2932</v>
      </c>
      <c r="AV80" s="44">
        <v>7.13</v>
      </c>
      <c r="AW80" s="44">
        <v>5.55</v>
      </c>
      <c r="AX80" s="44">
        <v>2.0099999999999998</v>
      </c>
      <c r="AY80" s="352"/>
      <c r="AZ80" s="352"/>
      <c r="BA80" s="324">
        <v>0.45</v>
      </c>
      <c r="BB80" s="289">
        <v>7.0359999999999996</v>
      </c>
      <c r="BC80" s="289">
        <v>2.536</v>
      </c>
      <c r="BD80" s="289">
        <v>11.821999999999999</v>
      </c>
      <c r="BE80" s="287">
        <v>0.12207375307407406</v>
      </c>
      <c r="BF80" s="324">
        <v>0.19</v>
      </c>
      <c r="BG80" s="286">
        <v>15.75</v>
      </c>
      <c r="BH80" s="286">
        <v>12.5</v>
      </c>
      <c r="BI80" s="286">
        <v>7.75</v>
      </c>
      <c r="BJ80" s="286">
        <v>0.88297526041666663</v>
      </c>
      <c r="BK80" s="226">
        <v>0.81</v>
      </c>
      <c r="BL80" s="226">
        <v>0.64</v>
      </c>
      <c r="BM80" s="226">
        <v>4.6500000000000004</v>
      </c>
      <c r="BN80" s="39" t="s">
        <v>64</v>
      </c>
      <c r="BO80" s="354">
        <v>6</v>
      </c>
      <c r="BP80" s="354">
        <v>9</v>
      </c>
      <c r="BQ80" s="354">
        <v>5</v>
      </c>
      <c r="BR80" s="322">
        <v>270</v>
      </c>
      <c r="BS80" s="288">
        <v>259.25</v>
      </c>
      <c r="BT80" s="322" t="s">
        <v>69</v>
      </c>
      <c r="BU80" s="40" t="s">
        <v>67</v>
      </c>
      <c r="BV80" s="191"/>
      <c r="BW80" s="191"/>
      <c r="BX80" s="82"/>
    </row>
    <row r="81" spans="1:76" s="1" customFormat="1" ht="15" customHeight="1" x14ac:dyDescent="0.25">
      <c r="A81" s="241">
        <v>42781</v>
      </c>
      <c r="B81" s="45" t="s">
        <v>36</v>
      </c>
      <c r="C81" s="45" t="s">
        <v>1589</v>
      </c>
      <c r="D81" s="45" t="s">
        <v>240</v>
      </c>
      <c r="E81" s="354" t="s">
        <v>2109</v>
      </c>
      <c r="F81" s="96" t="s">
        <v>3384</v>
      </c>
      <c r="G81" s="59" t="s">
        <v>1374</v>
      </c>
      <c r="H81" s="29" t="s">
        <v>1592</v>
      </c>
      <c r="I81" s="355"/>
      <c r="J81" s="355"/>
      <c r="K81" s="29"/>
      <c r="L81" s="30"/>
      <c r="M81" s="30"/>
      <c r="N81" s="30"/>
      <c r="O81" s="80"/>
      <c r="P81" s="80"/>
      <c r="Q81" s="80"/>
      <c r="R81" s="80"/>
      <c r="S81" s="80"/>
      <c r="T81" s="80"/>
      <c r="U81" s="29"/>
      <c r="V81" s="41"/>
      <c r="W81" s="29">
        <v>83640</v>
      </c>
      <c r="X81" s="41"/>
      <c r="Y81" s="37"/>
      <c r="Z81" s="41"/>
      <c r="AA81" s="29"/>
      <c r="AB81" s="355" t="s">
        <v>1593</v>
      </c>
      <c r="AC81" s="355" t="s">
        <v>1594</v>
      </c>
      <c r="AD81" s="59"/>
      <c r="AE81" s="355" t="s">
        <v>3146</v>
      </c>
      <c r="AF81" s="355"/>
      <c r="AG81" s="355" t="s">
        <v>1589</v>
      </c>
      <c r="AH81" s="355" t="s">
        <v>1595</v>
      </c>
      <c r="AI81" s="355" t="s">
        <v>1589</v>
      </c>
      <c r="AJ81" s="355"/>
      <c r="AK81" s="355">
        <v>9640</v>
      </c>
      <c r="AL81" s="37" t="s">
        <v>1596</v>
      </c>
      <c r="AM81" s="355" t="s">
        <v>1598</v>
      </c>
      <c r="AN81" s="355" t="s">
        <v>1597</v>
      </c>
      <c r="AO81" s="355" t="s">
        <v>3147</v>
      </c>
      <c r="AP81" s="355"/>
      <c r="AQ81" s="355">
        <v>49640</v>
      </c>
      <c r="AR81" s="63">
        <v>14.76</v>
      </c>
      <c r="AS81" s="27">
        <f t="shared" si="19"/>
        <v>33.243243243243242</v>
      </c>
      <c r="AT81" s="329" t="s">
        <v>2933</v>
      </c>
      <c r="AU81" s="329" t="s">
        <v>2934</v>
      </c>
      <c r="AV81" s="44">
        <v>12.38</v>
      </c>
      <c r="AW81" s="44">
        <v>7.87</v>
      </c>
      <c r="AX81" s="44">
        <v>1.46</v>
      </c>
      <c r="AY81" s="352"/>
      <c r="AZ81" s="352"/>
      <c r="BA81" s="324">
        <v>0.3</v>
      </c>
      <c r="BB81" s="289">
        <v>8.6609999999999996</v>
      </c>
      <c r="BC81" s="289">
        <v>2.286</v>
      </c>
      <c r="BD81" s="289">
        <v>13.946999999999999</v>
      </c>
      <c r="BE81" s="287">
        <v>0.15980167509374998</v>
      </c>
      <c r="BF81" s="324">
        <v>0.22</v>
      </c>
      <c r="BG81" s="286">
        <v>14.5</v>
      </c>
      <c r="BH81" s="286">
        <v>14.25</v>
      </c>
      <c r="BI81" s="286">
        <v>9.5</v>
      </c>
      <c r="BJ81" s="286">
        <v>1.1359592013888888</v>
      </c>
      <c r="BK81" s="226">
        <v>0.99</v>
      </c>
      <c r="BL81" s="226">
        <v>0.52</v>
      </c>
      <c r="BM81" s="226">
        <v>4.1100000000000003</v>
      </c>
      <c r="BN81" s="39" t="s">
        <v>64</v>
      </c>
      <c r="BO81" s="354">
        <v>6</v>
      </c>
      <c r="BP81" s="354">
        <v>6</v>
      </c>
      <c r="BQ81" s="354">
        <v>4</v>
      </c>
      <c r="BR81" s="322">
        <v>144</v>
      </c>
      <c r="BS81" s="288">
        <v>148.64000000000001</v>
      </c>
      <c r="BT81" s="322" t="s">
        <v>1412</v>
      </c>
      <c r="BU81" s="40" t="s">
        <v>67</v>
      </c>
      <c r="BV81" s="191"/>
      <c r="BW81" s="191"/>
      <c r="BX81" s="82"/>
    </row>
    <row r="82" spans="1:76" s="1" customFormat="1" ht="15" customHeight="1" x14ac:dyDescent="0.25">
      <c r="A82" s="241">
        <v>42781</v>
      </c>
      <c r="B82" s="45" t="s">
        <v>36</v>
      </c>
      <c r="C82" s="45" t="s">
        <v>1783</v>
      </c>
      <c r="D82" s="45" t="s">
        <v>240</v>
      </c>
      <c r="E82" s="354" t="s">
        <v>2109</v>
      </c>
      <c r="F82" s="96" t="s">
        <v>3385</v>
      </c>
      <c r="G82" s="59" t="s">
        <v>1493</v>
      </c>
      <c r="H82" s="29" t="s">
        <v>1785</v>
      </c>
      <c r="I82" s="355"/>
      <c r="J82" s="355"/>
      <c r="K82" s="29"/>
      <c r="L82" s="30"/>
      <c r="M82" s="30"/>
      <c r="N82" s="30"/>
      <c r="O82" s="80"/>
      <c r="P82" s="80"/>
      <c r="Q82" s="80"/>
      <c r="R82" s="80"/>
      <c r="S82" s="80"/>
      <c r="T82" s="80"/>
      <c r="U82" s="29"/>
      <c r="V82" s="41"/>
      <c r="W82" s="29">
        <v>83091</v>
      </c>
      <c r="X82" s="41"/>
      <c r="Y82" s="37"/>
      <c r="Z82" s="41"/>
      <c r="AA82" s="29"/>
      <c r="AB82" s="355" t="s">
        <v>1786</v>
      </c>
      <c r="AC82" s="355" t="s">
        <v>3148</v>
      </c>
      <c r="AD82" s="59"/>
      <c r="AE82" s="355"/>
      <c r="AF82" s="355"/>
      <c r="AG82" s="355" t="s">
        <v>1783</v>
      </c>
      <c r="AH82" s="355"/>
      <c r="AI82" s="355" t="s">
        <v>1783</v>
      </c>
      <c r="AJ82" s="355"/>
      <c r="AK82" s="355">
        <v>9091</v>
      </c>
      <c r="AL82" s="37" t="s">
        <v>1787</v>
      </c>
      <c r="AM82" s="355" t="s">
        <v>3149</v>
      </c>
      <c r="AN82" s="355" t="s">
        <v>1788</v>
      </c>
      <c r="AO82" s="355"/>
      <c r="AP82" s="355"/>
      <c r="AQ82" s="355">
        <v>49091</v>
      </c>
      <c r="AR82" s="63">
        <v>18.64</v>
      </c>
      <c r="AS82" s="27">
        <f t="shared" si="19"/>
        <v>41.981981981981981</v>
      </c>
      <c r="AT82" s="329" t="s">
        <v>2935</v>
      </c>
      <c r="AU82" s="329" t="s">
        <v>2936</v>
      </c>
      <c r="AV82" s="44">
        <v>7.56</v>
      </c>
      <c r="AW82" s="44">
        <v>7.05</v>
      </c>
      <c r="AX82" s="44">
        <v>1.93</v>
      </c>
      <c r="AY82" s="352"/>
      <c r="AZ82" s="352"/>
      <c r="BA82" s="324">
        <v>0.5</v>
      </c>
      <c r="BB82" s="289">
        <v>7.7859999999999996</v>
      </c>
      <c r="BC82" s="289">
        <v>2.536</v>
      </c>
      <c r="BD82" s="289">
        <v>9.0719999999999992</v>
      </c>
      <c r="BE82" s="287">
        <v>0.10366280399999998</v>
      </c>
      <c r="BF82" s="324">
        <v>0.16</v>
      </c>
      <c r="BG82" s="286">
        <v>15.37</v>
      </c>
      <c r="BH82" s="286">
        <v>9.75</v>
      </c>
      <c r="BI82" s="286">
        <v>9</v>
      </c>
      <c r="BJ82" s="286">
        <v>0.78050781250000001</v>
      </c>
      <c r="BK82" s="226">
        <v>0.67</v>
      </c>
      <c r="BL82" s="226">
        <v>0.66</v>
      </c>
      <c r="BM82" s="226">
        <v>4.63</v>
      </c>
      <c r="BN82" s="39" t="s">
        <v>64</v>
      </c>
      <c r="BO82" s="354">
        <v>6</v>
      </c>
      <c r="BP82" s="354">
        <v>12</v>
      </c>
      <c r="BQ82" s="354">
        <v>5</v>
      </c>
      <c r="BR82" s="322">
        <v>360</v>
      </c>
      <c r="BS82" s="288">
        <v>327.8</v>
      </c>
      <c r="BT82" s="322" t="s">
        <v>69</v>
      </c>
      <c r="BU82" s="40" t="s">
        <v>67</v>
      </c>
      <c r="BV82" s="191"/>
      <c r="BW82" s="191"/>
      <c r="BX82" s="82"/>
    </row>
    <row r="83" spans="1:76" s="1" customFormat="1" ht="15" customHeight="1" x14ac:dyDescent="0.25">
      <c r="A83" s="241">
        <v>42781</v>
      </c>
      <c r="B83" s="45" t="s">
        <v>36</v>
      </c>
      <c r="C83" s="45" t="s">
        <v>2591</v>
      </c>
      <c r="D83" s="45" t="s">
        <v>240</v>
      </c>
      <c r="E83" s="354" t="s">
        <v>2189</v>
      </c>
      <c r="F83" s="96" t="s">
        <v>2679</v>
      </c>
      <c r="G83" s="355" t="s">
        <v>3386</v>
      </c>
      <c r="H83" s="75" t="s">
        <v>2678</v>
      </c>
      <c r="I83" s="355"/>
      <c r="J83" s="355"/>
      <c r="K83" s="29"/>
      <c r="L83" s="30"/>
      <c r="M83" s="30"/>
      <c r="N83" s="30"/>
      <c r="O83" s="80"/>
      <c r="P83" s="80"/>
      <c r="Q83" s="80"/>
      <c r="R83" s="80"/>
      <c r="S83" s="80"/>
      <c r="T83" s="80"/>
      <c r="U83" s="29"/>
      <c r="V83" s="41"/>
      <c r="W83" s="29"/>
      <c r="X83" s="41"/>
      <c r="Y83" s="37"/>
      <c r="Z83" s="41"/>
      <c r="AA83" s="29"/>
      <c r="AB83" s="355"/>
      <c r="AC83" s="355"/>
      <c r="AD83" s="59" t="s">
        <v>2672</v>
      </c>
      <c r="AE83" s="355"/>
      <c r="AF83" s="355" t="s">
        <v>2673</v>
      </c>
      <c r="AG83" s="355" t="s">
        <v>2591</v>
      </c>
      <c r="AH83" s="355" t="s">
        <v>2674</v>
      </c>
      <c r="AI83" s="355" t="s">
        <v>2591</v>
      </c>
      <c r="AJ83" s="355"/>
      <c r="AK83" s="355">
        <v>100058</v>
      </c>
      <c r="AL83" s="37" t="s">
        <v>2675</v>
      </c>
      <c r="AM83" s="355"/>
      <c r="AN83" s="355" t="s">
        <v>3150</v>
      </c>
      <c r="AO83" s="355" t="s">
        <v>3151</v>
      </c>
      <c r="AP83" s="355"/>
      <c r="AQ83" s="355" t="s">
        <v>2677</v>
      </c>
      <c r="AR83" s="63">
        <v>28.71</v>
      </c>
      <c r="AS83" s="27">
        <f t="shared" si="19"/>
        <v>64.662162162162161</v>
      </c>
      <c r="AT83" s="329" t="s">
        <v>2937</v>
      </c>
      <c r="AU83" s="329" t="s">
        <v>2938</v>
      </c>
      <c r="AV83" s="44"/>
      <c r="AW83" s="44"/>
      <c r="AX83" s="44"/>
      <c r="AY83" s="352">
        <v>3.66</v>
      </c>
      <c r="AZ83" s="352">
        <v>5.53</v>
      </c>
      <c r="BA83" s="324">
        <v>1.1499999999999999</v>
      </c>
      <c r="BB83" s="289">
        <v>3.8479999999999999</v>
      </c>
      <c r="BC83" s="289">
        <v>3.8479999999999999</v>
      </c>
      <c r="BD83" s="289">
        <v>5.8219999999999992</v>
      </c>
      <c r="BE83" s="287">
        <v>4.988828674074073E-2</v>
      </c>
      <c r="BF83" s="324">
        <v>0.09</v>
      </c>
      <c r="BG83" s="286">
        <v>16</v>
      </c>
      <c r="BH83" s="286">
        <v>12</v>
      </c>
      <c r="BI83" s="286">
        <v>6.37</v>
      </c>
      <c r="BJ83" s="286">
        <v>0.70777777777777773</v>
      </c>
      <c r="BK83" s="226">
        <v>0.76</v>
      </c>
      <c r="BL83" s="226">
        <v>1.24</v>
      </c>
      <c r="BM83" s="226">
        <v>15.639999999999999</v>
      </c>
      <c r="BN83" s="39" t="s">
        <v>64</v>
      </c>
      <c r="BO83" s="354">
        <v>12</v>
      </c>
      <c r="BP83" s="354">
        <v>10</v>
      </c>
      <c r="BQ83" s="354">
        <v>7</v>
      </c>
      <c r="BR83" s="322">
        <v>840</v>
      </c>
      <c r="BS83" s="288">
        <v>1144.7999999999997</v>
      </c>
      <c r="BT83" s="322" t="s">
        <v>69</v>
      </c>
      <c r="BU83" s="40" t="s">
        <v>1910</v>
      </c>
      <c r="BV83" s="191"/>
      <c r="BW83" s="191"/>
      <c r="BX83" s="82"/>
    </row>
    <row r="84" spans="1:76" s="1" customFormat="1" ht="15" customHeight="1" x14ac:dyDescent="0.25">
      <c r="A84" s="241">
        <v>42781</v>
      </c>
      <c r="B84" s="45" t="s">
        <v>36</v>
      </c>
      <c r="C84" s="45" t="s">
        <v>2810</v>
      </c>
      <c r="D84" s="45" t="s">
        <v>240</v>
      </c>
      <c r="E84" s="354" t="s">
        <v>2111</v>
      </c>
      <c r="F84" s="96" t="s">
        <v>3387</v>
      </c>
      <c r="G84" s="59" t="s">
        <v>259</v>
      </c>
      <c r="H84" s="29">
        <v>11428507683</v>
      </c>
      <c r="I84" s="355"/>
      <c r="J84" s="355"/>
      <c r="K84" s="29"/>
      <c r="L84" s="30"/>
      <c r="M84" s="30"/>
      <c r="N84" s="30"/>
      <c r="O84" s="80"/>
      <c r="P84" s="80"/>
      <c r="Q84" s="80"/>
      <c r="R84" s="80"/>
      <c r="S84" s="80"/>
      <c r="T84" s="80"/>
      <c r="U84" s="29"/>
      <c r="V84" s="41"/>
      <c r="W84" s="29">
        <v>94025</v>
      </c>
      <c r="X84" s="41"/>
      <c r="Y84" s="37"/>
      <c r="Z84" s="41"/>
      <c r="AA84" s="29"/>
      <c r="AB84" s="355" t="s">
        <v>3152</v>
      </c>
      <c r="AC84" s="355"/>
      <c r="AD84" s="59"/>
      <c r="AE84" s="355"/>
      <c r="AF84" s="355" t="s">
        <v>3153</v>
      </c>
      <c r="AG84" s="355" t="s">
        <v>2810</v>
      </c>
      <c r="AH84" s="355" t="s">
        <v>3154</v>
      </c>
      <c r="AI84" s="355" t="s">
        <v>2810</v>
      </c>
      <c r="AJ84" s="355"/>
      <c r="AK84" s="355">
        <v>100025</v>
      </c>
      <c r="AL84" s="37"/>
      <c r="AM84" s="355"/>
      <c r="AN84" s="355" t="s">
        <v>3155</v>
      </c>
      <c r="AO84" s="355"/>
      <c r="AP84" s="355"/>
      <c r="AQ84" s="355" t="s">
        <v>3156</v>
      </c>
      <c r="AR84" s="63">
        <v>27.18</v>
      </c>
      <c r="AS84" s="27">
        <f t="shared" si="19"/>
        <v>61.216216216216218</v>
      </c>
      <c r="AT84" s="329" t="s">
        <v>2939</v>
      </c>
      <c r="AU84" s="329" t="s">
        <v>2940</v>
      </c>
      <c r="AV84" s="44"/>
      <c r="AW84" s="44"/>
      <c r="AX84" s="44"/>
      <c r="AY84" s="352">
        <v>2.0870000000000002</v>
      </c>
      <c r="AZ84" s="352">
        <v>5.2759999999999998</v>
      </c>
      <c r="BA84" s="324">
        <v>0.1</v>
      </c>
      <c r="BB84" s="289">
        <v>3.1859999999999999</v>
      </c>
      <c r="BC84" s="289">
        <v>3.1859999999999999</v>
      </c>
      <c r="BD84" s="289">
        <v>6.0719999999999992</v>
      </c>
      <c r="BE84" s="287">
        <v>3.5668066499999991E-2</v>
      </c>
      <c r="BF84" s="324">
        <v>7.0000000000000007E-2</v>
      </c>
      <c r="BG84" s="286">
        <v>13.25</v>
      </c>
      <c r="BH84" s="286">
        <v>10</v>
      </c>
      <c r="BI84" s="286">
        <v>6.62</v>
      </c>
      <c r="BJ84" s="286">
        <v>0.50760995370370376</v>
      </c>
      <c r="BK84" s="226">
        <v>0.59</v>
      </c>
      <c r="BL84" s="226">
        <v>0.17</v>
      </c>
      <c r="BM84" s="226">
        <v>2.63</v>
      </c>
      <c r="BN84" s="39" t="s">
        <v>64</v>
      </c>
      <c r="BO84" s="354">
        <v>12</v>
      </c>
      <c r="BP84" s="354">
        <v>14</v>
      </c>
      <c r="BQ84" s="354">
        <v>6</v>
      </c>
      <c r="BR84" s="322">
        <v>1008</v>
      </c>
      <c r="BS84" s="288">
        <v>270.92</v>
      </c>
      <c r="BT84" s="322" t="s">
        <v>69</v>
      </c>
      <c r="BU84" s="40" t="s">
        <v>1910</v>
      </c>
      <c r="BV84" s="191"/>
      <c r="BW84" s="191"/>
      <c r="BX84" s="82"/>
    </row>
    <row r="85" spans="1:76" s="1" customFormat="1" ht="15" customHeight="1" x14ac:dyDescent="0.25">
      <c r="A85" s="241">
        <v>42781</v>
      </c>
      <c r="B85" s="45" t="s">
        <v>36</v>
      </c>
      <c r="C85" s="45" t="s">
        <v>2811</v>
      </c>
      <c r="D85" s="45" t="s">
        <v>240</v>
      </c>
      <c r="E85" s="354" t="s">
        <v>2111</v>
      </c>
      <c r="F85" s="96" t="s">
        <v>3388</v>
      </c>
      <c r="G85" s="59" t="s">
        <v>1009</v>
      </c>
      <c r="H85" s="29" t="s">
        <v>3389</v>
      </c>
      <c r="I85" s="355"/>
      <c r="J85" s="355"/>
      <c r="K85" s="29"/>
      <c r="L85" s="30"/>
      <c r="M85" s="30"/>
      <c r="N85" s="30"/>
      <c r="O85" s="80"/>
      <c r="P85" s="80"/>
      <c r="Q85" s="80"/>
      <c r="R85" s="80"/>
      <c r="S85" s="80"/>
      <c r="T85" s="80"/>
      <c r="U85" s="29"/>
      <c r="V85" s="41"/>
      <c r="W85" s="29"/>
      <c r="X85" s="41"/>
      <c r="Y85" s="37"/>
      <c r="Z85" s="41"/>
      <c r="AA85" s="29"/>
      <c r="AB85" s="355" t="s">
        <v>3157</v>
      </c>
      <c r="AC85" s="355"/>
      <c r="AD85" s="59"/>
      <c r="AE85" s="355"/>
      <c r="AF85" s="355"/>
      <c r="AG85" s="355"/>
      <c r="AH85" s="355"/>
      <c r="AI85" s="355"/>
      <c r="AJ85" s="355"/>
      <c r="AK85" s="355"/>
      <c r="AL85" s="37"/>
      <c r="AM85" s="355"/>
      <c r="AN85" s="355"/>
      <c r="AO85" s="355"/>
      <c r="AP85" s="355"/>
      <c r="AQ85" s="355"/>
      <c r="AR85" s="63">
        <v>7.47</v>
      </c>
      <c r="AS85" s="27">
        <f t="shared" si="19"/>
        <v>16.824324324324323</v>
      </c>
      <c r="AT85" s="329" t="s">
        <v>2941</v>
      </c>
      <c r="AU85" s="329" t="s">
        <v>2942</v>
      </c>
      <c r="AV85" s="44"/>
      <c r="AW85" s="44"/>
      <c r="AX85" s="44"/>
      <c r="AY85" s="352">
        <v>2.5</v>
      </c>
      <c r="AZ85" s="352">
        <v>4.1539999999999999</v>
      </c>
      <c r="BA85" s="324">
        <v>0.1</v>
      </c>
      <c r="BB85" s="289">
        <v>3.1859999999999999</v>
      </c>
      <c r="BC85" s="289">
        <v>3.1859999999999999</v>
      </c>
      <c r="BD85" s="289">
        <v>4.4419999999999993</v>
      </c>
      <c r="BE85" s="287">
        <v>2.6093140874999993E-2</v>
      </c>
      <c r="BF85" s="324">
        <v>0.06</v>
      </c>
      <c r="BG85" s="286">
        <v>13.25</v>
      </c>
      <c r="BH85" s="286">
        <v>10</v>
      </c>
      <c r="BI85" s="286">
        <v>5</v>
      </c>
      <c r="BJ85" s="286">
        <v>0.38339120370370372</v>
      </c>
      <c r="BK85" s="226">
        <v>0.53</v>
      </c>
      <c r="BL85" s="226">
        <v>0.16</v>
      </c>
      <c r="BM85" s="226">
        <v>2.4500000000000002</v>
      </c>
      <c r="BN85" s="39" t="s">
        <v>64</v>
      </c>
      <c r="BO85" s="354">
        <v>12</v>
      </c>
      <c r="BP85" s="354">
        <v>14</v>
      </c>
      <c r="BQ85" s="354">
        <v>9</v>
      </c>
      <c r="BR85" s="322">
        <v>1512</v>
      </c>
      <c r="BS85" s="288">
        <v>358.70000000000005</v>
      </c>
      <c r="BT85" s="322" t="s">
        <v>69</v>
      </c>
      <c r="BU85" s="40" t="s">
        <v>1910</v>
      </c>
      <c r="BV85" s="191"/>
      <c r="BW85" s="191"/>
      <c r="BX85" s="82"/>
    </row>
    <row r="86" spans="1:76" s="1" customFormat="1" ht="15" customHeight="1" x14ac:dyDescent="0.25">
      <c r="A86" s="241">
        <v>42781</v>
      </c>
      <c r="B86" s="45" t="s">
        <v>14</v>
      </c>
      <c r="C86" s="45" t="s">
        <v>2812</v>
      </c>
      <c r="D86" s="45" t="s">
        <v>240</v>
      </c>
      <c r="E86" s="45" t="s">
        <v>2248</v>
      </c>
      <c r="F86" s="96" t="s">
        <v>3390</v>
      </c>
      <c r="G86" s="59" t="s">
        <v>223</v>
      </c>
      <c r="H86" s="29" t="s">
        <v>3391</v>
      </c>
      <c r="I86" s="355"/>
      <c r="J86" s="355"/>
      <c r="K86" s="29"/>
      <c r="L86" s="30"/>
      <c r="M86" s="30"/>
      <c r="N86" s="30"/>
      <c r="O86" s="80"/>
      <c r="P86" s="80"/>
      <c r="Q86" s="80"/>
      <c r="R86" s="80"/>
      <c r="S86" s="80"/>
      <c r="T86" s="80"/>
      <c r="U86" s="29"/>
      <c r="V86" s="41"/>
      <c r="W86" s="29"/>
      <c r="X86" s="41"/>
      <c r="Y86" s="37"/>
      <c r="Z86" s="41"/>
      <c r="AA86" s="29"/>
      <c r="AB86" s="355"/>
      <c r="AC86" s="355"/>
      <c r="AD86" s="59"/>
      <c r="AE86" s="355" t="s">
        <v>3158</v>
      </c>
      <c r="AF86" s="355"/>
      <c r="AG86" s="355"/>
      <c r="AH86" s="355"/>
      <c r="AI86" s="355"/>
      <c r="AJ86" s="355"/>
      <c r="AK86" s="355"/>
      <c r="AL86" s="37"/>
      <c r="AM86" s="355"/>
      <c r="AN86" s="355"/>
      <c r="AO86" s="355"/>
      <c r="AP86" s="355"/>
      <c r="AQ86" s="355" t="s">
        <v>3159</v>
      </c>
      <c r="AR86" s="63">
        <v>34.47</v>
      </c>
      <c r="AS86" s="27">
        <f t="shared" si="19"/>
        <v>77.63513513513513</v>
      </c>
      <c r="AT86" s="329" t="s">
        <v>2943</v>
      </c>
      <c r="AU86" s="329" t="s">
        <v>2944</v>
      </c>
      <c r="AV86" s="44">
        <v>9.17</v>
      </c>
      <c r="AW86" s="44">
        <v>5.57</v>
      </c>
      <c r="AX86" s="44">
        <v>2.2200000000000002</v>
      </c>
      <c r="AY86" s="352"/>
      <c r="AZ86" s="352"/>
      <c r="BA86" s="324">
        <v>0.39</v>
      </c>
      <c r="BB86" s="289">
        <v>7.0359999999999996</v>
      </c>
      <c r="BC86" s="289">
        <v>2.536</v>
      </c>
      <c r="BD86" s="289">
        <v>11.821999999999999</v>
      </c>
      <c r="BE86" s="287">
        <v>0.12207375307407406</v>
      </c>
      <c r="BF86" s="324">
        <v>0.19</v>
      </c>
      <c r="BG86" s="286">
        <v>12.25</v>
      </c>
      <c r="BH86" s="286">
        <v>7.5</v>
      </c>
      <c r="BI86" s="286">
        <v>8.5</v>
      </c>
      <c r="BJ86" s="286">
        <v>0.4519314236111111</v>
      </c>
      <c r="BK86" s="226">
        <v>0.44</v>
      </c>
      <c r="BL86" s="226">
        <v>0.58000000000000007</v>
      </c>
      <c r="BM86" s="226">
        <v>2.1800000000000002</v>
      </c>
      <c r="BN86" s="39" t="s">
        <v>64</v>
      </c>
      <c r="BO86" s="354">
        <v>3</v>
      </c>
      <c r="BP86" s="354">
        <v>20</v>
      </c>
      <c r="BQ86" s="354">
        <v>5</v>
      </c>
      <c r="BR86" s="322">
        <v>300</v>
      </c>
      <c r="BS86" s="288">
        <v>268</v>
      </c>
      <c r="BT86" s="322" t="s">
        <v>69</v>
      </c>
      <c r="BU86" s="40" t="s">
        <v>67</v>
      </c>
      <c r="BV86" s="191"/>
      <c r="BW86" s="191"/>
      <c r="BX86" s="82"/>
    </row>
    <row r="87" spans="1:76" s="1" customFormat="1" ht="30" x14ac:dyDescent="0.25">
      <c r="A87" s="241">
        <v>42781</v>
      </c>
      <c r="B87" s="45" t="s">
        <v>14</v>
      </c>
      <c r="C87" s="45" t="s">
        <v>2813</v>
      </c>
      <c r="D87" s="45" t="s">
        <v>240</v>
      </c>
      <c r="E87" s="45" t="s">
        <v>2109</v>
      </c>
      <c r="F87" s="96" t="s">
        <v>3393</v>
      </c>
      <c r="G87" s="59" t="s">
        <v>957</v>
      </c>
      <c r="H87" s="29" t="s">
        <v>3392</v>
      </c>
      <c r="I87" s="355"/>
      <c r="J87" s="355"/>
      <c r="K87" s="29"/>
      <c r="L87" s="30"/>
      <c r="M87" s="30"/>
      <c r="N87" s="30"/>
      <c r="O87" s="80"/>
      <c r="P87" s="80"/>
      <c r="Q87" s="80"/>
      <c r="R87" s="80"/>
      <c r="S87" s="80"/>
      <c r="T87" s="80"/>
      <c r="U87" s="29"/>
      <c r="V87" s="41"/>
      <c r="W87" s="29"/>
      <c r="X87" s="41"/>
      <c r="Y87" s="37"/>
      <c r="Z87" s="41"/>
      <c r="AA87" s="29"/>
      <c r="AB87" s="355" t="s">
        <v>3160</v>
      </c>
      <c r="AC87" s="355"/>
      <c r="AD87" s="59"/>
      <c r="AE87" s="355"/>
      <c r="AF87" s="355"/>
      <c r="AG87" s="355"/>
      <c r="AH87" s="355"/>
      <c r="AI87" s="355"/>
      <c r="AJ87" s="355"/>
      <c r="AK87" s="355"/>
      <c r="AL87" s="37"/>
      <c r="AM87" s="355" t="s">
        <v>3162</v>
      </c>
      <c r="AN87" s="355" t="s">
        <v>3161</v>
      </c>
      <c r="AO87" s="355"/>
      <c r="AP87" s="355"/>
      <c r="AQ87" s="355" t="s">
        <v>3163</v>
      </c>
      <c r="AR87" s="63">
        <v>13.6</v>
      </c>
      <c r="AS87" s="27">
        <f t="shared" si="19"/>
        <v>30.63063063063063</v>
      </c>
      <c r="AT87" s="329" t="s">
        <v>2945</v>
      </c>
      <c r="AU87" s="329" t="s">
        <v>2946</v>
      </c>
      <c r="AV87" s="44">
        <v>10.27</v>
      </c>
      <c r="AW87" s="44">
        <v>6.65</v>
      </c>
      <c r="AX87" s="44">
        <v>2.06</v>
      </c>
      <c r="AY87" s="352"/>
      <c r="AZ87" s="352"/>
      <c r="BA87" s="324">
        <v>1.01</v>
      </c>
      <c r="BB87" s="289">
        <v>9.17</v>
      </c>
      <c r="BC87" s="289">
        <v>2.4369999999999998</v>
      </c>
      <c r="BD87" s="289">
        <v>11.803999999999998</v>
      </c>
      <c r="BE87" s="287">
        <v>0.15265475182870367</v>
      </c>
      <c r="BF87" s="324">
        <v>0.1</v>
      </c>
      <c r="BG87" s="286">
        <v>15.407</v>
      </c>
      <c r="BH87" s="286">
        <v>12.651</v>
      </c>
      <c r="BI87" s="286">
        <v>10.146000000000001</v>
      </c>
      <c r="BJ87" s="286">
        <v>1.1444427128020833</v>
      </c>
      <c r="BK87" s="226">
        <v>0.25</v>
      </c>
      <c r="BL87" s="226">
        <v>1.1100000000000001</v>
      </c>
      <c r="BM87" s="226">
        <v>6.91</v>
      </c>
      <c r="BN87" s="39" t="s">
        <v>64</v>
      </c>
      <c r="BO87" s="354">
        <v>6</v>
      </c>
      <c r="BP87" s="354">
        <v>10</v>
      </c>
      <c r="BQ87" s="354">
        <v>3</v>
      </c>
      <c r="BR87" s="322">
        <v>180</v>
      </c>
      <c r="BS87" s="288">
        <v>257.29999999999995</v>
      </c>
      <c r="BT87" s="322" t="s">
        <v>69</v>
      </c>
      <c r="BU87" s="40" t="s">
        <v>67</v>
      </c>
      <c r="BV87" s="191"/>
      <c r="BW87" s="191"/>
      <c r="BX87" s="82"/>
    </row>
    <row r="88" spans="1:76" s="1" customFormat="1" x14ac:dyDescent="0.25">
      <c r="A88" s="241">
        <v>42781</v>
      </c>
      <c r="B88" s="45" t="s">
        <v>14</v>
      </c>
      <c r="C88" s="45" t="s">
        <v>2814</v>
      </c>
      <c r="D88" s="45" t="s">
        <v>240</v>
      </c>
      <c r="E88" s="45" t="s">
        <v>2110</v>
      </c>
      <c r="F88" s="96" t="s">
        <v>3395</v>
      </c>
      <c r="G88" s="59" t="s">
        <v>957</v>
      </c>
      <c r="H88" s="355" t="s">
        <v>3394</v>
      </c>
      <c r="I88" s="355"/>
      <c r="J88" s="355"/>
      <c r="K88" s="29"/>
      <c r="L88" s="30"/>
      <c r="M88" s="30"/>
      <c r="N88" s="30"/>
      <c r="O88" s="80"/>
      <c r="P88" s="80"/>
      <c r="Q88" s="80"/>
      <c r="R88" s="80"/>
      <c r="S88" s="80"/>
      <c r="T88" s="80"/>
      <c r="U88" s="29"/>
      <c r="V88" s="41"/>
      <c r="W88" s="29"/>
      <c r="X88" s="41"/>
      <c r="Y88" s="37"/>
      <c r="Z88" s="41"/>
      <c r="AA88" s="29"/>
      <c r="AB88" s="355"/>
      <c r="AC88" s="355"/>
      <c r="AD88" s="59"/>
      <c r="AE88" s="355"/>
      <c r="AF88" s="355"/>
      <c r="AG88" s="355"/>
      <c r="AH88" s="355"/>
      <c r="AI88" s="355"/>
      <c r="AJ88" s="355"/>
      <c r="AK88" s="355"/>
      <c r="AL88" s="37"/>
      <c r="AM88" s="355" t="s">
        <v>2814</v>
      </c>
      <c r="AN88" s="355" t="s">
        <v>3164</v>
      </c>
      <c r="AO88" s="355"/>
      <c r="AP88" s="355"/>
      <c r="AQ88" s="355" t="s">
        <v>3165</v>
      </c>
      <c r="AR88" s="63">
        <v>18.25</v>
      </c>
      <c r="AS88" s="27">
        <f t="shared" si="19"/>
        <v>41.103603603603602</v>
      </c>
      <c r="AT88" s="329" t="s">
        <v>2947</v>
      </c>
      <c r="AU88" s="329" t="s">
        <v>2948</v>
      </c>
      <c r="AV88" s="44">
        <v>8.9</v>
      </c>
      <c r="AW88" s="44">
        <v>7.64</v>
      </c>
      <c r="AX88" s="44">
        <v>1.18</v>
      </c>
      <c r="AY88" s="352"/>
      <c r="AZ88" s="352"/>
      <c r="BA88" s="324">
        <v>0.14000000000000001</v>
      </c>
      <c r="BB88" s="289">
        <v>8.3170000000000002</v>
      </c>
      <c r="BC88" s="289">
        <v>1.411</v>
      </c>
      <c r="BD88" s="289">
        <v>11.321999999999999</v>
      </c>
      <c r="BE88" s="287">
        <v>7.6890578364583337E-2</v>
      </c>
      <c r="BF88" s="324">
        <v>0.12</v>
      </c>
      <c r="BG88" s="286">
        <v>11.87</v>
      </c>
      <c r="BH88" s="286">
        <v>9</v>
      </c>
      <c r="BI88" s="286">
        <v>9</v>
      </c>
      <c r="BJ88" s="286">
        <v>0.55640624999999999</v>
      </c>
      <c r="BK88" s="226">
        <v>0.53</v>
      </c>
      <c r="BL88" s="226">
        <v>0.26</v>
      </c>
      <c r="BM88" s="226">
        <v>2.09</v>
      </c>
      <c r="BN88" s="39" t="s">
        <v>64</v>
      </c>
      <c r="BO88" s="354">
        <v>6</v>
      </c>
      <c r="BP88" s="354">
        <v>17</v>
      </c>
      <c r="BQ88" s="354">
        <v>5</v>
      </c>
      <c r="BR88" s="322">
        <v>510</v>
      </c>
      <c r="BS88" s="288">
        <v>227.65</v>
      </c>
      <c r="BT88" s="322" t="s">
        <v>69</v>
      </c>
      <c r="BU88" s="40" t="s">
        <v>67</v>
      </c>
      <c r="BV88" s="191"/>
      <c r="BW88" s="191"/>
      <c r="BX88" s="82"/>
    </row>
    <row r="89" spans="1:76" s="1" customFormat="1" ht="15" customHeight="1" x14ac:dyDescent="0.25">
      <c r="A89" s="241">
        <v>42781</v>
      </c>
      <c r="B89" s="45" t="s">
        <v>14</v>
      </c>
      <c r="C89" s="45" t="s">
        <v>2815</v>
      </c>
      <c r="D89" s="45" t="s">
        <v>240</v>
      </c>
      <c r="E89" s="45" t="s">
        <v>2110</v>
      </c>
      <c r="F89" s="96" t="s">
        <v>2540</v>
      </c>
      <c r="G89" s="59" t="s">
        <v>2541</v>
      </c>
      <c r="H89" s="29" t="s">
        <v>3396</v>
      </c>
      <c r="I89" s="355"/>
      <c r="J89" s="355"/>
      <c r="K89" s="29"/>
      <c r="L89" s="30"/>
      <c r="M89" s="30"/>
      <c r="N89" s="30"/>
      <c r="O89" s="80"/>
      <c r="P89" s="80"/>
      <c r="Q89" s="80"/>
      <c r="R89" s="80"/>
      <c r="S89" s="80"/>
      <c r="T89" s="80"/>
      <c r="U89" s="29"/>
      <c r="V89" s="41"/>
      <c r="W89" s="29"/>
      <c r="X89" s="41"/>
      <c r="Y89" s="37"/>
      <c r="Z89" s="41"/>
      <c r="AA89" s="29"/>
      <c r="AB89" s="355"/>
      <c r="AC89" s="355"/>
      <c r="AD89" s="59"/>
      <c r="AE89" s="355"/>
      <c r="AF89" s="355"/>
      <c r="AG89" s="355"/>
      <c r="AH89" s="355"/>
      <c r="AI89" s="355"/>
      <c r="AJ89" s="355"/>
      <c r="AK89" s="355"/>
      <c r="AL89" s="37" t="s">
        <v>3166</v>
      </c>
      <c r="AM89" s="355"/>
      <c r="AN89" s="355" t="s">
        <v>3167</v>
      </c>
      <c r="AO89" s="355"/>
      <c r="AP89" s="355"/>
      <c r="AQ89" s="355" t="s">
        <v>3168</v>
      </c>
      <c r="AR89" s="63">
        <v>19.18</v>
      </c>
      <c r="AS89" s="27">
        <f t="shared" si="19"/>
        <v>43.198198198198199</v>
      </c>
      <c r="AT89" s="329" t="s">
        <v>2949</v>
      </c>
      <c r="AU89" s="329" t="s">
        <v>2950</v>
      </c>
      <c r="AV89" s="44">
        <v>10</v>
      </c>
      <c r="AW89" s="44">
        <v>9.25</v>
      </c>
      <c r="AX89" s="44">
        <v>1.26</v>
      </c>
      <c r="AY89" s="352"/>
      <c r="AZ89" s="352"/>
      <c r="BA89" s="324">
        <v>0.65</v>
      </c>
      <c r="BB89" s="289" t="s">
        <v>2951</v>
      </c>
      <c r="BC89" s="289"/>
      <c r="BD89" s="289"/>
      <c r="BE89" s="287"/>
      <c r="BF89" s="324"/>
      <c r="BG89" s="286">
        <v>12.75</v>
      </c>
      <c r="BH89" s="286">
        <v>4.75</v>
      </c>
      <c r="BI89" s="286">
        <v>11.5</v>
      </c>
      <c r="BJ89" s="286">
        <v>0.4030490451388889</v>
      </c>
      <c r="BK89" s="226">
        <v>0.4</v>
      </c>
      <c r="BL89" s="226">
        <v>0.65</v>
      </c>
      <c r="BM89" s="226">
        <v>2.35</v>
      </c>
      <c r="BN89" s="39" t="s">
        <v>64</v>
      </c>
      <c r="BO89" s="354">
        <v>3</v>
      </c>
      <c r="BP89" s="354">
        <v>12</v>
      </c>
      <c r="BQ89" s="354">
        <v>9</v>
      </c>
      <c r="BR89" s="322">
        <v>324</v>
      </c>
      <c r="BS89" s="288">
        <v>303.8</v>
      </c>
      <c r="BT89" s="322" t="s">
        <v>69</v>
      </c>
      <c r="BU89" s="40" t="s">
        <v>67</v>
      </c>
      <c r="BV89" s="191"/>
      <c r="BW89" s="191"/>
      <c r="BX89" s="82"/>
    </row>
    <row r="90" spans="1:76" s="1" customFormat="1" ht="15" customHeight="1" x14ac:dyDescent="0.25">
      <c r="A90" s="241">
        <v>42781</v>
      </c>
      <c r="B90" s="45" t="s">
        <v>14</v>
      </c>
      <c r="C90" s="45" t="s">
        <v>2816</v>
      </c>
      <c r="D90" s="45" t="s">
        <v>240</v>
      </c>
      <c r="E90" s="45" t="s">
        <v>2110</v>
      </c>
      <c r="F90" s="96" t="s">
        <v>3398</v>
      </c>
      <c r="G90" s="59" t="s">
        <v>1399</v>
      </c>
      <c r="H90" s="29" t="s">
        <v>3397</v>
      </c>
      <c r="I90" s="355"/>
      <c r="J90" s="355"/>
      <c r="K90" s="29"/>
      <c r="L90" s="30"/>
      <c r="M90" s="30"/>
      <c r="N90" s="30"/>
      <c r="O90" s="80"/>
      <c r="P90" s="80"/>
      <c r="Q90" s="80"/>
      <c r="R90" s="80"/>
      <c r="S90" s="80"/>
      <c r="T90" s="80"/>
      <c r="U90" s="29"/>
      <c r="V90" s="41"/>
      <c r="W90" s="29"/>
      <c r="X90" s="41"/>
      <c r="Y90" s="37"/>
      <c r="Z90" s="41"/>
      <c r="AA90" s="29"/>
      <c r="AB90" s="355"/>
      <c r="AC90" s="355"/>
      <c r="AD90" s="59"/>
      <c r="AE90" s="355"/>
      <c r="AF90" s="355"/>
      <c r="AG90" s="355"/>
      <c r="AH90" s="355"/>
      <c r="AI90" s="355"/>
      <c r="AJ90" s="355"/>
      <c r="AK90" s="355"/>
      <c r="AL90" s="37"/>
      <c r="AM90" s="355"/>
      <c r="AN90" s="355" t="s">
        <v>3169</v>
      </c>
      <c r="AO90" s="355"/>
      <c r="AP90" s="355"/>
      <c r="AQ90" s="355"/>
      <c r="AR90" s="63">
        <v>11.49</v>
      </c>
      <c r="AS90" s="27">
        <f t="shared" si="19"/>
        <v>25.878378378378379</v>
      </c>
      <c r="AT90" s="329" t="s">
        <v>2952</v>
      </c>
      <c r="AU90" s="329" t="s">
        <v>2953</v>
      </c>
      <c r="AV90" s="44">
        <v>8.5</v>
      </c>
      <c r="AW90" s="44">
        <v>7.25</v>
      </c>
      <c r="AX90" s="44">
        <v>1.1200000000000001</v>
      </c>
      <c r="AY90" s="352"/>
      <c r="AZ90" s="352"/>
      <c r="BA90" s="324">
        <v>0.09</v>
      </c>
      <c r="BB90" s="289">
        <v>8.1760000000000002</v>
      </c>
      <c r="BC90" s="289">
        <v>1.486</v>
      </c>
      <c r="BD90" s="289">
        <v>9.081999999999999</v>
      </c>
      <c r="BE90" s="287">
        <v>6.3855373814814806E-2</v>
      </c>
      <c r="BF90" s="324">
        <v>0.12</v>
      </c>
      <c r="BG90" s="286">
        <v>10</v>
      </c>
      <c r="BH90" s="286">
        <v>9.75</v>
      </c>
      <c r="BI90" s="286">
        <v>5.12</v>
      </c>
      <c r="BJ90" s="286">
        <v>0.28888888888888892</v>
      </c>
      <c r="BK90" s="226">
        <v>0.34</v>
      </c>
      <c r="BL90" s="226">
        <v>0.21</v>
      </c>
      <c r="BM90" s="226">
        <v>0.97</v>
      </c>
      <c r="BN90" s="39" t="s">
        <v>64</v>
      </c>
      <c r="BO90" s="354">
        <v>3</v>
      </c>
      <c r="BP90" s="354">
        <v>16</v>
      </c>
      <c r="BQ90" s="354">
        <v>8</v>
      </c>
      <c r="BR90" s="322">
        <v>384</v>
      </c>
      <c r="BS90" s="288">
        <v>174.16</v>
      </c>
      <c r="BT90" s="322" t="s">
        <v>62</v>
      </c>
      <c r="BU90" s="40" t="s">
        <v>67</v>
      </c>
      <c r="BV90" s="191"/>
      <c r="BW90" s="191"/>
      <c r="BX90" s="82"/>
    </row>
    <row r="91" spans="1:76" s="1" customFormat="1" ht="15" customHeight="1" x14ac:dyDescent="0.25">
      <c r="A91" s="241">
        <v>42781</v>
      </c>
      <c r="B91" s="45" t="s">
        <v>14</v>
      </c>
      <c r="C91" s="45" t="s">
        <v>2817</v>
      </c>
      <c r="D91" s="45" t="s">
        <v>240</v>
      </c>
      <c r="E91" s="45" t="s">
        <v>2109</v>
      </c>
      <c r="F91" s="96" t="s">
        <v>3400</v>
      </c>
      <c r="G91" s="59" t="s">
        <v>1493</v>
      </c>
      <c r="H91" s="29" t="s">
        <v>3399</v>
      </c>
      <c r="I91" s="355"/>
      <c r="J91" s="355"/>
      <c r="K91" s="29"/>
      <c r="L91" s="30"/>
      <c r="M91" s="30"/>
      <c r="N91" s="30"/>
      <c r="O91" s="80"/>
      <c r="P91" s="80"/>
      <c r="Q91" s="80"/>
      <c r="R91" s="80"/>
      <c r="S91" s="80"/>
      <c r="T91" s="80"/>
      <c r="U91" s="29"/>
      <c r="V91" s="41"/>
      <c r="W91" s="29">
        <v>93644</v>
      </c>
      <c r="X91" s="41" t="s">
        <v>2817</v>
      </c>
      <c r="Y91" s="37"/>
      <c r="Z91" s="41"/>
      <c r="AA91" s="29"/>
      <c r="AB91" s="355" t="s">
        <v>3170</v>
      </c>
      <c r="AC91" s="355"/>
      <c r="AD91" s="59"/>
      <c r="AE91" s="355" t="s">
        <v>3171</v>
      </c>
      <c r="AF91" s="355"/>
      <c r="AG91" s="355"/>
      <c r="AH91" s="355"/>
      <c r="AI91" s="355"/>
      <c r="AJ91" s="355"/>
      <c r="AK91" s="355">
        <v>200269</v>
      </c>
      <c r="AL91" s="37" t="s">
        <v>3172</v>
      </c>
      <c r="AM91" s="355"/>
      <c r="AN91" s="355" t="s">
        <v>3173</v>
      </c>
      <c r="AO91" s="355" t="s">
        <v>3174</v>
      </c>
      <c r="AP91" s="355"/>
      <c r="AQ91" s="355" t="s">
        <v>3175</v>
      </c>
      <c r="AR91" s="63">
        <v>20.260000000000002</v>
      </c>
      <c r="AS91" s="27">
        <f t="shared" si="19"/>
        <v>45.630630630630634</v>
      </c>
      <c r="AT91" s="329" t="s">
        <v>2954</v>
      </c>
      <c r="AU91" s="329" t="s">
        <v>2955</v>
      </c>
      <c r="AV91" s="44">
        <v>10.904999999999999</v>
      </c>
      <c r="AW91" s="44">
        <v>7.4409999999999998</v>
      </c>
      <c r="AX91" s="44">
        <v>1.929</v>
      </c>
      <c r="AY91" s="352"/>
      <c r="AZ91" s="352"/>
      <c r="BA91" s="324">
        <v>0.67</v>
      </c>
      <c r="BB91" s="289">
        <v>7.6359999999999992</v>
      </c>
      <c r="BC91" s="289">
        <v>2.1259999999999999</v>
      </c>
      <c r="BD91" s="289">
        <v>11.132</v>
      </c>
      <c r="BE91" s="287">
        <v>0.10458240853703701</v>
      </c>
      <c r="BF91" s="324">
        <v>0.15</v>
      </c>
      <c r="BG91" s="286">
        <v>13</v>
      </c>
      <c r="BH91" s="286">
        <v>11.47</v>
      </c>
      <c r="BI91" s="286">
        <v>8.5</v>
      </c>
      <c r="BJ91" s="286">
        <v>0.73346932870370363</v>
      </c>
      <c r="BK91" s="226">
        <v>0.65</v>
      </c>
      <c r="BL91" s="226">
        <v>0.82000000000000006</v>
      </c>
      <c r="BM91" s="226">
        <v>5.57</v>
      </c>
      <c r="BN91" s="39" t="s">
        <v>64</v>
      </c>
      <c r="BO91" s="354">
        <v>6</v>
      </c>
      <c r="BP91" s="354">
        <v>12</v>
      </c>
      <c r="BQ91" s="354">
        <v>5</v>
      </c>
      <c r="BR91" s="322">
        <v>360</v>
      </c>
      <c r="BS91" s="288">
        <v>384.20000000000005</v>
      </c>
      <c r="BT91" s="322" t="s">
        <v>182</v>
      </c>
      <c r="BU91" s="40" t="s">
        <v>67</v>
      </c>
      <c r="BV91" s="191"/>
      <c r="BW91" s="191"/>
      <c r="BX91" s="82"/>
    </row>
    <row r="92" spans="1:76" s="1" customFormat="1" x14ac:dyDescent="0.25">
      <c r="A92" s="241">
        <v>42781</v>
      </c>
      <c r="B92" s="45" t="s">
        <v>14</v>
      </c>
      <c r="C92" s="45" t="s">
        <v>2795</v>
      </c>
      <c r="D92" s="45" t="s">
        <v>240</v>
      </c>
      <c r="E92" s="45" t="s">
        <v>2614</v>
      </c>
      <c r="F92" s="96" t="s">
        <v>3314</v>
      </c>
      <c r="G92" s="59" t="s">
        <v>1009</v>
      </c>
      <c r="H92" s="29" t="s">
        <v>3313</v>
      </c>
      <c r="I92" s="355"/>
      <c r="J92" s="355"/>
      <c r="K92" s="29"/>
      <c r="L92" s="30"/>
      <c r="M92" s="30"/>
      <c r="N92" s="30"/>
      <c r="O92" s="80"/>
      <c r="P92" s="80"/>
      <c r="Q92" s="80"/>
      <c r="R92" s="80"/>
      <c r="S92" s="80"/>
      <c r="T92" s="80"/>
      <c r="U92" s="29"/>
      <c r="V92" s="41"/>
      <c r="W92" s="29">
        <v>86831</v>
      </c>
      <c r="X92" s="41" t="s">
        <v>2795</v>
      </c>
      <c r="Y92" s="37"/>
      <c r="Z92" s="41"/>
      <c r="AA92" s="29"/>
      <c r="AB92" s="355" t="s">
        <v>3029</v>
      </c>
      <c r="AC92" s="355" t="s">
        <v>3176</v>
      </c>
      <c r="AD92" s="59" t="s">
        <v>3177</v>
      </c>
      <c r="AE92" s="355"/>
      <c r="AF92" s="355" t="s">
        <v>3178</v>
      </c>
      <c r="AG92" s="355"/>
      <c r="AH92" s="355" t="s">
        <v>3179</v>
      </c>
      <c r="AI92" s="355"/>
      <c r="AJ92" s="355"/>
      <c r="AK92" s="355">
        <v>3831</v>
      </c>
      <c r="AL92" s="37"/>
      <c r="AM92" s="355"/>
      <c r="AN92" s="355">
        <v>59182</v>
      </c>
      <c r="AO92" s="355"/>
      <c r="AP92" s="355"/>
      <c r="AQ92" s="355">
        <v>33831</v>
      </c>
      <c r="AR92" s="63">
        <v>34.18</v>
      </c>
      <c r="AS92" s="27">
        <f t="shared" ref="AS92:AS94" si="32">AR92/0.444</f>
        <v>76.981981981981974</v>
      </c>
      <c r="AT92" s="329" t="s">
        <v>2956</v>
      </c>
      <c r="AU92" s="329" t="s">
        <v>2957</v>
      </c>
      <c r="AV92" s="44"/>
      <c r="AW92" s="44"/>
      <c r="AX92" s="44"/>
      <c r="AY92" s="352">
        <v>2.93</v>
      </c>
      <c r="AZ92" s="352">
        <v>6.94</v>
      </c>
      <c r="BA92" s="324">
        <v>0.61</v>
      </c>
      <c r="BB92" s="289">
        <v>3.8460000000000001</v>
      </c>
      <c r="BC92" s="289">
        <v>3.8479999999999999</v>
      </c>
      <c r="BD92" s="289">
        <v>8.0719999999999992</v>
      </c>
      <c r="BE92" s="287">
        <v>6.9132419777777773E-2</v>
      </c>
      <c r="BF92" s="324">
        <v>0.09</v>
      </c>
      <c r="BG92" s="286">
        <v>15.81</v>
      </c>
      <c r="BH92" s="286">
        <v>11.93</v>
      </c>
      <c r="BI92" s="286">
        <v>8.6199999999999992</v>
      </c>
      <c r="BJ92" s="286">
        <v>0.94088347569444442</v>
      </c>
      <c r="BK92" s="226">
        <v>0.87</v>
      </c>
      <c r="BL92" s="226">
        <v>0.7</v>
      </c>
      <c r="BM92" s="226">
        <v>9.2699999999999978</v>
      </c>
      <c r="BN92" s="39" t="s">
        <v>64</v>
      </c>
      <c r="BO92" s="354">
        <v>12</v>
      </c>
      <c r="BP92" s="354">
        <v>10</v>
      </c>
      <c r="BQ92" s="354">
        <v>5</v>
      </c>
      <c r="BR92" s="322">
        <v>600</v>
      </c>
      <c r="BS92" s="288">
        <v>513.49999999999989</v>
      </c>
      <c r="BT92" s="322" t="s">
        <v>69</v>
      </c>
      <c r="BU92" s="40" t="s">
        <v>1910</v>
      </c>
      <c r="BV92" s="191"/>
      <c r="BW92" s="191"/>
      <c r="BX92" s="82"/>
    </row>
    <row r="93" spans="1:76" s="1" customFormat="1" x14ac:dyDescent="0.25">
      <c r="A93" s="241">
        <v>42781</v>
      </c>
      <c r="B93" s="45" t="s">
        <v>14</v>
      </c>
      <c r="C93" s="45" t="s">
        <v>2818</v>
      </c>
      <c r="D93" s="45" t="s">
        <v>240</v>
      </c>
      <c r="E93" s="45" t="s">
        <v>2109</v>
      </c>
      <c r="F93" s="96" t="s">
        <v>3402</v>
      </c>
      <c r="G93" s="59" t="s">
        <v>278</v>
      </c>
      <c r="H93" s="29" t="s">
        <v>3401</v>
      </c>
      <c r="I93" s="355"/>
      <c r="J93" s="355"/>
      <c r="K93" s="29"/>
      <c r="L93" s="30"/>
      <c r="M93" s="30"/>
      <c r="N93" s="30"/>
      <c r="O93" s="80"/>
      <c r="P93" s="80"/>
      <c r="Q93" s="80"/>
      <c r="R93" s="80"/>
      <c r="S93" s="80"/>
      <c r="T93" s="80"/>
      <c r="U93" s="29" t="s">
        <v>3180</v>
      </c>
      <c r="V93" s="41"/>
      <c r="W93" s="29">
        <v>93058</v>
      </c>
      <c r="X93" s="41"/>
      <c r="Y93" s="37"/>
      <c r="Z93" s="41"/>
      <c r="AA93" s="29"/>
      <c r="AB93" s="355" t="s">
        <v>3181</v>
      </c>
      <c r="AC93" s="355" t="s">
        <v>3182</v>
      </c>
      <c r="AD93" s="59"/>
      <c r="AE93" s="355"/>
      <c r="AF93" s="355"/>
      <c r="AG93" s="355"/>
      <c r="AH93" s="355" t="s">
        <v>3183</v>
      </c>
      <c r="AI93" s="355" t="s">
        <v>2818</v>
      </c>
      <c r="AJ93" s="355"/>
      <c r="AK93" s="355">
        <v>200058</v>
      </c>
      <c r="AL93" s="37"/>
      <c r="AM93" s="355"/>
      <c r="AN93" s="355" t="s">
        <v>3184</v>
      </c>
      <c r="AO93" s="355"/>
      <c r="AP93" s="355"/>
      <c r="AQ93" s="355" t="s">
        <v>3185</v>
      </c>
      <c r="AR93" s="63">
        <v>20</v>
      </c>
      <c r="AS93" s="27">
        <f t="shared" si="32"/>
        <v>45.045045045045043</v>
      </c>
      <c r="AT93" s="329" t="s">
        <v>2958</v>
      </c>
      <c r="AU93" s="329" t="s">
        <v>2959</v>
      </c>
      <c r="AV93" s="44">
        <v>10.14</v>
      </c>
      <c r="AW93" s="44">
        <v>8.11</v>
      </c>
      <c r="AX93" s="44">
        <v>2.0099999999999998</v>
      </c>
      <c r="AY93" s="352"/>
      <c r="AZ93" s="352"/>
      <c r="BA93" s="324">
        <v>0.62</v>
      </c>
      <c r="BB93" s="289">
        <v>8.5359999999999996</v>
      </c>
      <c r="BC93" s="289">
        <v>2.4060000000000001</v>
      </c>
      <c r="BD93" s="289">
        <v>10.691999999999998</v>
      </c>
      <c r="BE93" s="287">
        <v>0.12707649899999998</v>
      </c>
      <c r="BF93" s="324">
        <v>0.2</v>
      </c>
      <c r="BG93" s="286">
        <v>15</v>
      </c>
      <c r="BH93" s="286">
        <v>11.25</v>
      </c>
      <c r="BI93" s="286">
        <v>9.3800000000000008</v>
      </c>
      <c r="BJ93" s="286">
        <v>0.916015625</v>
      </c>
      <c r="BK93" s="226">
        <v>0.78</v>
      </c>
      <c r="BL93" s="226">
        <v>0.82000000000000006</v>
      </c>
      <c r="BM93" s="226">
        <v>5.7</v>
      </c>
      <c r="BN93" s="39" t="s">
        <v>64</v>
      </c>
      <c r="BO93" s="354">
        <v>6</v>
      </c>
      <c r="BP93" s="354">
        <v>10</v>
      </c>
      <c r="BQ93" s="354">
        <v>4</v>
      </c>
      <c r="BR93" s="322">
        <v>240</v>
      </c>
      <c r="BS93" s="288">
        <v>278</v>
      </c>
      <c r="BT93" s="322" t="s">
        <v>69</v>
      </c>
      <c r="BU93" s="40" t="s">
        <v>67</v>
      </c>
      <c r="BV93" s="191"/>
      <c r="BW93" s="191"/>
      <c r="BX93" s="82"/>
    </row>
    <row r="94" spans="1:76" s="1" customFormat="1" ht="15" customHeight="1" x14ac:dyDescent="0.25">
      <c r="A94" s="241">
        <v>42781</v>
      </c>
      <c r="B94" s="45" t="s">
        <v>14</v>
      </c>
      <c r="C94" s="45" t="s">
        <v>2819</v>
      </c>
      <c r="D94" s="45" t="s">
        <v>240</v>
      </c>
      <c r="E94" s="45" t="s">
        <v>2248</v>
      </c>
      <c r="F94" s="96" t="s">
        <v>3404</v>
      </c>
      <c r="G94" s="59" t="s">
        <v>72</v>
      </c>
      <c r="H94" s="29" t="s">
        <v>3403</v>
      </c>
      <c r="I94" s="355"/>
      <c r="J94" s="355"/>
      <c r="K94" s="29"/>
      <c r="L94" s="30"/>
      <c r="M94" s="30"/>
      <c r="N94" s="30"/>
      <c r="O94" s="80"/>
      <c r="P94" s="80"/>
      <c r="Q94" s="80"/>
      <c r="R94" s="80"/>
      <c r="S94" s="80"/>
      <c r="T94" s="80"/>
      <c r="U94" s="29"/>
      <c r="V94" s="41"/>
      <c r="W94" s="29"/>
      <c r="X94" s="41"/>
      <c r="Y94" s="37"/>
      <c r="Z94" s="41"/>
      <c r="AA94" s="29"/>
      <c r="AB94" s="355" t="s">
        <v>3186</v>
      </c>
      <c r="AC94" s="355"/>
      <c r="AD94" s="59"/>
      <c r="AE94" s="355" t="s">
        <v>3187</v>
      </c>
      <c r="AF94" s="355"/>
      <c r="AG94" s="355"/>
      <c r="AH94" s="355"/>
      <c r="AI94" s="355" t="s">
        <v>2819</v>
      </c>
      <c r="AJ94" s="355"/>
      <c r="AK94" s="355">
        <v>200427</v>
      </c>
      <c r="AL94" s="37" t="s">
        <v>3188</v>
      </c>
      <c r="AM94" s="355" t="s">
        <v>3189</v>
      </c>
      <c r="AN94" s="355" t="s">
        <v>3190</v>
      </c>
      <c r="AO94" s="355"/>
      <c r="AP94" s="355"/>
      <c r="AQ94" s="355" t="s">
        <v>3191</v>
      </c>
      <c r="AR94" s="63">
        <v>33.42</v>
      </c>
      <c r="AS94" s="27">
        <f t="shared" si="32"/>
        <v>75.270270270270274</v>
      </c>
      <c r="AT94" s="329" t="s">
        <v>2960</v>
      </c>
      <c r="AU94" s="329" t="s">
        <v>2961</v>
      </c>
      <c r="AV94" s="44">
        <v>10.945</v>
      </c>
      <c r="AW94" s="44">
        <v>9.3109999999999999</v>
      </c>
      <c r="AX94" s="44">
        <v>2.3029999999999999</v>
      </c>
      <c r="AY94" s="352"/>
      <c r="AZ94" s="352"/>
      <c r="BA94" s="324">
        <v>0.71</v>
      </c>
      <c r="BB94" s="289">
        <v>9.6359999999999992</v>
      </c>
      <c r="BC94" s="289">
        <v>2.6360000000000001</v>
      </c>
      <c r="BD94" s="289">
        <v>11.251999999999999</v>
      </c>
      <c r="BE94" s="287">
        <v>0.1653972112222222</v>
      </c>
      <c r="BF94" s="324">
        <v>0.18</v>
      </c>
      <c r="BG94" s="286">
        <v>16</v>
      </c>
      <c r="BH94" s="286">
        <v>11.67</v>
      </c>
      <c r="BI94" s="286">
        <v>10.54</v>
      </c>
      <c r="BJ94" s="286">
        <v>1.1389055555555554</v>
      </c>
      <c r="BK94" s="226">
        <v>0.7</v>
      </c>
      <c r="BL94" s="226">
        <v>0.8899999999999999</v>
      </c>
      <c r="BM94" s="226">
        <v>6.04</v>
      </c>
      <c r="BN94" s="39" t="s">
        <v>64</v>
      </c>
      <c r="BO94" s="354">
        <v>6</v>
      </c>
      <c r="BP94" s="354">
        <v>10</v>
      </c>
      <c r="BQ94" s="354">
        <v>4</v>
      </c>
      <c r="BR94" s="322">
        <v>240</v>
      </c>
      <c r="BS94" s="288">
        <v>291.60000000000002</v>
      </c>
      <c r="BT94" s="322" t="s">
        <v>182</v>
      </c>
      <c r="BU94" s="40" t="s">
        <v>67</v>
      </c>
      <c r="BV94" s="191"/>
      <c r="BW94" s="191"/>
      <c r="BX94" s="82"/>
    </row>
    <row r="95" spans="1:76" s="1" customFormat="1" x14ac:dyDescent="0.25">
      <c r="A95" s="241">
        <v>42725</v>
      </c>
      <c r="B95" s="323" t="s">
        <v>14</v>
      </c>
      <c r="C95" s="323" t="s">
        <v>2590</v>
      </c>
      <c r="D95" s="323" t="s">
        <v>240</v>
      </c>
      <c r="E95" s="323" t="s">
        <v>2248</v>
      </c>
      <c r="F95" s="96" t="s">
        <v>2671</v>
      </c>
      <c r="G95" s="59" t="s">
        <v>1338</v>
      </c>
      <c r="H95" s="231" t="s">
        <v>2670</v>
      </c>
      <c r="I95" s="336"/>
      <c r="J95" s="336"/>
      <c r="K95" s="29"/>
      <c r="L95" s="30"/>
      <c r="M95" s="30"/>
      <c r="N95" s="30"/>
      <c r="O95" s="80"/>
      <c r="P95" s="80"/>
      <c r="Q95" s="80"/>
      <c r="R95" s="80"/>
      <c r="S95" s="80"/>
      <c r="T95" s="80"/>
      <c r="U95" s="29"/>
      <c r="V95" s="41"/>
      <c r="W95" s="29">
        <v>94072</v>
      </c>
      <c r="X95" s="41"/>
      <c r="Y95" s="37"/>
      <c r="Z95" s="41"/>
      <c r="AA95" s="29"/>
      <c r="AB95" s="336"/>
      <c r="AC95" s="336"/>
      <c r="AD95" s="59"/>
      <c r="AE95" s="336"/>
      <c r="AF95" s="336"/>
      <c r="AG95" s="336"/>
      <c r="AH95" s="336" t="s">
        <v>2669</v>
      </c>
      <c r="AI95" s="336"/>
      <c r="AJ95" s="336"/>
      <c r="AK95" s="336"/>
      <c r="AL95" s="37"/>
      <c r="AM95" s="336"/>
      <c r="AN95" s="336"/>
      <c r="AO95" s="336"/>
      <c r="AP95" s="336"/>
      <c r="AQ95" s="336" t="s">
        <v>2668</v>
      </c>
      <c r="AR95" s="63">
        <v>13.13</v>
      </c>
      <c r="AS95" s="27">
        <f>AR95/0.444</f>
        <v>29.572072072072075</v>
      </c>
      <c r="AT95" s="214" t="s">
        <v>2592</v>
      </c>
      <c r="AU95" s="214" t="s">
        <v>2593</v>
      </c>
      <c r="AV95" s="338">
        <v>10.55</v>
      </c>
      <c r="AW95" s="338">
        <v>7.44</v>
      </c>
      <c r="AX95" s="338">
        <v>1.18</v>
      </c>
      <c r="AY95" s="283"/>
      <c r="AZ95" s="283"/>
      <c r="BA95" s="324">
        <v>0.47</v>
      </c>
      <c r="BB95" s="289">
        <v>7.7859999999999996</v>
      </c>
      <c r="BC95" s="289">
        <v>2.536</v>
      </c>
      <c r="BD95" s="289">
        <v>12.821999999999999</v>
      </c>
      <c r="BE95" s="287">
        <v>0.14651283872222221</v>
      </c>
      <c r="BF95" s="324">
        <v>0.22</v>
      </c>
      <c r="BG95" s="286">
        <v>15.63</v>
      </c>
      <c r="BH95" s="286">
        <v>13.5</v>
      </c>
      <c r="BI95" s="286">
        <v>8.5</v>
      </c>
      <c r="BJ95" s="287">
        <v>1.0379296874999999</v>
      </c>
      <c r="BK95" s="226">
        <v>0.92</v>
      </c>
      <c r="BL95" s="227"/>
      <c r="BM95" s="227"/>
      <c r="BN95" s="39"/>
      <c r="BO95" s="205"/>
      <c r="BP95" s="205"/>
      <c r="BQ95" s="205"/>
      <c r="BR95" s="322"/>
      <c r="BS95" s="288"/>
      <c r="BT95" s="288"/>
      <c r="BU95" s="229"/>
      <c r="BV95" s="191"/>
      <c r="BW95" s="191"/>
      <c r="BX95" s="43"/>
    </row>
    <row r="96" spans="1:76" s="1" customFormat="1" x14ac:dyDescent="0.25">
      <c r="A96" s="241">
        <v>42725</v>
      </c>
      <c r="B96" s="323" t="s">
        <v>14</v>
      </c>
      <c r="C96" s="323" t="s">
        <v>2591</v>
      </c>
      <c r="D96" s="323" t="s">
        <v>240</v>
      </c>
      <c r="E96" s="323" t="s">
        <v>2189</v>
      </c>
      <c r="F96" s="96" t="s">
        <v>2679</v>
      </c>
      <c r="G96" s="59" t="s">
        <v>223</v>
      </c>
      <c r="H96" s="231" t="s">
        <v>2678</v>
      </c>
      <c r="I96" s="336"/>
      <c r="J96" s="336"/>
      <c r="K96" s="29"/>
      <c r="L96" s="30"/>
      <c r="M96" s="30"/>
      <c r="N96" s="30"/>
      <c r="O96" s="80"/>
      <c r="P96" s="80"/>
      <c r="Q96" s="80"/>
      <c r="R96" s="80"/>
      <c r="S96" s="80"/>
      <c r="T96" s="80"/>
      <c r="U96" s="29"/>
      <c r="V96" s="41"/>
      <c r="W96" s="29"/>
      <c r="X96" s="41"/>
      <c r="Y96" s="37"/>
      <c r="Z96" s="41"/>
      <c r="AA96" s="29"/>
      <c r="AB96" s="336"/>
      <c r="AC96" s="336"/>
      <c r="AD96" s="59" t="s">
        <v>2672</v>
      </c>
      <c r="AE96" s="336"/>
      <c r="AF96" s="336" t="s">
        <v>2673</v>
      </c>
      <c r="AG96" s="336"/>
      <c r="AH96" s="336" t="s">
        <v>2674</v>
      </c>
      <c r="AI96" s="336"/>
      <c r="AJ96" s="336"/>
      <c r="AK96" s="336"/>
      <c r="AL96" s="37" t="s">
        <v>2675</v>
      </c>
      <c r="AM96" s="336"/>
      <c r="AN96" s="336"/>
      <c r="AO96" s="336"/>
      <c r="AP96" s="336" t="s">
        <v>2676</v>
      </c>
      <c r="AQ96" s="336" t="s">
        <v>2677</v>
      </c>
      <c r="AR96" s="63">
        <v>36.96</v>
      </c>
      <c r="AS96" s="27">
        <f t="shared" ref="AS96:AS97" si="33">AR96/0.444</f>
        <v>83.243243243243242</v>
      </c>
      <c r="AT96" s="214" t="s">
        <v>2594</v>
      </c>
      <c r="AU96" s="214" t="s">
        <v>2595</v>
      </c>
      <c r="AV96" s="283"/>
      <c r="AW96" s="283"/>
      <c r="AX96" s="283"/>
      <c r="AY96" s="338">
        <v>3.66</v>
      </c>
      <c r="AZ96" s="338">
        <v>5.53</v>
      </c>
      <c r="BA96" s="324">
        <v>1.1499999999999999</v>
      </c>
      <c r="BB96" s="289">
        <f>3.81+0.036</f>
        <v>3.8460000000000001</v>
      </c>
      <c r="BC96" s="289">
        <f>3.81+0.036</f>
        <v>3.8460000000000001</v>
      </c>
      <c r="BD96" s="289">
        <f>5.75+0.036+0.036</f>
        <v>5.8219999999999992</v>
      </c>
      <c r="BE96" s="287">
        <f>(BD96*BC96*BB96)/1728</f>
        <v>4.9836441291666665E-2</v>
      </c>
      <c r="BF96" s="324">
        <v>0.09</v>
      </c>
      <c r="BG96" s="286">
        <v>16</v>
      </c>
      <c r="BH96" s="286">
        <v>12</v>
      </c>
      <c r="BI96" s="286">
        <f>5.87+0.5</f>
        <v>6.37</v>
      </c>
      <c r="BJ96" s="287">
        <f>(BI96*BH96*BG96)/1728</f>
        <v>0.70777777777777773</v>
      </c>
      <c r="BK96" s="226">
        <v>0.76</v>
      </c>
      <c r="BL96" s="226"/>
      <c r="BM96" s="226"/>
      <c r="BN96" s="39" t="s">
        <v>64</v>
      </c>
      <c r="BO96" s="205">
        <v>12</v>
      </c>
      <c r="BP96" s="205">
        <v>10</v>
      </c>
      <c r="BQ96" s="205">
        <v>7</v>
      </c>
      <c r="BR96" s="322">
        <f>BO96*BP96*BQ96</f>
        <v>840</v>
      </c>
      <c r="BS96" s="288">
        <f>((((BA96+BF96)*BO96)+BK96)*BP96*BQ96)+50</f>
        <v>1144.7999999999997</v>
      </c>
      <c r="BT96" s="288" t="s">
        <v>69</v>
      </c>
      <c r="BU96" s="229" t="s">
        <v>1910</v>
      </c>
      <c r="BV96" s="191"/>
      <c r="BW96" s="191"/>
      <c r="BX96" s="43"/>
    </row>
    <row r="97" spans="1:76" s="1" customFormat="1" x14ac:dyDescent="0.25">
      <c r="A97" s="241">
        <v>42725</v>
      </c>
      <c r="B97" s="323" t="s">
        <v>14</v>
      </c>
      <c r="C97" s="323" t="s">
        <v>2596</v>
      </c>
      <c r="D97" s="323" t="s">
        <v>240</v>
      </c>
      <c r="E97" s="323" t="s">
        <v>2248</v>
      </c>
      <c r="F97" s="96" t="s">
        <v>2684</v>
      </c>
      <c r="G97" s="59" t="s">
        <v>1178</v>
      </c>
      <c r="H97" s="231" t="s">
        <v>2683</v>
      </c>
      <c r="I97" s="336" t="s">
        <v>187</v>
      </c>
      <c r="J97" s="336">
        <v>94775933</v>
      </c>
      <c r="K97" s="29"/>
      <c r="L97" s="30"/>
      <c r="M97" s="30"/>
      <c r="N97" s="30"/>
      <c r="O97" s="80"/>
      <c r="P97" s="80"/>
      <c r="Q97" s="80"/>
      <c r="R97" s="80"/>
      <c r="S97" s="80"/>
      <c r="T97" s="80"/>
      <c r="U97" s="29"/>
      <c r="V97" s="41"/>
      <c r="W97" s="29"/>
      <c r="X97" s="41"/>
      <c r="Y97" s="37"/>
      <c r="Z97" s="41"/>
      <c r="AA97" s="29"/>
      <c r="AB97" s="336"/>
      <c r="AC97" s="336" t="s">
        <v>2680</v>
      </c>
      <c r="AD97" s="59"/>
      <c r="AE97" s="336"/>
      <c r="AF97" s="336"/>
      <c r="AG97" s="336"/>
      <c r="AH97" s="336"/>
      <c r="AI97" s="336"/>
      <c r="AJ97" s="336"/>
      <c r="AK97" s="336"/>
      <c r="AL97" s="37"/>
      <c r="AM97" s="336" t="s">
        <v>2682</v>
      </c>
      <c r="AN97" s="336" t="s">
        <v>2681</v>
      </c>
      <c r="AO97" s="336"/>
      <c r="AP97" s="336" t="s">
        <v>2681</v>
      </c>
      <c r="AQ97" s="336"/>
      <c r="AR97" s="63">
        <v>12.66</v>
      </c>
      <c r="AS97" s="27">
        <f t="shared" si="33"/>
        <v>28.513513513513512</v>
      </c>
      <c r="AT97" s="214" t="s">
        <v>2601</v>
      </c>
      <c r="AU97" s="214" t="s">
        <v>2602</v>
      </c>
      <c r="AV97" s="338">
        <v>10.73</v>
      </c>
      <c r="AW97" s="338">
        <v>10.1</v>
      </c>
      <c r="AX97" s="338">
        <v>1.67</v>
      </c>
      <c r="AY97" s="283"/>
      <c r="AZ97" s="283"/>
      <c r="BA97" s="324">
        <v>0.63</v>
      </c>
      <c r="BB97" s="289">
        <f>10.31+0.036</f>
        <v>10.346</v>
      </c>
      <c r="BC97" s="289">
        <f>1.85+0.036</f>
        <v>1.8860000000000001</v>
      </c>
      <c r="BD97" s="289">
        <f>10.98+0.036+0.036</f>
        <v>11.052</v>
      </c>
      <c r="BE97" s="287">
        <f t="shared" ref="BE97:BE123" si="34">(BD97*BC97*BB97)/1728</f>
        <v>0.12479905608333333</v>
      </c>
      <c r="BF97" s="324">
        <v>0.25</v>
      </c>
      <c r="BG97" s="286">
        <f>11.42+0.25</f>
        <v>11.67</v>
      </c>
      <c r="BH97" s="286">
        <f>11.22+0.25</f>
        <v>11.47</v>
      </c>
      <c r="BI97" s="286">
        <f>10.78+0.5</f>
        <v>11.28</v>
      </c>
      <c r="BJ97" s="287">
        <f t="shared" ref="BJ97:BJ123" si="35">(BI97*BH97*BG97)/1728</f>
        <v>0.87377504166666653</v>
      </c>
      <c r="BK97" s="226">
        <v>0.2</v>
      </c>
      <c r="BL97" s="226"/>
      <c r="BM97" s="226"/>
      <c r="BN97" s="39" t="s">
        <v>64</v>
      </c>
      <c r="BO97" s="205">
        <v>6</v>
      </c>
      <c r="BP97" s="205">
        <v>12</v>
      </c>
      <c r="BQ97" s="205">
        <v>3</v>
      </c>
      <c r="BR97" s="322">
        <f t="shared" ref="BR97:BR123" si="36">BO97*BP97*BQ97</f>
        <v>216</v>
      </c>
      <c r="BS97" s="288">
        <f t="shared" ref="BS97:BS123" si="37">((((BA97+BF97)*BO97)+BK97)*BP97*BQ97)+50</f>
        <v>247.28000000000003</v>
      </c>
      <c r="BT97" s="288" t="s">
        <v>182</v>
      </c>
      <c r="BU97" s="229" t="s">
        <v>67</v>
      </c>
      <c r="BV97" s="191"/>
      <c r="BW97" s="191"/>
      <c r="BX97" s="43"/>
    </row>
    <row r="98" spans="1:76" s="1" customFormat="1" x14ac:dyDescent="0.25">
      <c r="A98" s="241">
        <v>42725</v>
      </c>
      <c r="B98" s="323" t="s">
        <v>36</v>
      </c>
      <c r="C98" s="323" t="s">
        <v>2565</v>
      </c>
      <c r="D98" s="323" t="s">
        <v>240</v>
      </c>
      <c r="E98" s="323" t="s">
        <v>2248</v>
      </c>
      <c r="F98" s="96" t="s">
        <v>2571</v>
      </c>
      <c r="G98" s="59" t="s">
        <v>1009</v>
      </c>
      <c r="H98" s="231" t="s">
        <v>2686</v>
      </c>
      <c r="I98" s="336"/>
      <c r="J98" s="336"/>
      <c r="K98" s="29"/>
      <c r="L98" s="30"/>
      <c r="M98" s="30"/>
      <c r="N98" s="30"/>
      <c r="O98" s="80"/>
      <c r="P98" s="80"/>
      <c r="Q98" s="80"/>
      <c r="R98" s="80"/>
      <c r="S98" s="80"/>
      <c r="T98" s="80"/>
      <c r="U98" s="29"/>
      <c r="V98" s="41" t="s">
        <v>2685</v>
      </c>
      <c r="W98" s="29"/>
      <c r="X98" s="41"/>
      <c r="Y98" s="37"/>
      <c r="Z98" s="41"/>
      <c r="AA98" s="29"/>
      <c r="AB98" s="336"/>
      <c r="AC98" s="336"/>
      <c r="AD98" s="59" t="s">
        <v>2572</v>
      </c>
      <c r="AE98" s="336"/>
      <c r="AF98" s="336" t="s">
        <v>2573</v>
      </c>
      <c r="AG98" s="336"/>
      <c r="AH98" s="336" t="s">
        <v>2574</v>
      </c>
      <c r="AI98" s="336"/>
      <c r="AJ98" s="336"/>
      <c r="AK98" s="336"/>
      <c r="AL98" s="37"/>
      <c r="AM98" s="336"/>
      <c r="AN98" s="336"/>
      <c r="AO98" s="336"/>
      <c r="AP98" s="336"/>
      <c r="AQ98" s="336"/>
      <c r="AR98" s="63">
        <v>17.43</v>
      </c>
      <c r="AS98" s="27"/>
      <c r="AT98" s="214" t="s">
        <v>2603</v>
      </c>
      <c r="AU98" s="214" t="s">
        <v>2604</v>
      </c>
      <c r="AV98" s="338">
        <v>11.38</v>
      </c>
      <c r="AW98" s="338">
        <v>6.95</v>
      </c>
      <c r="AX98" s="338">
        <v>2.74</v>
      </c>
      <c r="AY98" s="283"/>
      <c r="AZ98" s="283"/>
      <c r="BA98" s="324">
        <v>0.69</v>
      </c>
      <c r="BB98" s="289">
        <f>7.16+0.036</f>
        <v>7.1959999999999997</v>
      </c>
      <c r="BC98" s="289">
        <f>3.03+0.036</f>
        <v>3.0659999999999998</v>
      </c>
      <c r="BD98" s="289">
        <f>11.57+0.036+0.036</f>
        <v>11.641999999999999</v>
      </c>
      <c r="BE98" s="287">
        <f t="shared" si="34"/>
        <v>0.14864392413888886</v>
      </c>
      <c r="BF98" s="324">
        <v>0.25</v>
      </c>
      <c r="BG98" s="286">
        <f>11.81+0.25</f>
        <v>12.06</v>
      </c>
      <c r="BH98" s="286">
        <f>9.49+0.25</f>
        <v>9.74</v>
      </c>
      <c r="BI98" s="286">
        <f>7.64+0.5</f>
        <v>8.14</v>
      </c>
      <c r="BJ98" s="287">
        <f t="shared" si="35"/>
        <v>0.55333345833333336</v>
      </c>
      <c r="BK98" s="226">
        <v>0.2</v>
      </c>
      <c r="BL98" s="226"/>
      <c r="BM98" s="226"/>
      <c r="BN98" s="39" t="s">
        <v>64</v>
      </c>
      <c r="BO98" s="205">
        <v>3</v>
      </c>
      <c r="BP98" s="205">
        <v>13</v>
      </c>
      <c r="BQ98" s="205">
        <v>5</v>
      </c>
      <c r="BR98" s="322">
        <f t="shared" si="36"/>
        <v>195</v>
      </c>
      <c r="BS98" s="288">
        <f t="shared" si="37"/>
        <v>246.29999999999998</v>
      </c>
      <c r="BT98" s="288" t="s">
        <v>182</v>
      </c>
      <c r="BU98" s="229" t="s">
        <v>67</v>
      </c>
      <c r="BV98" s="191"/>
      <c r="BW98" s="191"/>
      <c r="BX98" s="43"/>
    </row>
    <row r="99" spans="1:76" s="1" customFormat="1" x14ac:dyDescent="0.25">
      <c r="A99" s="241">
        <v>42725</v>
      </c>
      <c r="B99" s="323" t="s">
        <v>14</v>
      </c>
      <c r="C99" s="323" t="s">
        <v>2597</v>
      </c>
      <c r="D99" s="323" t="s">
        <v>240</v>
      </c>
      <c r="E99" s="323" t="s">
        <v>2109</v>
      </c>
      <c r="F99" s="96" t="s">
        <v>2691</v>
      </c>
      <c r="G99" s="59" t="s">
        <v>1493</v>
      </c>
      <c r="H99" s="231" t="s">
        <v>2690</v>
      </c>
      <c r="I99" s="336"/>
      <c r="J99" s="336"/>
      <c r="K99" s="29"/>
      <c r="L99" s="30"/>
      <c r="M99" s="30"/>
      <c r="N99" s="30"/>
      <c r="O99" s="80"/>
      <c r="P99" s="80"/>
      <c r="Q99" s="80"/>
      <c r="R99" s="80"/>
      <c r="S99" s="80"/>
      <c r="T99" s="80"/>
      <c r="U99" s="29"/>
      <c r="V99" s="41"/>
      <c r="W99" s="29"/>
      <c r="X99" s="41"/>
      <c r="Y99" s="37"/>
      <c r="Z99" s="41"/>
      <c r="AA99" s="29"/>
      <c r="AB99" s="336"/>
      <c r="AC99" s="336" t="s">
        <v>2687</v>
      </c>
      <c r="AD99" s="59"/>
      <c r="AE99" s="336"/>
      <c r="AF99" s="336"/>
      <c r="AG99" s="336"/>
      <c r="AH99" s="336"/>
      <c r="AI99" s="336"/>
      <c r="AJ99" s="336"/>
      <c r="AK99" s="336">
        <v>200212</v>
      </c>
      <c r="AL99" s="37"/>
      <c r="AM99" s="336"/>
      <c r="AN99" s="336" t="s">
        <v>2688</v>
      </c>
      <c r="AO99" s="336"/>
      <c r="AP99" s="336" t="s">
        <v>2688</v>
      </c>
      <c r="AQ99" s="336" t="s">
        <v>2689</v>
      </c>
      <c r="AR99" s="63">
        <v>12.97</v>
      </c>
      <c r="AS99" s="27">
        <f t="shared" ref="AS99:AS103" si="38">AR99/0.444</f>
        <v>29.211711711711711</v>
      </c>
      <c r="AT99" s="214" t="s">
        <v>2605</v>
      </c>
      <c r="AU99" s="214" t="s">
        <v>2606</v>
      </c>
      <c r="AV99" s="338">
        <v>7.78</v>
      </c>
      <c r="AW99" s="338">
        <v>5.87</v>
      </c>
      <c r="AX99" s="338">
        <v>1.99</v>
      </c>
      <c r="AY99" s="283"/>
      <c r="AZ99" s="283"/>
      <c r="BA99" s="324">
        <v>0.47</v>
      </c>
      <c r="BB99" s="289">
        <f>7.75+0.036</f>
        <v>7.7859999999999996</v>
      </c>
      <c r="BC99" s="289">
        <f>2.5+0.036</f>
        <v>2.536</v>
      </c>
      <c r="BD99" s="289">
        <f>9.036+0.036</f>
        <v>9.0719999999999992</v>
      </c>
      <c r="BE99" s="287">
        <f t="shared" si="34"/>
        <v>0.10366280399999998</v>
      </c>
      <c r="BF99" s="324">
        <v>0.16</v>
      </c>
      <c r="BG99" s="286">
        <f>15.12+0.25</f>
        <v>15.37</v>
      </c>
      <c r="BH99" s="286">
        <v>9.75</v>
      </c>
      <c r="BI99" s="286">
        <v>9</v>
      </c>
      <c r="BJ99" s="287">
        <f t="shared" si="35"/>
        <v>0.78050781250000001</v>
      </c>
      <c r="BK99" s="290">
        <v>0.67</v>
      </c>
      <c r="BL99" s="290"/>
      <c r="BM99" s="290"/>
      <c r="BN99" s="39" t="s">
        <v>64</v>
      </c>
      <c r="BO99" s="205">
        <v>6</v>
      </c>
      <c r="BP99" s="205">
        <v>12</v>
      </c>
      <c r="BQ99" s="205">
        <v>5</v>
      </c>
      <c r="BR99" s="322">
        <f t="shared" si="36"/>
        <v>360</v>
      </c>
      <c r="BS99" s="288">
        <f t="shared" si="37"/>
        <v>317</v>
      </c>
      <c r="BT99" s="288" t="s">
        <v>69</v>
      </c>
      <c r="BU99" s="229" t="s">
        <v>67</v>
      </c>
      <c r="BV99" s="191"/>
      <c r="BW99" s="191"/>
      <c r="BX99" s="43"/>
    </row>
    <row r="100" spans="1:76" s="1" customFormat="1" x14ac:dyDescent="0.25">
      <c r="A100" s="241">
        <v>42725</v>
      </c>
      <c r="B100" s="323" t="s">
        <v>14</v>
      </c>
      <c r="C100" s="323" t="s">
        <v>2598</v>
      </c>
      <c r="D100" s="323" t="s">
        <v>240</v>
      </c>
      <c r="E100" s="323" t="s">
        <v>2109</v>
      </c>
      <c r="F100" s="96" t="s">
        <v>2700</v>
      </c>
      <c r="G100" s="59" t="s">
        <v>261</v>
      </c>
      <c r="H100" s="231" t="s">
        <v>2699</v>
      </c>
      <c r="I100" s="336"/>
      <c r="J100" s="336"/>
      <c r="K100" s="29"/>
      <c r="L100" s="30"/>
      <c r="M100" s="30"/>
      <c r="N100" s="30"/>
      <c r="O100" s="80"/>
      <c r="P100" s="80"/>
      <c r="Q100" s="80"/>
      <c r="R100" s="80"/>
      <c r="S100" s="80"/>
      <c r="T100" s="80"/>
      <c r="U100" s="29" t="s">
        <v>2692</v>
      </c>
      <c r="V100" s="41"/>
      <c r="W100" s="29">
        <v>83480</v>
      </c>
      <c r="X100" s="41"/>
      <c r="Y100" s="37"/>
      <c r="Z100" s="41"/>
      <c r="AA100" s="29"/>
      <c r="AB100" s="336" t="s">
        <v>2693</v>
      </c>
      <c r="AC100" s="336" t="s">
        <v>2694</v>
      </c>
      <c r="AD100" s="59"/>
      <c r="AE100" s="336"/>
      <c r="AF100" s="336"/>
      <c r="AG100" s="336"/>
      <c r="AH100" s="336"/>
      <c r="AI100" s="336"/>
      <c r="AJ100" s="336"/>
      <c r="AK100" s="336">
        <v>9480</v>
      </c>
      <c r="AL100" s="37" t="s">
        <v>2695</v>
      </c>
      <c r="AM100" s="336" t="s">
        <v>2697</v>
      </c>
      <c r="AN100" s="336" t="s">
        <v>2696</v>
      </c>
      <c r="AO100" s="336"/>
      <c r="AP100" s="336" t="s">
        <v>2698</v>
      </c>
      <c r="AQ100" s="336">
        <v>49480</v>
      </c>
      <c r="AR100" s="63">
        <v>13.12</v>
      </c>
      <c r="AS100" s="27">
        <f t="shared" si="38"/>
        <v>29.549549549549546</v>
      </c>
      <c r="AT100" s="214" t="s">
        <v>2607</v>
      </c>
      <c r="AU100" s="214" t="s">
        <v>2608</v>
      </c>
      <c r="AV100" s="338">
        <v>10.14</v>
      </c>
      <c r="AW100" s="338">
        <v>6.4</v>
      </c>
      <c r="AX100" s="338">
        <v>2.08</v>
      </c>
      <c r="AY100" s="283"/>
      <c r="AZ100" s="283"/>
      <c r="BA100" s="324">
        <v>0.48</v>
      </c>
      <c r="BB100" s="289">
        <f>6.85+0.036</f>
        <v>6.8859999999999992</v>
      </c>
      <c r="BC100" s="289">
        <f>2.12+0.036</f>
        <v>2.1560000000000001</v>
      </c>
      <c r="BD100" s="289">
        <f>10.16+0.036+0.036</f>
        <v>10.231999999999999</v>
      </c>
      <c r="BE100" s="287">
        <f t="shared" si="34"/>
        <v>8.7908843814814813E-2</v>
      </c>
      <c r="BF100" s="324">
        <v>0.2</v>
      </c>
      <c r="BG100" s="286">
        <f>11.81+0.25</f>
        <v>12.06</v>
      </c>
      <c r="BH100" s="286">
        <f>11.42+0.25</f>
        <v>11.67</v>
      </c>
      <c r="BI100" s="286">
        <f>9.45+0.5</f>
        <v>9.9499999999999993</v>
      </c>
      <c r="BJ100" s="287">
        <f t="shared" si="35"/>
        <v>0.81039640624999987</v>
      </c>
      <c r="BK100" s="226">
        <v>0.2</v>
      </c>
      <c r="BL100" s="226"/>
      <c r="BM100" s="226"/>
      <c r="BN100" s="39" t="s">
        <v>64</v>
      </c>
      <c r="BO100" s="205">
        <v>6</v>
      </c>
      <c r="BP100" s="205">
        <v>12</v>
      </c>
      <c r="BQ100" s="205">
        <v>4</v>
      </c>
      <c r="BR100" s="322">
        <f t="shared" si="36"/>
        <v>288</v>
      </c>
      <c r="BS100" s="288">
        <f t="shared" si="37"/>
        <v>255.44</v>
      </c>
      <c r="BT100" s="288" t="s">
        <v>1412</v>
      </c>
      <c r="BU100" s="229" t="s">
        <v>67</v>
      </c>
      <c r="BV100" s="191"/>
      <c r="BW100" s="191"/>
      <c r="BX100" s="43"/>
    </row>
    <row r="101" spans="1:76" s="1" customFormat="1" x14ac:dyDescent="0.25">
      <c r="A101" s="241">
        <v>42725</v>
      </c>
      <c r="B101" s="323" t="s">
        <v>14</v>
      </c>
      <c r="C101" s="323" t="s">
        <v>2599</v>
      </c>
      <c r="D101" s="323" t="s">
        <v>240</v>
      </c>
      <c r="E101" s="323" t="s">
        <v>2600</v>
      </c>
      <c r="F101" s="96" t="s">
        <v>2708</v>
      </c>
      <c r="G101" s="59" t="s">
        <v>187</v>
      </c>
      <c r="H101" s="231">
        <v>23327845</v>
      </c>
      <c r="I101" s="336"/>
      <c r="J101" s="336"/>
      <c r="K101" s="29"/>
      <c r="L101" s="30"/>
      <c r="M101" s="30"/>
      <c r="N101" s="30"/>
      <c r="O101" s="80"/>
      <c r="P101" s="80"/>
      <c r="Q101" s="80"/>
      <c r="R101" s="80"/>
      <c r="S101" s="80"/>
      <c r="T101" s="80"/>
      <c r="U101" s="29" t="s">
        <v>2701</v>
      </c>
      <c r="V101" s="41"/>
      <c r="W101" s="29"/>
      <c r="X101" s="41" t="s">
        <v>2599</v>
      </c>
      <c r="Y101" s="37"/>
      <c r="Z101" s="41"/>
      <c r="AA101" s="29"/>
      <c r="AB101" s="336"/>
      <c r="AC101" s="336"/>
      <c r="AD101" s="59"/>
      <c r="AE101" s="336"/>
      <c r="AF101" s="336"/>
      <c r="AG101" s="336"/>
      <c r="AH101" s="336"/>
      <c r="AI101" s="336"/>
      <c r="AJ101" s="336"/>
      <c r="AK101" s="336"/>
      <c r="AL101" s="37"/>
      <c r="AM101" s="336"/>
      <c r="AN101" s="336" t="s">
        <v>2702</v>
      </c>
      <c r="AO101" s="336"/>
      <c r="AP101" s="336"/>
      <c r="AQ101" s="336"/>
      <c r="AR101" s="63">
        <v>57.6</v>
      </c>
      <c r="AS101" s="27">
        <f t="shared" si="38"/>
        <v>129.72972972972974</v>
      </c>
      <c r="AT101" s="214" t="s">
        <v>2609</v>
      </c>
      <c r="AU101" s="214" t="s">
        <v>2610</v>
      </c>
      <c r="AV101" s="283"/>
      <c r="AW101" s="283"/>
      <c r="AX101" s="283"/>
      <c r="AY101" s="338">
        <v>5.4</v>
      </c>
      <c r="AZ101" s="338">
        <v>13.15</v>
      </c>
      <c r="BA101" s="324">
        <v>1.29</v>
      </c>
      <c r="BB101" s="289">
        <f>5.75+0.036</f>
        <v>5.7859999999999996</v>
      </c>
      <c r="BC101" s="289">
        <f>5.75+0.036</f>
        <v>5.7859999999999996</v>
      </c>
      <c r="BD101" s="289">
        <f>13.5+0.036+0.036</f>
        <v>13.571999999999999</v>
      </c>
      <c r="BE101" s="287">
        <f t="shared" si="34"/>
        <v>0.26294018941666658</v>
      </c>
      <c r="BF101" s="324">
        <v>0.25</v>
      </c>
      <c r="BG101" s="286">
        <v>18</v>
      </c>
      <c r="BH101" s="286">
        <v>13.75</v>
      </c>
      <c r="BI101" s="286">
        <v>14</v>
      </c>
      <c r="BJ101" s="287">
        <f t="shared" si="35"/>
        <v>2.0052083333333335</v>
      </c>
      <c r="BK101" s="290">
        <v>1.26</v>
      </c>
      <c r="BL101" s="290"/>
      <c r="BM101" s="290"/>
      <c r="BN101" s="39" t="s">
        <v>64</v>
      </c>
      <c r="BO101" s="205">
        <v>6</v>
      </c>
      <c r="BP101" s="205">
        <v>6</v>
      </c>
      <c r="BQ101" s="205">
        <v>3</v>
      </c>
      <c r="BR101" s="322">
        <f t="shared" si="36"/>
        <v>108</v>
      </c>
      <c r="BS101" s="288">
        <f t="shared" si="37"/>
        <v>239</v>
      </c>
      <c r="BT101" s="288" t="s">
        <v>62</v>
      </c>
      <c r="BU101" s="229" t="s">
        <v>67</v>
      </c>
      <c r="BV101" s="191"/>
      <c r="BW101" s="191"/>
      <c r="BX101" s="43"/>
    </row>
    <row r="102" spans="1:76" s="1" customFormat="1" x14ac:dyDescent="0.25">
      <c r="A102" s="241">
        <v>42725</v>
      </c>
      <c r="B102" s="323" t="s">
        <v>14</v>
      </c>
      <c r="C102" s="323" t="s">
        <v>2611</v>
      </c>
      <c r="D102" s="323" t="s">
        <v>240</v>
      </c>
      <c r="E102" s="323" t="s">
        <v>2248</v>
      </c>
      <c r="F102" s="96" t="s">
        <v>2707</v>
      </c>
      <c r="G102" s="59" t="s">
        <v>72</v>
      </c>
      <c r="H102" s="231" t="s">
        <v>2705</v>
      </c>
      <c r="I102" s="336"/>
      <c r="J102" s="336"/>
      <c r="K102" s="29"/>
      <c r="L102" s="30"/>
      <c r="M102" s="30"/>
      <c r="N102" s="30"/>
      <c r="O102" s="80"/>
      <c r="P102" s="80"/>
      <c r="Q102" s="80"/>
      <c r="R102" s="80"/>
      <c r="S102" s="80"/>
      <c r="T102" s="80"/>
      <c r="U102" s="29"/>
      <c r="V102" s="41"/>
      <c r="W102" s="29">
        <v>93645</v>
      </c>
      <c r="X102" s="41"/>
      <c r="Y102" s="37"/>
      <c r="Z102" s="41"/>
      <c r="AA102" s="29"/>
      <c r="AB102" s="336"/>
      <c r="AC102" s="336"/>
      <c r="AD102" s="59"/>
      <c r="AE102" s="336"/>
      <c r="AF102" s="336"/>
      <c r="AG102" s="336"/>
      <c r="AH102" s="336"/>
      <c r="AI102" s="336"/>
      <c r="AJ102" s="336" t="s">
        <v>2706</v>
      </c>
      <c r="AK102" s="336"/>
      <c r="AL102" s="37" t="s">
        <v>2703</v>
      </c>
      <c r="AM102" s="336"/>
      <c r="AN102" s="336"/>
      <c r="AO102" s="336"/>
      <c r="AP102" s="336" t="s">
        <v>2704</v>
      </c>
      <c r="AQ102" s="336"/>
      <c r="AR102" s="63">
        <v>12.96</v>
      </c>
      <c r="AS102" s="27">
        <f t="shared" si="38"/>
        <v>29.189189189189189</v>
      </c>
      <c r="AT102" s="214" t="s">
        <v>2615</v>
      </c>
      <c r="AU102" s="214" t="s">
        <v>2616</v>
      </c>
      <c r="AV102" s="338">
        <v>11.18</v>
      </c>
      <c r="AW102" s="338">
        <v>10.199999999999999</v>
      </c>
      <c r="AX102" s="338">
        <v>2.21</v>
      </c>
      <c r="AY102" s="283"/>
      <c r="AZ102" s="283"/>
      <c r="BA102" s="324">
        <v>0.72</v>
      </c>
      <c r="BB102" s="289">
        <f>11.25+0.018+0.018</f>
        <v>11.286000000000001</v>
      </c>
      <c r="BC102" s="289">
        <f>2.68+0.018+0.018</f>
        <v>2.7159999999999997</v>
      </c>
      <c r="BD102" s="289">
        <f>11.25+(4*0.018)</f>
        <v>11.321999999999999</v>
      </c>
      <c r="BE102" s="287">
        <f t="shared" si="34"/>
        <v>0.20083954274999999</v>
      </c>
      <c r="BF102" s="324">
        <v>0.28000000000000003</v>
      </c>
      <c r="BG102" s="286">
        <f>16.62+0.25</f>
        <v>16.87</v>
      </c>
      <c r="BH102" s="286">
        <v>11.75</v>
      </c>
      <c r="BI102" s="286">
        <v>12</v>
      </c>
      <c r="BJ102" s="287">
        <f t="shared" si="35"/>
        <v>1.376545138888889</v>
      </c>
      <c r="BK102" s="290">
        <v>0.97</v>
      </c>
      <c r="BL102" s="290"/>
      <c r="BM102" s="290"/>
      <c r="BN102" s="39" t="s">
        <v>64</v>
      </c>
      <c r="BO102" s="205">
        <v>6</v>
      </c>
      <c r="BP102" s="205">
        <v>8</v>
      </c>
      <c r="BQ102" s="205">
        <v>3</v>
      </c>
      <c r="BR102" s="322">
        <f t="shared" si="36"/>
        <v>144</v>
      </c>
      <c r="BS102" s="288">
        <f t="shared" si="37"/>
        <v>217.28</v>
      </c>
      <c r="BT102" s="288" t="s">
        <v>69</v>
      </c>
      <c r="BU102" s="229" t="s">
        <v>67</v>
      </c>
      <c r="BV102" s="191"/>
      <c r="BW102" s="191"/>
      <c r="BX102" s="43"/>
    </row>
    <row r="103" spans="1:76" s="1" customFormat="1" x14ac:dyDescent="0.25">
      <c r="A103" s="241">
        <v>42725</v>
      </c>
      <c r="B103" s="323" t="s">
        <v>14</v>
      </c>
      <c r="C103" s="323" t="s">
        <v>2612</v>
      </c>
      <c r="D103" s="323" t="s">
        <v>240</v>
      </c>
      <c r="E103" s="323" t="s">
        <v>2614</v>
      </c>
      <c r="F103" s="96" t="s">
        <v>2711</v>
      </c>
      <c r="G103" s="59" t="s">
        <v>259</v>
      </c>
      <c r="H103" s="231">
        <v>13327811227</v>
      </c>
      <c r="I103" s="336"/>
      <c r="J103" s="336"/>
      <c r="K103" s="29"/>
      <c r="L103" s="30"/>
      <c r="M103" s="30"/>
      <c r="N103" s="30"/>
      <c r="O103" s="80"/>
      <c r="P103" s="80"/>
      <c r="Q103" s="80"/>
      <c r="R103" s="80"/>
      <c r="S103" s="80"/>
      <c r="T103" s="80"/>
      <c r="U103" s="29"/>
      <c r="V103" s="41"/>
      <c r="W103" s="29"/>
      <c r="X103" s="41"/>
      <c r="Y103" s="37"/>
      <c r="Z103" s="41"/>
      <c r="AA103" s="29"/>
      <c r="AB103" s="336"/>
      <c r="AC103" s="336"/>
      <c r="AD103" s="59"/>
      <c r="AE103" s="336"/>
      <c r="AF103" s="336" t="s">
        <v>2709</v>
      </c>
      <c r="AG103" s="336"/>
      <c r="AH103" s="336" t="s">
        <v>2710</v>
      </c>
      <c r="AI103" s="336"/>
      <c r="AJ103" s="336"/>
      <c r="AK103" s="336"/>
      <c r="AL103" s="37"/>
      <c r="AM103" s="336"/>
      <c r="AN103" s="336"/>
      <c r="AO103" s="336"/>
      <c r="AP103" s="336"/>
      <c r="AQ103" s="336"/>
      <c r="AR103" s="63">
        <v>35.840000000000003</v>
      </c>
      <c r="AS103" s="27">
        <f t="shared" si="38"/>
        <v>80.72072072072072</v>
      </c>
      <c r="AT103" s="214" t="s">
        <v>2617</v>
      </c>
      <c r="AU103" s="214" t="s">
        <v>2618</v>
      </c>
      <c r="AV103" s="283"/>
      <c r="AW103" s="283"/>
      <c r="AX103" s="283"/>
      <c r="AY103" s="338">
        <v>9.843</v>
      </c>
      <c r="AZ103" s="338">
        <v>2.6179999999999999</v>
      </c>
      <c r="BA103" s="324">
        <v>0.56000000000000005</v>
      </c>
      <c r="BB103" s="289">
        <f>3.81+0.036</f>
        <v>3.8460000000000001</v>
      </c>
      <c r="BC103" s="289">
        <f>3.81+0.036</f>
        <v>3.8460000000000001</v>
      </c>
      <c r="BD103" s="289">
        <f>11.43+0.036+0.036</f>
        <v>11.501999999999999</v>
      </c>
      <c r="BE103" s="287">
        <f t="shared" si="34"/>
        <v>9.845735962499999E-2</v>
      </c>
      <c r="BF103" s="324">
        <v>0.15</v>
      </c>
      <c r="BG103" s="286">
        <f>15.87+0.25</f>
        <v>16.119999999999997</v>
      </c>
      <c r="BH103" s="286">
        <v>12.25</v>
      </c>
      <c r="BI103" s="286">
        <v>12.5</v>
      </c>
      <c r="BJ103" s="287">
        <f t="shared" si="35"/>
        <v>1.4284577546296293</v>
      </c>
      <c r="BK103" s="226">
        <v>1</v>
      </c>
      <c r="BL103" s="226"/>
      <c r="BM103" s="226"/>
      <c r="BN103" s="39" t="s">
        <v>64</v>
      </c>
      <c r="BO103" s="205">
        <v>12</v>
      </c>
      <c r="BP103" s="205">
        <v>8</v>
      </c>
      <c r="BQ103" s="205">
        <v>3</v>
      </c>
      <c r="BR103" s="322">
        <f t="shared" si="36"/>
        <v>288</v>
      </c>
      <c r="BS103" s="288">
        <f t="shared" si="37"/>
        <v>278.48</v>
      </c>
      <c r="BT103" s="288" t="s">
        <v>1412</v>
      </c>
      <c r="BU103" s="229" t="s">
        <v>1910</v>
      </c>
      <c r="BV103" s="191"/>
      <c r="BW103" s="191"/>
      <c r="BX103" s="43"/>
    </row>
    <row r="104" spans="1:76" s="1" customFormat="1" x14ac:dyDescent="0.25">
      <c r="A104" s="241">
        <v>42725</v>
      </c>
      <c r="B104" s="323" t="s">
        <v>36</v>
      </c>
      <c r="C104" s="323" t="s">
        <v>2612</v>
      </c>
      <c r="D104" s="323" t="s">
        <v>240</v>
      </c>
      <c r="E104" s="323" t="s">
        <v>2614</v>
      </c>
      <c r="F104" s="96" t="s">
        <v>2711</v>
      </c>
      <c r="G104" s="59" t="s">
        <v>259</v>
      </c>
      <c r="H104" s="231">
        <v>13327811227</v>
      </c>
      <c r="I104" s="336"/>
      <c r="J104" s="336"/>
      <c r="K104" s="29"/>
      <c r="L104" s="30"/>
      <c r="M104" s="30"/>
      <c r="N104" s="30"/>
      <c r="O104" s="80"/>
      <c r="P104" s="80"/>
      <c r="Q104" s="80"/>
      <c r="R104" s="80"/>
      <c r="S104" s="80"/>
      <c r="T104" s="80"/>
      <c r="U104" s="29"/>
      <c r="V104" s="41"/>
      <c r="W104" s="29"/>
      <c r="X104" s="41"/>
      <c r="Y104" s="37"/>
      <c r="Z104" s="41"/>
      <c r="AA104" s="29"/>
      <c r="AB104" s="336"/>
      <c r="AC104" s="336"/>
      <c r="AD104" s="59"/>
      <c r="AE104" s="336"/>
      <c r="AF104" s="336" t="s">
        <v>2709</v>
      </c>
      <c r="AG104" s="336"/>
      <c r="AH104" s="336" t="s">
        <v>2710</v>
      </c>
      <c r="AI104" s="336"/>
      <c r="AJ104" s="336"/>
      <c r="AK104" s="336"/>
      <c r="AL104" s="37"/>
      <c r="AM104" s="336"/>
      <c r="AN104" s="336"/>
      <c r="AO104" s="336"/>
      <c r="AP104" s="336"/>
      <c r="AQ104" s="336"/>
      <c r="AR104" s="63">
        <v>27.83</v>
      </c>
      <c r="AS104" s="27"/>
      <c r="AT104" s="214" t="s">
        <v>2619</v>
      </c>
      <c r="AU104" s="214" t="s">
        <v>2620</v>
      </c>
      <c r="AV104" s="283"/>
      <c r="AW104" s="283"/>
      <c r="AX104" s="283"/>
      <c r="AY104" s="338">
        <v>9.843</v>
      </c>
      <c r="AZ104" s="338">
        <v>2.6179999999999999</v>
      </c>
      <c r="BA104" s="324">
        <v>0.56000000000000005</v>
      </c>
      <c r="BB104" s="289">
        <f>3.81+0.036</f>
        <v>3.8460000000000001</v>
      </c>
      <c r="BC104" s="289">
        <f>3.81+0.036</f>
        <v>3.8460000000000001</v>
      </c>
      <c r="BD104" s="289">
        <f>11.43+0.036+0.036</f>
        <v>11.501999999999999</v>
      </c>
      <c r="BE104" s="287">
        <f t="shared" si="34"/>
        <v>9.845735962499999E-2</v>
      </c>
      <c r="BF104" s="324">
        <v>0.15</v>
      </c>
      <c r="BG104" s="286">
        <f>15.87+0.25</f>
        <v>16.119999999999997</v>
      </c>
      <c r="BH104" s="286">
        <v>12.25</v>
      </c>
      <c r="BI104" s="286">
        <v>12.5</v>
      </c>
      <c r="BJ104" s="287">
        <f t="shared" si="35"/>
        <v>1.4284577546296293</v>
      </c>
      <c r="BK104" s="226">
        <v>1</v>
      </c>
      <c r="BL104" s="226"/>
      <c r="BM104" s="226"/>
      <c r="BN104" s="39" t="s">
        <v>64</v>
      </c>
      <c r="BO104" s="205">
        <v>12</v>
      </c>
      <c r="BP104" s="205">
        <v>8</v>
      </c>
      <c r="BQ104" s="205">
        <v>3</v>
      </c>
      <c r="BR104" s="322">
        <f t="shared" si="36"/>
        <v>288</v>
      </c>
      <c r="BS104" s="288">
        <f t="shared" si="37"/>
        <v>278.48</v>
      </c>
      <c r="BT104" s="288" t="s">
        <v>1412</v>
      </c>
      <c r="BU104" s="229" t="s">
        <v>1910</v>
      </c>
      <c r="BV104" s="191"/>
      <c r="BW104" s="191"/>
      <c r="BX104" s="43"/>
    </row>
    <row r="105" spans="1:76" s="1" customFormat="1" ht="30" x14ac:dyDescent="0.25">
      <c r="A105" s="241">
        <v>42725</v>
      </c>
      <c r="B105" s="323" t="s">
        <v>14</v>
      </c>
      <c r="C105" s="323" t="s">
        <v>2613</v>
      </c>
      <c r="D105" s="323" t="s">
        <v>240</v>
      </c>
      <c r="E105" s="323" t="s">
        <v>2614</v>
      </c>
      <c r="F105" s="96" t="s">
        <v>2764</v>
      </c>
      <c r="G105" s="59" t="s">
        <v>2765</v>
      </c>
      <c r="H105" s="231">
        <v>6420904852</v>
      </c>
      <c r="I105" s="336"/>
      <c r="J105" s="336"/>
      <c r="K105" s="29"/>
      <c r="L105" s="30"/>
      <c r="M105" s="30"/>
      <c r="N105" s="30"/>
      <c r="O105" s="80"/>
      <c r="P105" s="80"/>
      <c r="Q105" s="80"/>
      <c r="R105" s="80"/>
      <c r="S105" s="80"/>
      <c r="T105" s="80"/>
      <c r="U105" s="29" t="s">
        <v>2782</v>
      </c>
      <c r="V105" s="41"/>
      <c r="W105" s="29"/>
      <c r="X105" s="41"/>
      <c r="Y105" s="37"/>
      <c r="Z105" s="41"/>
      <c r="AA105" s="29" t="s">
        <v>2781</v>
      </c>
      <c r="AB105" s="340"/>
      <c r="AC105" s="340"/>
      <c r="AD105" s="59"/>
      <c r="AE105" s="340"/>
      <c r="AF105" s="340"/>
      <c r="AG105" s="340"/>
      <c r="AH105" s="340" t="s">
        <v>2763</v>
      </c>
      <c r="AI105" s="340"/>
      <c r="AJ105" s="340"/>
      <c r="AK105" s="340"/>
      <c r="AL105" s="37"/>
      <c r="AM105" s="340"/>
      <c r="AN105" s="340"/>
      <c r="AO105" s="340"/>
      <c r="AP105" s="340"/>
      <c r="AQ105" s="340">
        <v>33251</v>
      </c>
      <c r="AR105" s="63">
        <v>49.99</v>
      </c>
      <c r="AS105" s="27">
        <f t="shared" ref="AS105" si="39">AR105/0.444</f>
        <v>112.59009009009009</v>
      </c>
      <c r="AT105" s="214" t="s">
        <v>2621</v>
      </c>
      <c r="AU105" s="214" t="s">
        <v>2622</v>
      </c>
      <c r="AV105" s="283"/>
      <c r="AW105" s="283"/>
      <c r="AX105" s="283"/>
      <c r="AY105" s="338">
        <v>3.6019999999999999</v>
      </c>
      <c r="AZ105" s="338">
        <v>4.6260000000000003</v>
      </c>
      <c r="BA105" s="324">
        <v>0.73</v>
      </c>
      <c r="BB105" s="289">
        <f>3.812+0.018+0.018</f>
        <v>3.8479999999999994</v>
      </c>
      <c r="BC105" s="289">
        <f>3.812+0.018+0.018</f>
        <v>3.8479999999999994</v>
      </c>
      <c r="BD105" s="289">
        <f>5.375+(4*0.018)</f>
        <v>5.4470000000000001</v>
      </c>
      <c r="BE105" s="287">
        <f t="shared" si="34"/>
        <v>4.6674939518518505E-2</v>
      </c>
      <c r="BF105" s="324">
        <v>0.08</v>
      </c>
      <c r="BG105" s="286">
        <f>15.56+0.25</f>
        <v>15.81</v>
      </c>
      <c r="BH105" s="286">
        <f>11.68+0.25</f>
        <v>11.93</v>
      </c>
      <c r="BI105" s="286">
        <v>6</v>
      </c>
      <c r="BJ105" s="287">
        <f t="shared" si="35"/>
        <v>0.65490729166666672</v>
      </c>
      <c r="BK105" s="290">
        <v>0.75</v>
      </c>
      <c r="BL105" s="290"/>
      <c r="BM105" s="290"/>
      <c r="BN105" s="39" t="s">
        <v>64</v>
      </c>
      <c r="BO105" s="205">
        <v>12</v>
      </c>
      <c r="BP105" s="205">
        <v>10</v>
      </c>
      <c r="BQ105" s="205">
        <v>7</v>
      </c>
      <c r="BR105" s="322">
        <f t="shared" si="36"/>
        <v>840</v>
      </c>
      <c r="BS105" s="288">
        <f t="shared" si="37"/>
        <v>782.89999999999986</v>
      </c>
      <c r="BT105" s="288" t="s">
        <v>1412</v>
      </c>
      <c r="BU105" s="229" t="s">
        <v>1910</v>
      </c>
      <c r="BV105" s="191"/>
      <c r="BW105" s="191"/>
      <c r="BX105" s="43"/>
    </row>
    <row r="106" spans="1:76" s="1" customFormat="1" ht="30" x14ac:dyDescent="0.25">
      <c r="A106" s="241">
        <v>42725</v>
      </c>
      <c r="B106" s="323" t="s">
        <v>36</v>
      </c>
      <c r="C106" s="323" t="s">
        <v>2613</v>
      </c>
      <c r="D106" s="323" t="s">
        <v>240</v>
      </c>
      <c r="E106" s="323" t="s">
        <v>2614</v>
      </c>
      <c r="F106" s="96" t="s">
        <v>2764</v>
      </c>
      <c r="G106" s="59" t="s">
        <v>2765</v>
      </c>
      <c r="H106" s="231">
        <v>6420904852</v>
      </c>
      <c r="I106" s="336"/>
      <c r="J106" s="336"/>
      <c r="K106" s="29"/>
      <c r="L106" s="30"/>
      <c r="M106" s="30"/>
      <c r="N106" s="30"/>
      <c r="O106" s="80"/>
      <c r="P106" s="80"/>
      <c r="Q106" s="80"/>
      <c r="R106" s="80"/>
      <c r="S106" s="80"/>
      <c r="T106" s="80"/>
      <c r="U106" s="29" t="s">
        <v>2782</v>
      </c>
      <c r="V106" s="41"/>
      <c r="W106" s="29"/>
      <c r="X106" s="41"/>
      <c r="Y106" s="37"/>
      <c r="Z106" s="41"/>
      <c r="AA106" s="29" t="s">
        <v>2781</v>
      </c>
      <c r="AB106" s="340"/>
      <c r="AC106" s="340"/>
      <c r="AD106" s="59"/>
      <c r="AE106" s="340"/>
      <c r="AF106" s="340"/>
      <c r="AG106" s="340"/>
      <c r="AH106" s="340" t="s">
        <v>2763</v>
      </c>
      <c r="AI106" s="340"/>
      <c r="AJ106" s="340"/>
      <c r="AK106" s="340"/>
      <c r="AL106" s="37"/>
      <c r="AM106" s="340"/>
      <c r="AN106" s="340"/>
      <c r="AO106" s="340"/>
      <c r="AP106" s="340"/>
      <c r="AQ106" s="340">
        <v>33251</v>
      </c>
      <c r="AR106" s="63">
        <v>38.83</v>
      </c>
      <c r="AS106" s="27"/>
      <c r="AT106" s="214" t="s">
        <v>2623</v>
      </c>
      <c r="AU106" s="214" t="s">
        <v>2624</v>
      </c>
      <c r="AV106" s="283"/>
      <c r="AW106" s="283"/>
      <c r="AX106" s="283"/>
      <c r="AY106" s="338">
        <v>3.6019999999999999</v>
      </c>
      <c r="AZ106" s="338">
        <v>4.6260000000000003</v>
      </c>
      <c r="BA106" s="324">
        <v>0.73</v>
      </c>
      <c r="BB106" s="289">
        <f>3.812+0.018+0.018</f>
        <v>3.8479999999999994</v>
      </c>
      <c r="BC106" s="289">
        <f>3.812+0.018+0.018</f>
        <v>3.8479999999999994</v>
      </c>
      <c r="BD106" s="289">
        <f>5.375+(4*0.018)</f>
        <v>5.4470000000000001</v>
      </c>
      <c r="BE106" s="287">
        <f t="shared" si="34"/>
        <v>4.6674939518518505E-2</v>
      </c>
      <c r="BF106" s="324">
        <v>0.08</v>
      </c>
      <c r="BG106" s="286">
        <f>15.56+0.25</f>
        <v>15.81</v>
      </c>
      <c r="BH106" s="286">
        <f>11.68+0.25</f>
        <v>11.93</v>
      </c>
      <c r="BI106" s="286">
        <v>6</v>
      </c>
      <c r="BJ106" s="287">
        <f t="shared" si="35"/>
        <v>0.65490729166666672</v>
      </c>
      <c r="BK106" s="290">
        <v>0.75</v>
      </c>
      <c r="BL106" s="290"/>
      <c r="BM106" s="290"/>
      <c r="BN106" s="39" t="s">
        <v>64</v>
      </c>
      <c r="BO106" s="205">
        <v>12</v>
      </c>
      <c r="BP106" s="205">
        <v>10</v>
      </c>
      <c r="BQ106" s="205">
        <v>7</v>
      </c>
      <c r="BR106" s="322">
        <f t="shared" si="36"/>
        <v>840</v>
      </c>
      <c r="BS106" s="288">
        <f t="shared" si="37"/>
        <v>782.89999999999986</v>
      </c>
      <c r="BT106" s="288" t="s">
        <v>1412</v>
      </c>
      <c r="BU106" s="229" t="s">
        <v>1910</v>
      </c>
      <c r="BV106" s="191"/>
      <c r="BW106" s="191"/>
      <c r="BX106" s="43"/>
    </row>
    <row r="107" spans="1:76" s="1" customFormat="1" x14ac:dyDescent="0.25">
      <c r="A107" s="241">
        <v>42725</v>
      </c>
      <c r="B107" s="323" t="s">
        <v>14</v>
      </c>
      <c r="C107" s="323" t="s">
        <v>2667</v>
      </c>
      <c r="D107" s="323" t="s">
        <v>240</v>
      </c>
      <c r="E107" s="323" t="s">
        <v>78</v>
      </c>
      <c r="F107" s="96" t="s">
        <v>2715</v>
      </c>
      <c r="G107" s="59" t="s">
        <v>72</v>
      </c>
      <c r="H107" s="231" t="s">
        <v>2714</v>
      </c>
      <c r="I107" s="336"/>
      <c r="J107" s="336"/>
      <c r="K107" s="29"/>
      <c r="L107" s="30"/>
      <c r="M107" s="30"/>
      <c r="N107" s="30"/>
      <c r="O107" s="80"/>
      <c r="P107" s="80"/>
      <c r="Q107" s="80"/>
      <c r="R107" s="80"/>
      <c r="S107" s="80"/>
      <c r="T107" s="80"/>
      <c r="U107" s="29" t="s">
        <v>2712</v>
      </c>
      <c r="V107" s="41"/>
      <c r="W107" s="29"/>
      <c r="X107" s="41"/>
      <c r="Y107" s="37"/>
      <c r="Z107" s="41"/>
      <c r="AA107" s="29"/>
      <c r="AB107" s="336"/>
      <c r="AC107" s="336"/>
      <c r="AD107" s="59"/>
      <c r="AE107" s="336"/>
      <c r="AF107" s="336"/>
      <c r="AG107" s="336"/>
      <c r="AH107" s="336"/>
      <c r="AI107" s="336"/>
      <c r="AJ107" s="336" t="s">
        <v>2713</v>
      </c>
      <c r="AK107" s="336"/>
      <c r="AL107" s="37"/>
      <c r="AM107" s="336"/>
      <c r="AN107" s="336"/>
      <c r="AO107" s="336"/>
      <c r="AP107" s="336"/>
      <c r="AQ107" s="336"/>
      <c r="AR107" s="63">
        <v>51.84</v>
      </c>
      <c r="AS107" s="27">
        <f>AR107/0.444</f>
        <v>116.75675675675676</v>
      </c>
      <c r="AT107" s="214" t="s">
        <v>2626</v>
      </c>
      <c r="AU107" s="214" t="s">
        <v>2627</v>
      </c>
      <c r="AV107" s="283"/>
      <c r="AW107" s="283"/>
      <c r="AX107" s="283"/>
      <c r="AY107" s="338">
        <v>4.8499999999999996</v>
      </c>
      <c r="AZ107" s="338">
        <v>5.26</v>
      </c>
      <c r="BA107" s="324">
        <v>0.5</v>
      </c>
      <c r="BB107" s="289">
        <f t="shared" ref="BB107:BC110" si="40">4.62+0.036</f>
        <v>4.6559999999999997</v>
      </c>
      <c r="BC107" s="289">
        <f t="shared" si="40"/>
        <v>4.6559999999999997</v>
      </c>
      <c r="BD107" s="289">
        <f t="shared" ref="BD107:BD110" si="41">6.072</f>
        <v>6.0720000000000001</v>
      </c>
      <c r="BE107" s="287">
        <f t="shared" si="34"/>
        <v>7.6175263999999993E-2</v>
      </c>
      <c r="BF107" s="324">
        <v>0.12</v>
      </c>
      <c r="BG107" s="286">
        <v>19.5</v>
      </c>
      <c r="BH107" s="286">
        <f t="shared" ref="BH107:BH110" si="42">14.37+0.25</f>
        <v>14.62</v>
      </c>
      <c r="BI107" s="286">
        <v>6.62</v>
      </c>
      <c r="BJ107" s="287">
        <f t="shared" si="35"/>
        <v>1.0921850694444444</v>
      </c>
      <c r="BK107" s="226">
        <v>1.1100000000000001</v>
      </c>
      <c r="BL107" s="226"/>
      <c r="BM107" s="226"/>
      <c r="BN107" s="39" t="s">
        <v>64</v>
      </c>
      <c r="BO107" s="205">
        <v>12</v>
      </c>
      <c r="BP107" s="205">
        <v>6</v>
      </c>
      <c r="BQ107" s="205">
        <v>6</v>
      </c>
      <c r="BR107" s="322">
        <f t="shared" si="36"/>
        <v>432</v>
      </c>
      <c r="BS107" s="288">
        <f t="shared" si="37"/>
        <v>357.79999999999995</v>
      </c>
      <c r="BT107" s="288" t="s">
        <v>2498</v>
      </c>
      <c r="BU107" s="229" t="s">
        <v>1910</v>
      </c>
      <c r="BV107" s="191"/>
      <c r="BW107" s="191"/>
      <c r="BX107" s="43"/>
    </row>
    <row r="108" spans="1:76" s="1" customFormat="1" x14ac:dyDescent="0.25">
      <c r="A108" s="241">
        <v>42725</v>
      </c>
      <c r="B108" s="323" t="s">
        <v>36</v>
      </c>
      <c r="C108" s="323" t="s">
        <v>2667</v>
      </c>
      <c r="D108" s="323" t="s">
        <v>240</v>
      </c>
      <c r="E108" s="323" t="s">
        <v>78</v>
      </c>
      <c r="F108" s="96" t="s">
        <v>2715</v>
      </c>
      <c r="G108" s="59" t="s">
        <v>72</v>
      </c>
      <c r="H108" s="231" t="s">
        <v>2714</v>
      </c>
      <c r="I108" s="336"/>
      <c r="J108" s="336"/>
      <c r="K108" s="29"/>
      <c r="L108" s="30"/>
      <c r="M108" s="30"/>
      <c r="N108" s="30"/>
      <c r="O108" s="80"/>
      <c r="P108" s="80"/>
      <c r="Q108" s="80"/>
      <c r="R108" s="80"/>
      <c r="S108" s="80"/>
      <c r="T108" s="80"/>
      <c r="U108" s="29" t="s">
        <v>2712</v>
      </c>
      <c r="V108" s="41"/>
      <c r="W108" s="29"/>
      <c r="X108" s="41"/>
      <c r="Y108" s="37"/>
      <c r="Z108" s="41"/>
      <c r="AA108" s="29"/>
      <c r="AB108" s="336"/>
      <c r="AC108" s="336"/>
      <c r="AD108" s="59"/>
      <c r="AE108" s="336"/>
      <c r="AF108" s="336"/>
      <c r="AG108" s="336"/>
      <c r="AH108" s="336"/>
      <c r="AI108" s="336"/>
      <c r="AJ108" s="336" t="s">
        <v>2713</v>
      </c>
      <c r="AK108" s="336"/>
      <c r="AL108" s="37"/>
      <c r="AM108" s="336"/>
      <c r="AN108" s="336"/>
      <c r="AO108" s="336"/>
      <c r="AP108" s="336"/>
      <c r="AQ108" s="336"/>
      <c r="AR108" s="63">
        <v>40.270000000000003</v>
      </c>
      <c r="AS108" s="27"/>
      <c r="AT108" s="214" t="s">
        <v>2628</v>
      </c>
      <c r="AU108" s="214" t="s">
        <v>2629</v>
      </c>
      <c r="AV108" s="283"/>
      <c r="AW108" s="283"/>
      <c r="AX108" s="283"/>
      <c r="AY108" s="338">
        <v>4.8499999999999996</v>
      </c>
      <c r="AZ108" s="338">
        <v>5.26</v>
      </c>
      <c r="BA108" s="324">
        <v>0.5</v>
      </c>
      <c r="BB108" s="289">
        <f t="shared" si="40"/>
        <v>4.6559999999999997</v>
      </c>
      <c r="BC108" s="289">
        <f t="shared" si="40"/>
        <v>4.6559999999999997</v>
      </c>
      <c r="BD108" s="289">
        <f t="shared" si="41"/>
        <v>6.0720000000000001</v>
      </c>
      <c r="BE108" s="287">
        <f t="shared" si="34"/>
        <v>7.6175263999999993E-2</v>
      </c>
      <c r="BF108" s="324">
        <v>0.12</v>
      </c>
      <c r="BG108" s="286">
        <v>19.5</v>
      </c>
      <c r="BH108" s="286">
        <f t="shared" si="42"/>
        <v>14.62</v>
      </c>
      <c r="BI108" s="286">
        <v>6.62</v>
      </c>
      <c r="BJ108" s="287">
        <f t="shared" si="35"/>
        <v>1.0921850694444444</v>
      </c>
      <c r="BK108" s="226">
        <v>1.1100000000000001</v>
      </c>
      <c r="BL108" s="226"/>
      <c r="BM108" s="226"/>
      <c r="BN108" s="39" t="s">
        <v>64</v>
      </c>
      <c r="BO108" s="205">
        <v>12</v>
      </c>
      <c r="BP108" s="205">
        <v>6</v>
      </c>
      <c r="BQ108" s="205">
        <v>6</v>
      </c>
      <c r="BR108" s="322">
        <f t="shared" si="36"/>
        <v>432</v>
      </c>
      <c r="BS108" s="288">
        <f t="shared" si="37"/>
        <v>357.79999999999995</v>
      </c>
      <c r="BT108" s="288" t="s">
        <v>2498</v>
      </c>
      <c r="BU108" s="229" t="s">
        <v>1910</v>
      </c>
      <c r="BV108" s="191"/>
      <c r="BW108" s="191"/>
      <c r="BX108" s="43"/>
    </row>
    <row r="109" spans="1:76" s="1" customFormat="1" ht="30" x14ac:dyDescent="0.25">
      <c r="A109" s="241">
        <v>42725</v>
      </c>
      <c r="B109" s="323" t="s">
        <v>14</v>
      </c>
      <c r="C109" s="323" t="s">
        <v>2625</v>
      </c>
      <c r="D109" s="323" t="s">
        <v>73</v>
      </c>
      <c r="E109" s="323" t="s">
        <v>2780</v>
      </c>
      <c r="F109" s="96" t="s">
        <v>2721</v>
      </c>
      <c r="G109" s="59" t="s">
        <v>2720</v>
      </c>
      <c r="H109" s="231" t="s">
        <v>2719</v>
      </c>
      <c r="I109" s="336"/>
      <c r="J109" s="336"/>
      <c r="K109" s="29"/>
      <c r="L109" s="30"/>
      <c r="M109" s="30"/>
      <c r="N109" s="30"/>
      <c r="O109" s="80"/>
      <c r="P109" s="80"/>
      <c r="Q109" s="80"/>
      <c r="R109" s="80"/>
      <c r="S109" s="80"/>
      <c r="T109" s="80"/>
      <c r="U109" s="29" t="s">
        <v>2716</v>
      </c>
      <c r="V109" s="41"/>
      <c r="W109" s="29">
        <v>96112</v>
      </c>
      <c r="X109" s="41"/>
      <c r="Y109" s="37"/>
      <c r="Z109" s="41"/>
      <c r="AA109" s="29"/>
      <c r="AB109" s="336"/>
      <c r="AC109" s="336" t="s">
        <v>2717</v>
      </c>
      <c r="AD109" s="59"/>
      <c r="AE109" s="336"/>
      <c r="AF109" s="336"/>
      <c r="AG109" s="336"/>
      <c r="AH109" s="336"/>
      <c r="AI109" s="336"/>
      <c r="AJ109" s="336"/>
      <c r="AK109" s="336">
        <v>600112</v>
      </c>
      <c r="AL109" s="37"/>
      <c r="AM109" s="336"/>
      <c r="AN109" s="336">
        <v>56085</v>
      </c>
      <c r="AO109" s="336"/>
      <c r="AP109" s="336">
        <v>56085</v>
      </c>
      <c r="AQ109" s="336" t="s">
        <v>2718</v>
      </c>
      <c r="AR109" s="63">
        <v>73.489999999999995</v>
      </c>
      <c r="AS109" s="27">
        <f>AR109/0.444</f>
        <v>165.51801801801801</v>
      </c>
      <c r="AT109" s="214" t="s">
        <v>2630</v>
      </c>
      <c r="AU109" s="214" t="s">
        <v>2631</v>
      </c>
      <c r="AV109" s="283"/>
      <c r="AW109" s="283"/>
      <c r="AX109" s="283"/>
      <c r="AY109" s="338">
        <v>4.2439999999999998</v>
      </c>
      <c r="AZ109" s="338">
        <v>5.65</v>
      </c>
      <c r="BA109" s="324">
        <v>1.45</v>
      </c>
      <c r="BB109" s="289">
        <f t="shared" si="40"/>
        <v>4.6559999999999997</v>
      </c>
      <c r="BC109" s="289">
        <f t="shared" si="40"/>
        <v>4.6559999999999997</v>
      </c>
      <c r="BD109" s="289">
        <f t="shared" si="41"/>
        <v>6.0720000000000001</v>
      </c>
      <c r="BE109" s="287">
        <f t="shared" si="34"/>
        <v>7.6175263999999993E-2</v>
      </c>
      <c r="BF109" s="324">
        <v>0.12</v>
      </c>
      <c r="BG109" s="286">
        <v>19.5</v>
      </c>
      <c r="BH109" s="286">
        <f t="shared" si="42"/>
        <v>14.62</v>
      </c>
      <c r="BI109" s="286">
        <v>6.62</v>
      </c>
      <c r="BJ109" s="287">
        <f t="shared" si="35"/>
        <v>1.0921850694444444</v>
      </c>
      <c r="BK109" s="290">
        <v>1.1100000000000001</v>
      </c>
      <c r="BL109" s="290"/>
      <c r="BM109" s="290"/>
      <c r="BN109" s="39" t="s">
        <v>64</v>
      </c>
      <c r="BO109" s="205">
        <v>12</v>
      </c>
      <c r="BP109" s="205">
        <v>6</v>
      </c>
      <c r="BQ109" s="205">
        <v>6</v>
      </c>
      <c r="BR109" s="322">
        <f t="shared" si="36"/>
        <v>432</v>
      </c>
      <c r="BS109" s="288">
        <f t="shared" si="37"/>
        <v>768.19999999999982</v>
      </c>
      <c r="BT109" s="288" t="s">
        <v>2498</v>
      </c>
      <c r="BU109" s="229" t="s">
        <v>1910</v>
      </c>
      <c r="BV109" s="191"/>
      <c r="BW109" s="191"/>
      <c r="BX109" s="43"/>
    </row>
    <row r="110" spans="1:76" s="1" customFormat="1" ht="30" x14ac:dyDescent="0.25">
      <c r="A110" s="241">
        <v>42725</v>
      </c>
      <c r="B110" s="323" t="s">
        <v>36</v>
      </c>
      <c r="C110" s="323" t="s">
        <v>2625</v>
      </c>
      <c r="D110" s="323" t="s">
        <v>73</v>
      </c>
      <c r="E110" s="323" t="s">
        <v>2780</v>
      </c>
      <c r="F110" s="96" t="s">
        <v>2721</v>
      </c>
      <c r="G110" s="59" t="s">
        <v>2720</v>
      </c>
      <c r="H110" s="231" t="s">
        <v>2719</v>
      </c>
      <c r="I110" s="336"/>
      <c r="J110" s="336"/>
      <c r="K110" s="29"/>
      <c r="L110" s="30"/>
      <c r="M110" s="30"/>
      <c r="N110" s="30"/>
      <c r="O110" s="80"/>
      <c r="P110" s="80"/>
      <c r="Q110" s="80"/>
      <c r="R110" s="80"/>
      <c r="S110" s="80"/>
      <c r="T110" s="80"/>
      <c r="U110" s="29" t="s">
        <v>2716</v>
      </c>
      <c r="V110" s="41"/>
      <c r="W110" s="29">
        <v>96112</v>
      </c>
      <c r="X110" s="41"/>
      <c r="Y110" s="37"/>
      <c r="Z110" s="41"/>
      <c r="AA110" s="29"/>
      <c r="AB110" s="336"/>
      <c r="AC110" s="336" t="s">
        <v>2717</v>
      </c>
      <c r="AD110" s="59"/>
      <c r="AE110" s="336"/>
      <c r="AF110" s="336"/>
      <c r="AG110" s="336"/>
      <c r="AH110" s="336"/>
      <c r="AI110" s="336"/>
      <c r="AJ110" s="336"/>
      <c r="AK110" s="336">
        <v>600112</v>
      </c>
      <c r="AL110" s="37"/>
      <c r="AM110" s="336"/>
      <c r="AN110" s="336">
        <v>56085</v>
      </c>
      <c r="AO110" s="336"/>
      <c r="AP110" s="336">
        <v>56085</v>
      </c>
      <c r="AQ110" s="336" t="s">
        <v>2718</v>
      </c>
      <c r="AR110" s="63">
        <v>57.08</v>
      </c>
      <c r="AS110" s="27"/>
      <c r="AT110" s="214" t="s">
        <v>2632</v>
      </c>
      <c r="AU110" s="214" t="s">
        <v>2633</v>
      </c>
      <c r="AV110" s="283"/>
      <c r="AW110" s="283"/>
      <c r="AX110" s="283"/>
      <c r="AY110" s="338">
        <v>4.2439999999999998</v>
      </c>
      <c r="AZ110" s="338">
        <v>5.65</v>
      </c>
      <c r="BA110" s="324">
        <v>1.45</v>
      </c>
      <c r="BB110" s="289">
        <f t="shared" si="40"/>
        <v>4.6559999999999997</v>
      </c>
      <c r="BC110" s="289">
        <f t="shared" si="40"/>
        <v>4.6559999999999997</v>
      </c>
      <c r="BD110" s="289">
        <f t="shared" si="41"/>
        <v>6.0720000000000001</v>
      </c>
      <c r="BE110" s="287">
        <f t="shared" si="34"/>
        <v>7.6175263999999993E-2</v>
      </c>
      <c r="BF110" s="324">
        <v>0.12</v>
      </c>
      <c r="BG110" s="286">
        <v>19.5</v>
      </c>
      <c r="BH110" s="286">
        <f t="shared" si="42"/>
        <v>14.62</v>
      </c>
      <c r="BI110" s="286">
        <v>6.62</v>
      </c>
      <c r="BJ110" s="287">
        <f t="shared" si="35"/>
        <v>1.0921850694444444</v>
      </c>
      <c r="BK110" s="290">
        <v>1.1100000000000001</v>
      </c>
      <c r="BL110" s="290"/>
      <c r="BM110" s="290"/>
      <c r="BN110" s="39" t="s">
        <v>64</v>
      </c>
      <c r="BO110" s="205">
        <v>12</v>
      </c>
      <c r="BP110" s="205">
        <v>6</v>
      </c>
      <c r="BQ110" s="205">
        <v>6</v>
      </c>
      <c r="BR110" s="322">
        <f t="shared" si="36"/>
        <v>432</v>
      </c>
      <c r="BS110" s="288">
        <f t="shared" si="37"/>
        <v>768.19999999999982</v>
      </c>
      <c r="BT110" s="288" t="s">
        <v>2498</v>
      </c>
      <c r="BU110" s="229" t="s">
        <v>1910</v>
      </c>
      <c r="BV110" s="191"/>
      <c r="BW110" s="191"/>
      <c r="BX110" s="43"/>
    </row>
    <row r="111" spans="1:76" s="1" customFormat="1" x14ac:dyDescent="0.25">
      <c r="A111" s="241">
        <v>42725</v>
      </c>
      <c r="B111" s="323" t="s">
        <v>14</v>
      </c>
      <c r="C111" s="323" t="s">
        <v>2634</v>
      </c>
      <c r="D111" s="323" t="s">
        <v>240</v>
      </c>
      <c r="E111" s="323" t="s">
        <v>2614</v>
      </c>
      <c r="F111" s="96" t="s">
        <v>2728</v>
      </c>
      <c r="G111" s="59" t="s">
        <v>1009</v>
      </c>
      <c r="H111" s="231" t="s">
        <v>2727</v>
      </c>
      <c r="I111" s="336"/>
      <c r="J111" s="336"/>
      <c r="K111" s="29"/>
      <c r="L111" s="30"/>
      <c r="M111" s="30"/>
      <c r="N111" s="30"/>
      <c r="O111" s="80"/>
      <c r="P111" s="80"/>
      <c r="Q111" s="80"/>
      <c r="R111" s="80"/>
      <c r="S111" s="80"/>
      <c r="T111" s="80"/>
      <c r="U111" s="29"/>
      <c r="V111" s="41"/>
      <c r="W111" s="29">
        <v>86814</v>
      </c>
      <c r="X111" s="41"/>
      <c r="Y111" s="37"/>
      <c r="Z111" s="41"/>
      <c r="AA111" s="29"/>
      <c r="AB111" s="336" t="s">
        <v>2722</v>
      </c>
      <c r="AC111" s="336" t="s">
        <v>2723</v>
      </c>
      <c r="AD111" s="59" t="s">
        <v>2724</v>
      </c>
      <c r="AE111" s="336"/>
      <c r="AF111" s="336" t="s">
        <v>2725</v>
      </c>
      <c r="AG111" s="336"/>
      <c r="AH111" s="336" t="s">
        <v>2726</v>
      </c>
      <c r="AI111" s="336"/>
      <c r="AJ111" s="336"/>
      <c r="AK111" s="336">
        <v>3814</v>
      </c>
      <c r="AL111" s="37"/>
      <c r="AM111" s="336"/>
      <c r="AN111" s="336">
        <v>59184</v>
      </c>
      <c r="AO111" s="336"/>
      <c r="AP111" s="336" t="s">
        <v>2634</v>
      </c>
      <c r="AQ111" s="336">
        <v>33814</v>
      </c>
      <c r="AR111" s="63">
        <v>37.950000000000003</v>
      </c>
      <c r="AS111" s="27">
        <f>AR111/0.444</f>
        <v>85.472972972972983</v>
      </c>
      <c r="AT111" s="214" t="s">
        <v>2636</v>
      </c>
      <c r="AU111" s="214" t="s">
        <v>2637</v>
      </c>
      <c r="AV111" s="283"/>
      <c r="AW111" s="283"/>
      <c r="AX111" s="283"/>
      <c r="AY111" s="338">
        <v>2.41</v>
      </c>
      <c r="AZ111" s="338">
        <v>6.5</v>
      </c>
      <c r="BA111" s="324">
        <v>0.32</v>
      </c>
      <c r="BB111" s="289">
        <f>2.87+0.036</f>
        <v>2.9060000000000001</v>
      </c>
      <c r="BC111" s="289">
        <f>2.87+0.036</f>
        <v>2.9060000000000001</v>
      </c>
      <c r="BD111" s="289">
        <f>6.62+0.036+0.036</f>
        <v>6.6919999999999993</v>
      </c>
      <c r="BE111" s="287">
        <f t="shared" si="34"/>
        <v>3.270419126851852E-2</v>
      </c>
      <c r="BF111" s="324">
        <v>0.08</v>
      </c>
      <c r="BG111" s="286">
        <v>12.25</v>
      </c>
      <c r="BH111" s="286">
        <v>9</v>
      </c>
      <c r="BI111" s="286">
        <f>7.38+0.5</f>
        <v>7.88</v>
      </c>
      <c r="BJ111" s="287">
        <f t="shared" si="35"/>
        <v>0.50276041666666671</v>
      </c>
      <c r="BK111" s="290">
        <v>0.51</v>
      </c>
      <c r="BL111" s="290"/>
      <c r="BM111" s="290"/>
      <c r="BN111" s="39" t="s">
        <v>64</v>
      </c>
      <c r="BO111" s="205">
        <v>12</v>
      </c>
      <c r="BP111" s="205">
        <v>16</v>
      </c>
      <c r="BQ111" s="205">
        <v>5</v>
      </c>
      <c r="BR111" s="322">
        <f t="shared" si="36"/>
        <v>960</v>
      </c>
      <c r="BS111" s="288">
        <f t="shared" si="37"/>
        <v>474.80000000000007</v>
      </c>
      <c r="BT111" s="288" t="s">
        <v>69</v>
      </c>
      <c r="BU111" s="229" t="s">
        <v>1910</v>
      </c>
      <c r="BV111" s="191"/>
      <c r="BW111" s="191"/>
      <c r="BX111" s="43"/>
    </row>
    <row r="112" spans="1:76" s="1" customFormat="1" x14ac:dyDescent="0.25">
      <c r="A112" s="241">
        <v>42725</v>
      </c>
      <c r="B112" s="323" t="s">
        <v>36</v>
      </c>
      <c r="C112" s="323" t="s">
        <v>2634</v>
      </c>
      <c r="D112" s="323" t="s">
        <v>240</v>
      </c>
      <c r="E112" s="323" t="s">
        <v>2614</v>
      </c>
      <c r="F112" s="96" t="s">
        <v>2728</v>
      </c>
      <c r="G112" s="59" t="s">
        <v>1009</v>
      </c>
      <c r="H112" s="231" t="s">
        <v>2727</v>
      </c>
      <c r="I112" s="336"/>
      <c r="J112" s="336"/>
      <c r="K112" s="29"/>
      <c r="L112" s="30"/>
      <c r="M112" s="30"/>
      <c r="N112" s="30"/>
      <c r="O112" s="80"/>
      <c r="P112" s="80"/>
      <c r="Q112" s="80"/>
      <c r="R112" s="80"/>
      <c r="S112" s="80"/>
      <c r="T112" s="80"/>
      <c r="U112" s="29"/>
      <c r="V112" s="41"/>
      <c r="W112" s="29">
        <v>86814</v>
      </c>
      <c r="X112" s="41"/>
      <c r="Y112" s="37"/>
      <c r="Z112" s="41"/>
      <c r="AA112" s="29"/>
      <c r="AB112" s="336" t="s">
        <v>2722</v>
      </c>
      <c r="AC112" s="336" t="s">
        <v>2723</v>
      </c>
      <c r="AD112" s="59" t="s">
        <v>2724</v>
      </c>
      <c r="AE112" s="336"/>
      <c r="AF112" s="336" t="s">
        <v>2725</v>
      </c>
      <c r="AG112" s="336"/>
      <c r="AH112" s="336" t="s">
        <v>2726</v>
      </c>
      <c r="AI112" s="336"/>
      <c r="AJ112" s="336"/>
      <c r="AK112" s="336">
        <v>3814</v>
      </c>
      <c r="AL112" s="37"/>
      <c r="AM112" s="336"/>
      <c r="AN112" s="336">
        <v>59184</v>
      </c>
      <c r="AO112" s="336"/>
      <c r="AP112" s="336" t="s">
        <v>2634</v>
      </c>
      <c r="AQ112" s="336">
        <v>33814</v>
      </c>
      <c r="AR112" s="63">
        <v>29.48</v>
      </c>
      <c r="AS112" s="27"/>
      <c r="AT112" s="214" t="s">
        <v>2638</v>
      </c>
      <c r="AU112" s="214" t="s">
        <v>2639</v>
      </c>
      <c r="AV112" s="283"/>
      <c r="AW112" s="283"/>
      <c r="AX112" s="283"/>
      <c r="AY112" s="338">
        <v>2.41</v>
      </c>
      <c r="AZ112" s="338">
        <v>6.5</v>
      </c>
      <c r="BA112" s="324">
        <v>0.32</v>
      </c>
      <c r="BB112" s="289">
        <f>2.87+0.036</f>
        <v>2.9060000000000001</v>
      </c>
      <c r="BC112" s="289">
        <f>2.87+0.036</f>
        <v>2.9060000000000001</v>
      </c>
      <c r="BD112" s="289">
        <f>6.62+0.036+0.036</f>
        <v>6.6919999999999993</v>
      </c>
      <c r="BE112" s="287">
        <f t="shared" si="34"/>
        <v>3.270419126851852E-2</v>
      </c>
      <c r="BF112" s="324">
        <v>0.08</v>
      </c>
      <c r="BG112" s="286">
        <v>12.25</v>
      </c>
      <c r="BH112" s="286">
        <v>9</v>
      </c>
      <c r="BI112" s="286">
        <f>7.38+0.5</f>
        <v>7.88</v>
      </c>
      <c r="BJ112" s="287">
        <f t="shared" si="35"/>
        <v>0.50276041666666671</v>
      </c>
      <c r="BK112" s="290">
        <v>0.51</v>
      </c>
      <c r="BL112" s="290"/>
      <c r="BM112" s="290"/>
      <c r="BN112" s="39" t="s">
        <v>64</v>
      </c>
      <c r="BO112" s="205">
        <v>12</v>
      </c>
      <c r="BP112" s="205">
        <v>16</v>
      </c>
      <c r="BQ112" s="205">
        <v>5</v>
      </c>
      <c r="BR112" s="322">
        <f t="shared" si="36"/>
        <v>960</v>
      </c>
      <c r="BS112" s="288">
        <f t="shared" si="37"/>
        <v>474.80000000000007</v>
      </c>
      <c r="BT112" s="288" t="s">
        <v>69</v>
      </c>
      <c r="BU112" s="229" t="s">
        <v>1910</v>
      </c>
      <c r="BV112" s="191"/>
      <c r="BW112" s="191"/>
      <c r="BX112" s="43"/>
    </row>
    <row r="113" spans="1:80" s="1" customFormat="1" x14ac:dyDescent="0.25">
      <c r="A113" s="241">
        <v>42725</v>
      </c>
      <c r="B113" s="323" t="s">
        <v>14</v>
      </c>
      <c r="C113" s="323" t="s">
        <v>2635</v>
      </c>
      <c r="D113" s="323" t="s">
        <v>240</v>
      </c>
      <c r="E113" s="323" t="s">
        <v>2614</v>
      </c>
      <c r="F113" s="96" t="s">
        <v>2731</v>
      </c>
      <c r="G113" s="59" t="s">
        <v>187</v>
      </c>
      <c r="H113" s="231">
        <v>25993215</v>
      </c>
      <c r="I113" s="336"/>
      <c r="J113" s="336"/>
      <c r="K113" s="29"/>
      <c r="L113" s="30"/>
      <c r="M113" s="30"/>
      <c r="N113" s="30"/>
      <c r="O113" s="80"/>
      <c r="P113" s="80"/>
      <c r="Q113" s="80"/>
      <c r="R113" s="80"/>
      <c r="S113" s="80"/>
      <c r="T113" s="80"/>
      <c r="U113" s="29"/>
      <c r="V113" s="41"/>
      <c r="W113" s="29">
        <v>86315</v>
      </c>
      <c r="X113" s="41"/>
      <c r="Y113" s="37"/>
      <c r="Z113" s="41"/>
      <c r="AA113" s="29"/>
      <c r="AB113" s="336"/>
      <c r="AC113" s="336" t="s">
        <v>2729</v>
      </c>
      <c r="AD113" s="59"/>
      <c r="AE113" s="336"/>
      <c r="AF113" s="336"/>
      <c r="AG113" s="336"/>
      <c r="AH113" s="336"/>
      <c r="AI113" s="336"/>
      <c r="AJ113" s="336"/>
      <c r="AK113" s="336">
        <v>3315</v>
      </c>
      <c r="AL113" s="37"/>
      <c r="AM113" s="336"/>
      <c r="AN113" s="336" t="s">
        <v>2730</v>
      </c>
      <c r="AO113" s="336"/>
      <c r="AP113" s="336" t="s">
        <v>2635</v>
      </c>
      <c r="AQ113" s="336">
        <v>33315</v>
      </c>
      <c r="AR113" s="63">
        <v>27.23</v>
      </c>
      <c r="AS113" s="27">
        <f>AR113/0.444</f>
        <v>61.328828828828826</v>
      </c>
      <c r="AT113" s="214" t="s">
        <v>2640</v>
      </c>
      <c r="AU113" s="214" t="s">
        <v>2641</v>
      </c>
      <c r="AV113" s="283"/>
      <c r="AW113" s="283"/>
      <c r="AX113" s="283"/>
      <c r="AY113" s="338">
        <v>2.19</v>
      </c>
      <c r="AZ113" s="338">
        <v>6.14</v>
      </c>
      <c r="BA113" s="324">
        <v>0.35</v>
      </c>
      <c r="BB113" s="289">
        <f>2.37+0.036</f>
        <v>2.4060000000000001</v>
      </c>
      <c r="BC113" s="289">
        <f>2.37+0.036</f>
        <v>2.4060000000000001</v>
      </c>
      <c r="BD113" s="289">
        <f>6.8+0.036+0.036</f>
        <v>6.871999999999999</v>
      </c>
      <c r="BE113" s="287">
        <f t="shared" si="34"/>
        <v>2.3021343166666666E-2</v>
      </c>
      <c r="BF113" s="324">
        <v>0.06</v>
      </c>
      <c r="BG113" s="286">
        <v>10.25</v>
      </c>
      <c r="BH113" s="286">
        <v>7.75</v>
      </c>
      <c r="BI113" s="286">
        <f>6.62+0.5</f>
        <v>7.12</v>
      </c>
      <c r="BJ113" s="287">
        <f t="shared" si="35"/>
        <v>0.32731192129629633</v>
      </c>
      <c r="BK113" s="226">
        <v>0.4</v>
      </c>
      <c r="BL113" s="226"/>
      <c r="BM113" s="226"/>
      <c r="BN113" s="39" t="s">
        <v>64</v>
      </c>
      <c r="BO113" s="205">
        <v>12</v>
      </c>
      <c r="BP113" s="205">
        <v>22</v>
      </c>
      <c r="BQ113" s="205">
        <v>6</v>
      </c>
      <c r="BR113" s="322">
        <f t="shared" si="36"/>
        <v>1584</v>
      </c>
      <c r="BS113" s="288">
        <f t="shared" si="37"/>
        <v>752.24</v>
      </c>
      <c r="BT113" s="288" t="s">
        <v>69</v>
      </c>
      <c r="BU113" s="229" t="s">
        <v>1910</v>
      </c>
      <c r="BV113" s="191"/>
      <c r="BW113" s="191"/>
      <c r="BX113" s="43"/>
    </row>
    <row r="114" spans="1:80" s="1" customFormat="1" x14ac:dyDescent="0.25">
      <c r="A114" s="241">
        <v>42725</v>
      </c>
      <c r="B114" s="323" t="s">
        <v>36</v>
      </c>
      <c r="C114" s="323" t="s">
        <v>2635</v>
      </c>
      <c r="D114" s="323" t="s">
        <v>240</v>
      </c>
      <c r="E114" s="323" t="s">
        <v>2614</v>
      </c>
      <c r="F114" s="96" t="s">
        <v>2731</v>
      </c>
      <c r="G114" s="59" t="s">
        <v>187</v>
      </c>
      <c r="H114" s="231">
        <v>25993215</v>
      </c>
      <c r="I114" s="336"/>
      <c r="J114" s="336"/>
      <c r="K114" s="29"/>
      <c r="L114" s="30"/>
      <c r="M114" s="30"/>
      <c r="N114" s="30"/>
      <c r="O114" s="80"/>
      <c r="P114" s="80"/>
      <c r="Q114" s="80"/>
      <c r="R114" s="80"/>
      <c r="S114" s="80"/>
      <c r="T114" s="80"/>
      <c r="U114" s="29"/>
      <c r="V114" s="41"/>
      <c r="W114" s="29">
        <v>86315</v>
      </c>
      <c r="X114" s="41"/>
      <c r="Y114" s="37"/>
      <c r="Z114" s="41"/>
      <c r="AA114" s="29"/>
      <c r="AB114" s="336"/>
      <c r="AC114" s="336" t="s">
        <v>2729</v>
      </c>
      <c r="AD114" s="59"/>
      <c r="AE114" s="336"/>
      <c r="AF114" s="336"/>
      <c r="AG114" s="336"/>
      <c r="AH114" s="336"/>
      <c r="AI114" s="336"/>
      <c r="AJ114" s="336"/>
      <c r="AK114" s="336">
        <v>3315</v>
      </c>
      <c r="AL114" s="37"/>
      <c r="AM114" s="336"/>
      <c r="AN114" s="336" t="s">
        <v>2730</v>
      </c>
      <c r="AO114" s="336"/>
      <c r="AP114" s="336" t="s">
        <v>2635</v>
      </c>
      <c r="AQ114" s="336">
        <v>33315</v>
      </c>
      <c r="AR114" s="63">
        <v>21.15</v>
      </c>
      <c r="AS114" s="27"/>
      <c r="AT114" s="214" t="s">
        <v>2642</v>
      </c>
      <c r="AU114" s="214" t="s">
        <v>2643</v>
      </c>
      <c r="AV114" s="283"/>
      <c r="AW114" s="283"/>
      <c r="AX114" s="283"/>
      <c r="AY114" s="338">
        <v>2.19</v>
      </c>
      <c r="AZ114" s="338">
        <v>6.14</v>
      </c>
      <c r="BA114" s="324">
        <v>0.35</v>
      </c>
      <c r="BB114" s="289">
        <f>2.37+0.036</f>
        <v>2.4060000000000001</v>
      </c>
      <c r="BC114" s="289">
        <f>2.37+0.036</f>
        <v>2.4060000000000001</v>
      </c>
      <c r="BD114" s="289">
        <f>6.8+0.036+0.036</f>
        <v>6.871999999999999</v>
      </c>
      <c r="BE114" s="287">
        <f t="shared" si="34"/>
        <v>2.3021343166666666E-2</v>
      </c>
      <c r="BF114" s="324">
        <v>0.06</v>
      </c>
      <c r="BG114" s="286">
        <v>10.25</v>
      </c>
      <c r="BH114" s="286">
        <v>7.75</v>
      </c>
      <c r="BI114" s="286">
        <f>6.62+0.5</f>
        <v>7.12</v>
      </c>
      <c r="BJ114" s="287">
        <f t="shared" si="35"/>
        <v>0.32731192129629633</v>
      </c>
      <c r="BK114" s="226">
        <v>0.4</v>
      </c>
      <c r="BL114" s="226"/>
      <c r="BM114" s="226"/>
      <c r="BN114" s="39" t="s">
        <v>64</v>
      </c>
      <c r="BO114" s="205">
        <v>12</v>
      </c>
      <c r="BP114" s="205">
        <v>22</v>
      </c>
      <c r="BQ114" s="205">
        <v>6</v>
      </c>
      <c r="BR114" s="322">
        <f t="shared" si="36"/>
        <v>1584</v>
      </c>
      <c r="BS114" s="288">
        <f t="shared" si="37"/>
        <v>752.24</v>
      </c>
      <c r="BT114" s="288" t="s">
        <v>69</v>
      </c>
      <c r="BU114" s="229" t="s">
        <v>1910</v>
      </c>
      <c r="BV114" s="191"/>
      <c r="BW114" s="191"/>
      <c r="BX114" s="43"/>
    </row>
    <row r="115" spans="1:80" s="1" customFormat="1" x14ac:dyDescent="0.25">
      <c r="A115" s="241">
        <v>42725</v>
      </c>
      <c r="B115" s="323" t="s">
        <v>14</v>
      </c>
      <c r="C115" s="323" t="s">
        <v>2644</v>
      </c>
      <c r="D115" s="323" t="s">
        <v>240</v>
      </c>
      <c r="E115" s="323" t="s">
        <v>2248</v>
      </c>
      <c r="F115" s="339" t="s">
        <v>2740</v>
      </c>
      <c r="G115" s="59" t="s">
        <v>259</v>
      </c>
      <c r="H115" s="231">
        <v>13717582908</v>
      </c>
      <c r="I115" s="336"/>
      <c r="J115" s="336"/>
      <c r="K115" s="29"/>
      <c r="L115" s="30"/>
      <c r="M115" s="30"/>
      <c r="N115" s="30"/>
      <c r="O115" s="80"/>
      <c r="P115" s="80"/>
      <c r="Q115" s="80"/>
      <c r="R115" s="80"/>
      <c r="S115" s="80"/>
      <c r="T115" s="80"/>
      <c r="U115" s="29"/>
      <c r="V115" s="41"/>
      <c r="W115" s="29">
        <v>83208</v>
      </c>
      <c r="X115" s="41"/>
      <c r="Y115" s="37"/>
      <c r="Z115" s="41"/>
      <c r="AA115" s="29"/>
      <c r="AB115" s="336" t="s">
        <v>2732</v>
      </c>
      <c r="AC115" s="336" t="s">
        <v>2733</v>
      </c>
      <c r="AD115" s="59" t="s">
        <v>2734</v>
      </c>
      <c r="AE115" s="336" t="s">
        <v>2735</v>
      </c>
      <c r="AF115" s="336" t="s">
        <v>2736</v>
      </c>
      <c r="AG115" s="336"/>
      <c r="AH115" s="336" t="s">
        <v>2737</v>
      </c>
      <c r="AI115" s="336"/>
      <c r="AJ115" s="336"/>
      <c r="AK115" s="336">
        <v>9208</v>
      </c>
      <c r="AL115" s="37" t="s">
        <v>2738</v>
      </c>
      <c r="AM115" s="336" t="s">
        <v>2739</v>
      </c>
      <c r="AN115" s="336"/>
      <c r="AO115" s="336"/>
      <c r="AP115" s="336"/>
      <c r="AQ115" s="336">
        <v>49208</v>
      </c>
      <c r="AR115" s="63">
        <v>35.229999999999997</v>
      </c>
      <c r="AS115" s="27">
        <f t="shared" ref="AS115:AS116" si="43">AR115/0.444</f>
        <v>79.346846846846844</v>
      </c>
      <c r="AT115" s="214" t="s">
        <v>2649</v>
      </c>
      <c r="AU115" s="214" t="s">
        <v>2650</v>
      </c>
      <c r="AV115" s="213">
        <v>10.63</v>
      </c>
      <c r="AW115" s="213">
        <v>9.92</v>
      </c>
      <c r="AX115" s="213">
        <v>2.0099999999999998</v>
      </c>
      <c r="AY115" s="44"/>
      <c r="AZ115" s="44"/>
      <c r="BA115" s="324">
        <v>0.62</v>
      </c>
      <c r="BB115" s="289">
        <f>10.68+0.036</f>
        <v>10.715999999999999</v>
      </c>
      <c r="BC115" s="289">
        <f>2.43+0.036</f>
        <v>2.4660000000000002</v>
      </c>
      <c r="BD115" s="287">
        <f>10.68+0.036+0.036</f>
        <v>10.751999999999999</v>
      </c>
      <c r="BE115" s="287">
        <f t="shared" si="34"/>
        <v>0.164426304</v>
      </c>
      <c r="BF115" s="324">
        <v>0.24</v>
      </c>
      <c r="BG115" s="286">
        <v>11.25</v>
      </c>
      <c r="BH115" s="286">
        <v>8</v>
      </c>
      <c r="BI115" s="286">
        <v>11.5</v>
      </c>
      <c r="BJ115" s="287">
        <f t="shared" si="35"/>
        <v>0.59895833333333337</v>
      </c>
      <c r="BK115" s="290">
        <v>0.53</v>
      </c>
      <c r="BL115" s="290"/>
      <c r="BM115" s="290"/>
      <c r="BN115" s="39" t="s">
        <v>64</v>
      </c>
      <c r="BO115" s="205">
        <v>3</v>
      </c>
      <c r="BP115" s="205">
        <v>20</v>
      </c>
      <c r="BQ115" s="205">
        <v>3</v>
      </c>
      <c r="BR115" s="322">
        <f t="shared" si="36"/>
        <v>180</v>
      </c>
      <c r="BS115" s="288">
        <f t="shared" si="37"/>
        <v>236.60000000000002</v>
      </c>
      <c r="BT115" s="322" t="s">
        <v>69</v>
      </c>
      <c r="BU115" s="229" t="s">
        <v>67</v>
      </c>
      <c r="BV115" s="191"/>
      <c r="BW115" s="191"/>
      <c r="BX115" s="43"/>
    </row>
    <row r="116" spans="1:80" s="1" customFormat="1" x14ac:dyDescent="0.25">
      <c r="A116" s="241">
        <v>42725</v>
      </c>
      <c r="B116" s="323" t="s">
        <v>14</v>
      </c>
      <c r="C116" s="323" t="s">
        <v>2645</v>
      </c>
      <c r="D116" s="323" t="s">
        <v>240</v>
      </c>
      <c r="E116" s="323" t="s">
        <v>2248</v>
      </c>
      <c r="F116" s="339" t="s">
        <v>2747</v>
      </c>
      <c r="G116" s="59" t="s">
        <v>223</v>
      </c>
      <c r="H116" s="231" t="s">
        <v>2746</v>
      </c>
      <c r="I116" s="336"/>
      <c r="J116" s="336"/>
      <c r="K116" s="29"/>
      <c r="L116" s="30"/>
      <c r="M116" s="30"/>
      <c r="N116" s="30"/>
      <c r="O116" s="80"/>
      <c r="P116" s="80"/>
      <c r="Q116" s="80"/>
      <c r="R116" s="80"/>
      <c r="S116" s="80"/>
      <c r="T116" s="80"/>
      <c r="U116" s="29" t="s">
        <v>2741</v>
      </c>
      <c r="V116" s="41"/>
      <c r="W116" s="29"/>
      <c r="X116" s="41"/>
      <c r="Y116" s="37"/>
      <c r="Z116" s="41"/>
      <c r="AA116" s="29"/>
      <c r="AB116" s="336"/>
      <c r="AC116" s="336" t="s">
        <v>2742</v>
      </c>
      <c r="AD116" s="59"/>
      <c r="AE116" s="336" t="s">
        <v>2743</v>
      </c>
      <c r="AF116" s="336"/>
      <c r="AG116" s="336"/>
      <c r="AH116" s="336"/>
      <c r="AI116" s="336"/>
      <c r="AJ116" s="336"/>
      <c r="AK116" s="336">
        <v>200196</v>
      </c>
      <c r="AL116" s="37"/>
      <c r="AM116" s="336"/>
      <c r="AN116" s="336" t="s">
        <v>2744</v>
      </c>
      <c r="AO116" s="336"/>
      <c r="AP116" s="336" t="s">
        <v>2744</v>
      </c>
      <c r="AQ116" s="336" t="s">
        <v>2745</v>
      </c>
      <c r="AR116" s="63">
        <v>28.17</v>
      </c>
      <c r="AS116" s="27">
        <f t="shared" si="43"/>
        <v>63.445945945945951</v>
      </c>
      <c r="AT116" s="214" t="s">
        <v>2651</v>
      </c>
      <c r="AU116" s="214" t="s">
        <v>2652</v>
      </c>
      <c r="AV116" s="213">
        <v>10.47</v>
      </c>
      <c r="AW116" s="213">
        <v>7.23</v>
      </c>
      <c r="AX116" s="213">
        <v>1.91</v>
      </c>
      <c r="AY116" s="44"/>
      <c r="AZ116" s="44"/>
      <c r="BA116" s="324">
        <v>0.5</v>
      </c>
      <c r="BB116" s="289">
        <f>7.48+0.036</f>
        <v>7.516</v>
      </c>
      <c r="BC116" s="289">
        <f>2.16+0.036</f>
        <v>2.1960000000000002</v>
      </c>
      <c r="BD116" s="289">
        <f>10.71+0.036+0.036</f>
        <v>10.782</v>
      </c>
      <c r="BE116" s="287">
        <f t="shared" si="34"/>
        <v>0.10298517150000001</v>
      </c>
      <c r="BF116" s="324">
        <v>0.05</v>
      </c>
      <c r="BG116" s="286">
        <f>13.38+0.25</f>
        <v>13.63</v>
      </c>
      <c r="BH116" s="286">
        <f>10.94+0.25</f>
        <v>11.19</v>
      </c>
      <c r="BI116" s="286">
        <f>7.95+0.5</f>
        <v>8.4499999999999993</v>
      </c>
      <c r="BJ116" s="287">
        <f t="shared" si="35"/>
        <v>0.74582839409722212</v>
      </c>
      <c r="BK116" s="226">
        <v>0.15</v>
      </c>
      <c r="BL116" s="226"/>
      <c r="BM116" s="226"/>
      <c r="BN116" s="39" t="s">
        <v>64</v>
      </c>
      <c r="BO116" s="205">
        <v>6</v>
      </c>
      <c r="BP116" s="205">
        <v>11</v>
      </c>
      <c r="BQ116" s="205">
        <v>5</v>
      </c>
      <c r="BR116" s="322">
        <f t="shared" si="36"/>
        <v>330</v>
      </c>
      <c r="BS116" s="288">
        <f t="shared" si="37"/>
        <v>239.75</v>
      </c>
      <c r="BT116" s="322" t="s">
        <v>182</v>
      </c>
      <c r="BU116" s="229" t="s">
        <v>67</v>
      </c>
      <c r="BV116" s="191"/>
      <c r="BW116" s="191"/>
      <c r="BX116" s="43"/>
    </row>
    <row r="117" spans="1:80" s="1" customFormat="1" x14ac:dyDescent="0.25">
      <c r="A117" s="241">
        <v>42725</v>
      </c>
      <c r="B117" s="323" t="s">
        <v>36</v>
      </c>
      <c r="C117" s="323" t="s">
        <v>2645</v>
      </c>
      <c r="D117" s="323" t="s">
        <v>240</v>
      </c>
      <c r="E117" s="323" t="s">
        <v>2248</v>
      </c>
      <c r="F117" s="339" t="s">
        <v>2747</v>
      </c>
      <c r="G117" s="59" t="s">
        <v>223</v>
      </c>
      <c r="H117" s="231" t="s">
        <v>2746</v>
      </c>
      <c r="I117" s="336"/>
      <c r="J117" s="336"/>
      <c r="K117" s="29"/>
      <c r="L117" s="30"/>
      <c r="M117" s="30"/>
      <c r="N117" s="30"/>
      <c r="O117" s="80"/>
      <c r="P117" s="80"/>
      <c r="Q117" s="80"/>
      <c r="R117" s="80"/>
      <c r="S117" s="80"/>
      <c r="T117" s="80"/>
      <c r="U117" s="29" t="s">
        <v>2741</v>
      </c>
      <c r="V117" s="41"/>
      <c r="W117" s="29"/>
      <c r="X117" s="41"/>
      <c r="Y117" s="37"/>
      <c r="Z117" s="41"/>
      <c r="AA117" s="29"/>
      <c r="AB117" s="336"/>
      <c r="AC117" s="336" t="s">
        <v>2742</v>
      </c>
      <c r="AD117" s="59"/>
      <c r="AE117" s="336" t="s">
        <v>2743</v>
      </c>
      <c r="AF117" s="336"/>
      <c r="AG117" s="336"/>
      <c r="AH117" s="336"/>
      <c r="AI117" s="336"/>
      <c r="AJ117" s="336"/>
      <c r="AK117" s="336">
        <v>200196</v>
      </c>
      <c r="AL117" s="37"/>
      <c r="AM117" s="336"/>
      <c r="AN117" s="336" t="s">
        <v>2744</v>
      </c>
      <c r="AO117" s="336"/>
      <c r="AP117" s="336" t="s">
        <v>2744</v>
      </c>
      <c r="AQ117" s="336" t="s">
        <v>2745</v>
      </c>
      <c r="AR117" s="63">
        <v>21.88</v>
      </c>
      <c r="AS117" s="27"/>
      <c r="AT117" s="214" t="s">
        <v>2653</v>
      </c>
      <c r="AU117" s="214" t="s">
        <v>2654</v>
      </c>
      <c r="AV117" s="213">
        <v>10.47</v>
      </c>
      <c r="AW117" s="213">
        <v>7.23</v>
      </c>
      <c r="AX117" s="213">
        <v>1.91</v>
      </c>
      <c r="AY117" s="44"/>
      <c r="AZ117" s="44"/>
      <c r="BA117" s="324">
        <v>0.5</v>
      </c>
      <c r="BB117" s="289">
        <f>7.48+0.036</f>
        <v>7.516</v>
      </c>
      <c r="BC117" s="289">
        <f>2.16+0.036</f>
        <v>2.1960000000000002</v>
      </c>
      <c r="BD117" s="289">
        <f>10.71+0.036+0.036</f>
        <v>10.782</v>
      </c>
      <c r="BE117" s="287">
        <f t="shared" si="34"/>
        <v>0.10298517150000001</v>
      </c>
      <c r="BF117" s="324">
        <v>0.05</v>
      </c>
      <c r="BG117" s="286">
        <f>10.94+0.25</f>
        <v>11.19</v>
      </c>
      <c r="BH117" s="286">
        <f>6.89+0.25</f>
        <v>7.14</v>
      </c>
      <c r="BI117" s="286">
        <f>7.95+0.5</f>
        <v>8.4499999999999993</v>
      </c>
      <c r="BJ117" s="287">
        <f t="shared" si="35"/>
        <v>0.39069807291666658</v>
      </c>
      <c r="BK117" s="226">
        <v>0.15</v>
      </c>
      <c r="BL117" s="226"/>
      <c r="BM117" s="226"/>
      <c r="BN117" s="39" t="s">
        <v>64</v>
      </c>
      <c r="BO117" s="205">
        <v>3</v>
      </c>
      <c r="BP117" s="205">
        <v>22</v>
      </c>
      <c r="BQ117" s="205">
        <v>5</v>
      </c>
      <c r="BR117" s="322">
        <f t="shared" si="36"/>
        <v>330</v>
      </c>
      <c r="BS117" s="288">
        <f t="shared" si="37"/>
        <v>248</v>
      </c>
      <c r="BT117" s="322" t="s">
        <v>182</v>
      </c>
      <c r="BU117" s="229" t="s">
        <v>67</v>
      </c>
      <c r="BV117" s="191"/>
      <c r="BW117" s="191"/>
      <c r="BX117" s="43"/>
    </row>
    <row r="118" spans="1:80" s="1" customFormat="1" x14ac:dyDescent="0.25">
      <c r="A118" s="241">
        <v>42725</v>
      </c>
      <c r="B118" s="323" t="s">
        <v>14</v>
      </c>
      <c r="C118" s="323" t="s">
        <v>2646</v>
      </c>
      <c r="D118" s="323" t="s">
        <v>240</v>
      </c>
      <c r="E118" s="323" t="s">
        <v>2248</v>
      </c>
      <c r="F118" s="96" t="s">
        <v>2754</v>
      </c>
      <c r="G118" s="59" t="s">
        <v>223</v>
      </c>
      <c r="H118" s="231" t="s">
        <v>2753</v>
      </c>
      <c r="I118" s="336"/>
      <c r="J118" s="336"/>
      <c r="K118" s="29"/>
      <c r="L118" s="30"/>
      <c r="M118" s="30"/>
      <c r="N118" s="30"/>
      <c r="O118" s="80"/>
      <c r="P118" s="80"/>
      <c r="Q118" s="80"/>
      <c r="R118" s="80"/>
      <c r="S118" s="80"/>
      <c r="T118" s="80"/>
      <c r="U118" s="29" t="s">
        <v>2748</v>
      </c>
      <c r="V118" s="41"/>
      <c r="W118" s="29"/>
      <c r="X118" s="41"/>
      <c r="Y118" s="37"/>
      <c r="Z118" s="41"/>
      <c r="AA118" s="29"/>
      <c r="AB118" s="336"/>
      <c r="AC118" s="336" t="s">
        <v>2749</v>
      </c>
      <c r="AD118" s="59"/>
      <c r="AE118" s="336"/>
      <c r="AF118" s="336"/>
      <c r="AG118" s="336"/>
      <c r="AH118" s="336"/>
      <c r="AI118" s="336"/>
      <c r="AJ118" s="336"/>
      <c r="AK118" s="336">
        <v>200296</v>
      </c>
      <c r="AL118" s="37"/>
      <c r="AM118" s="336" t="s">
        <v>2751</v>
      </c>
      <c r="AN118" s="336" t="s">
        <v>2750</v>
      </c>
      <c r="AO118" s="336"/>
      <c r="AP118" s="336" t="s">
        <v>2750</v>
      </c>
      <c r="AQ118" s="336" t="s">
        <v>2752</v>
      </c>
      <c r="AR118" s="63">
        <v>17.48</v>
      </c>
      <c r="AS118" s="27">
        <f>AR118/0.444</f>
        <v>39.369369369369373</v>
      </c>
      <c r="AT118" s="214" t="s">
        <v>2655</v>
      </c>
      <c r="AU118" s="214" t="s">
        <v>2656</v>
      </c>
      <c r="AV118" s="213">
        <v>11.65</v>
      </c>
      <c r="AW118" s="213">
        <v>7.09</v>
      </c>
      <c r="AX118" s="213">
        <v>1.89</v>
      </c>
      <c r="AY118" s="44"/>
      <c r="AZ118" s="44"/>
      <c r="BA118" s="324">
        <v>0.55000000000000004</v>
      </c>
      <c r="BB118" s="289">
        <f>7.36+0.036</f>
        <v>7.3959999999999999</v>
      </c>
      <c r="BC118" s="289">
        <f>2.32+0.036</f>
        <v>2.3559999999999999</v>
      </c>
      <c r="BD118" s="289">
        <f>12.24+0.072</f>
        <v>12.311999999999999</v>
      </c>
      <c r="BE118" s="287">
        <f t="shared" si="34"/>
        <v>0.124152954</v>
      </c>
      <c r="BF118" s="324">
        <v>0.05</v>
      </c>
      <c r="BG118" s="286">
        <f>14.33+0.25</f>
        <v>14.58</v>
      </c>
      <c r="BH118" s="286">
        <f>12.48+0.25</f>
        <v>12.73</v>
      </c>
      <c r="BI118" s="286">
        <f>7.83+0.5</f>
        <v>8.33</v>
      </c>
      <c r="BJ118" s="287">
        <f t="shared" si="35"/>
        <v>0.89472009375000006</v>
      </c>
      <c r="BK118" s="226">
        <v>0.15</v>
      </c>
      <c r="BL118" s="226"/>
      <c r="BM118" s="226"/>
      <c r="BN118" s="39" t="s">
        <v>64</v>
      </c>
      <c r="BO118" s="205">
        <v>6</v>
      </c>
      <c r="BP118" s="205">
        <v>9</v>
      </c>
      <c r="BQ118" s="205">
        <v>5</v>
      </c>
      <c r="BR118" s="322">
        <f t="shared" si="36"/>
        <v>270</v>
      </c>
      <c r="BS118" s="288">
        <f t="shared" si="37"/>
        <v>218.75000000000003</v>
      </c>
      <c r="BT118" s="322" t="s">
        <v>182</v>
      </c>
      <c r="BU118" s="229" t="s">
        <v>67</v>
      </c>
      <c r="BV118" s="191"/>
      <c r="BW118" s="191"/>
      <c r="BX118" s="43"/>
    </row>
    <row r="119" spans="1:80" s="1" customFormat="1" x14ac:dyDescent="0.25">
      <c r="A119" s="241">
        <v>42725</v>
      </c>
      <c r="B119" s="323" t="s">
        <v>36</v>
      </c>
      <c r="C119" s="323" t="s">
        <v>2646</v>
      </c>
      <c r="D119" s="323" t="s">
        <v>240</v>
      </c>
      <c r="E119" s="323" t="s">
        <v>2248</v>
      </c>
      <c r="F119" s="96" t="s">
        <v>2754</v>
      </c>
      <c r="G119" s="59" t="s">
        <v>223</v>
      </c>
      <c r="H119" s="231" t="s">
        <v>2753</v>
      </c>
      <c r="I119" s="336"/>
      <c r="J119" s="336"/>
      <c r="K119" s="29"/>
      <c r="L119" s="30"/>
      <c r="M119" s="30"/>
      <c r="N119" s="30"/>
      <c r="O119" s="80"/>
      <c r="P119" s="80"/>
      <c r="Q119" s="80"/>
      <c r="R119" s="80"/>
      <c r="S119" s="80"/>
      <c r="T119" s="80"/>
      <c r="U119" s="29" t="s">
        <v>2748</v>
      </c>
      <c r="V119" s="41"/>
      <c r="W119" s="29"/>
      <c r="X119" s="41"/>
      <c r="Y119" s="37"/>
      <c r="Z119" s="41"/>
      <c r="AA119" s="29"/>
      <c r="AB119" s="336"/>
      <c r="AC119" s="336" t="s">
        <v>2749</v>
      </c>
      <c r="AD119" s="59"/>
      <c r="AE119" s="336"/>
      <c r="AF119" s="336"/>
      <c r="AG119" s="336"/>
      <c r="AH119" s="336"/>
      <c r="AI119" s="336"/>
      <c r="AJ119" s="336"/>
      <c r="AK119" s="336">
        <v>200296</v>
      </c>
      <c r="AL119" s="37"/>
      <c r="AM119" s="336" t="s">
        <v>2751</v>
      </c>
      <c r="AN119" s="336" t="s">
        <v>2750</v>
      </c>
      <c r="AO119" s="336"/>
      <c r="AP119" s="336" t="s">
        <v>2750</v>
      </c>
      <c r="AQ119" s="336" t="s">
        <v>2752</v>
      </c>
      <c r="AR119" s="63">
        <v>13.58</v>
      </c>
      <c r="AS119" s="27"/>
      <c r="AT119" s="214" t="s">
        <v>2657</v>
      </c>
      <c r="AU119" s="214" t="s">
        <v>2658</v>
      </c>
      <c r="AV119" s="213">
        <v>11.65</v>
      </c>
      <c r="AW119" s="213">
        <v>7.09</v>
      </c>
      <c r="AX119" s="213">
        <v>1.89</v>
      </c>
      <c r="AY119" s="44"/>
      <c r="AZ119" s="44"/>
      <c r="BA119" s="324">
        <v>0.55000000000000004</v>
      </c>
      <c r="BB119" s="289">
        <f>7.36+0.036</f>
        <v>7.3959999999999999</v>
      </c>
      <c r="BC119" s="289">
        <f>2.32+0.036</f>
        <v>2.3559999999999999</v>
      </c>
      <c r="BD119" s="289">
        <f>12.24+0.072</f>
        <v>12.311999999999999</v>
      </c>
      <c r="BE119" s="287">
        <f t="shared" si="34"/>
        <v>0.124152954</v>
      </c>
      <c r="BF119" s="324">
        <v>0.05</v>
      </c>
      <c r="BG119" s="286">
        <v>12.65</v>
      </c>
      <c r="BH119" s="286">
        <f>7.56+0.25</f>
        <v>7.81</v>
      </c>
      <c r="BI119" s="286">
        <f>7.56+0.5</f>
        <v>8.0599999999999987</v>
      </c>
      <c r="BJ119" s="287">
        <f t="shared" si="35"/>
        <v>0.46082163773148138</v>
      </c>
      <c r="BK119" s="226">
        <v>0.15</v>
      </c>
      <c r="BL119" s="226"/>
      <c r="BM119" s="226"/>
      <c r="BN119" s="39" t="s">
        <v>64</v>
      </c>
      <c r="BO119" s="205">
        <v>3</v>
      </c>
      <c r="BP119" s="205">
        <v>18</v>
      </c>
      <c r="BQ119" s="205">
        <v>5</v>
      </c>
      <c r="BR119" s="322">
        <f t="shared" si="36"/>
        <v>270</v>
      </c>
      <c r="BS119" s="288">
        <f t="shared" si="37"/>
        <v>225.5</v>
      </c>
      <c r="BT119" s="322" t="s">
        <v>182</v>
      </c>
      <c r="BU119" s="229" t="s">
        <v>67</v>
      </c>
      <c r="BV119" s="191"/>
      <c r="BW119" s="191"/>
      <c r="BX119" s="43"/>
    </row>
    <row r="120" spans="1:80" s="1" customFormat="1" x14ac:dyDescent="0.25">
      <c r="A120" s="241">
        <v>42725</v>
      </c>
      <c r="B120" s="323" t="s">
        <v>14</v>
      </c>
      <c r="C120" s="323" t="s">
        <v>2647</v>
      </c>
      <c r="D120" s="323" t="s">
        <v>240</v>
      </c>
      <c r="E120" s="323" t="s">
        <v>2248</v>
      </c>
      <c r="F120" s="96" t="s">
        <v>2760</v>
      </c>
      <c r="G120" s="59" t="s">
        <v>1399</v>
      </c>
      <c r="H120" s="231" t="s">
        <v>2759</v>
      </c>
      <c r="I120" s="336"/>
      <c r="J120" s="336"/>
      <c r="K120" s="29"/>
      <c r="L120" s="30"/>
      <c r="M120" s="30"/>
      <c r="N120" s="30"/>
      <c r="O120" s="80"/>
      <c r="P120" s="80"/>
      <c r="Q120" s="80"/>
      <c r="R120" s="80"/>
      <c r="S120" s="80"/>
      <c r="T120" s="80"/>
      <c r="U120" s="29"/>
      <c r="V120" s="41"/>
      <c r="W120" s="29">
        <v>93085</v>
      </c>
      <c r="X120" s="41"/>
      <c r="Y120" s="37"/>
      <c r="Z120" s="41"/>
      <c r="AA120" s="29"/>
      <c r="AB120" s="336"/>
      <c r="AC120" s="336"/>
      <c r="AD120" s="59"/>
      <c r="AE120" s="336" t="s">
        <v>2755</v>
      </c>
      <c r="AF120" s="336"/>
      <c r="AG120" s="336"/>
      <c r="AH120" s="336"/>
      <c r="AI120" s="336"/>
      <c r="AJ120" s="336"/>
      <c r="AK120" s="336">
        <v>200085</v>
      </c>
      <c r="AL120" s="37" t="s">
        <v>2756</v>
      </c>
      <c r="AM120" s="336"/>
      <c r="AN120" s="336" t="s">
        <v>2757</v>
      </c>
      <c r="AO120" s="336"/>
      <c r="AP120" s="336" t="s">
        <v>2757</v>
      </c>
      <c r="AQ120" s="336" t="s">
        <v>2758</v>
      </c>
      <c r="AR120" s="63">
        <v>26.43</v>
      </c>
      <c r="AS120" s="27">
        <f>AR120/0.444</f>
        <v>59.527027027027025</v>
      </c>
      <c r="AT120" s="214" t="s">
        <v>2659</v>
      </c>
      <c r="AU120" s="214" t="s">
        <v>2660</v>
      </c>
      <c r="AV120" s="213">
        <v>10.24</v>
      </c>
      <c r="AW120" s="213">
        <v>11.75</v>
      </c>
      <c r="AX120" s="213">
        <v>2.2999999999999998</v>
      </c>
      <c r="AY120" s="44"/>
      <c r="AZ120" s="44"/>
      <c r="BA120" s="324">
        <v>0.95</v>
      </c>
      <c r="BB120" s="289">
        <f>11.02+0.036</f>
        <v>11.055999999999999</v>
      </c>
      <c r="BC120" s="289">
        <f>2.76+0.036</f>
        <v>2.7959999999999998</v>
      </c>
      <c r="BD120" s="289">
        <f>12.076</f>
        <v>12.076000000000001</v>
      </c>
      <c r="BE120" s="287">
        <f t="shared" si="34"/>
        <v>0.21603024755555555</v>
      </c>
      <c r="BF120" s="324">
        <v>0.05</v>
      </c>
      <c r="BG120" s="286">
        <f>16.93+0.25</f>
        <v>17.18</v>
      </c>
      <c r="BH120" s="286">
        <f>12.24+0.25</f>
        <v>12.49</v>
      </c>
      <c r="BI120" s="286">
        <v>12</v>
      </c>
      <c r="BJ120" s="287">
        <f t="shared" si="35"/>
        <v>1.4901263888888889</v>
      </c>
      <c r="BK120" s="226">
        <v>0.15</v>
      </c>
      <c r="BL120" s="226"/>
      <c r="BM120" s="226"/>
      <c r="BN120" s="39" t="s">
        <v>64</v>
      </c>
      <c r="BO120" s="205">
        <v>6</v>
      </c>
      <c r="BP120" s="205">
        <v>7</v>
      </c>
      <c r="BQ120" s="205">
        <v>3</v>
      </c>
      <c r="BR120" s="322">
        <f t="shared" si="36"/>
        <v>126</v>
      </c>
      <c r="BS120" s="288">
        <f t="shared" si="37"/>
        <v>179.15</v>
      </c>
      <c r="BT120" s="322" t="s">
        <v>182</v>
      </c>
      <c r="BU120" s="229" t="s">
        <v>67</v>
      </c>
      <c r="BV120" s="191"/>
      <c r="BW120" s="191"/>
      <c r="BX120" s="43"/>
    </row>
    <row r="121" spans="1:80" s="1" customFormat="1" x14ac:dyDescent="0.25">
      <c r="A121" s="241">
        <v>42725</v>
      </c>
      <c r="B121" s="323" t="s">
        <v>36</v>
      </c>
      <c r="C121" s="323" t="s">
        <v>2647</v>
      </c>
      <c r="D121" s="323" t="s">
        <v>240</v>
      </c>
      <c r="E121" s="323" t="s">
        <v>2248</v>
      </c>
      <c r="F121" s="96" t="s">
        <v>2760</v>
      </c>
      <c r="G121" s="59" t="s">
        <v>1399</v>
      </c>
      <c r="H121" s="231" t="s">
        <v>2759</v>
      </c>
      <c r="I121" s="336"/>
      <c r="J121" s="336"/>
      <c r="K121" s="29"/>
      <c r="L121" s="30"/>
      <c r="M121" s="30"/>
      <c r="N121" s="30"/>
      <c r="O121" s="80"/>
      <c r="P121" s="80"/>
      <c r="Q121" s="80"/>
      <c r="R121" s="80"/>
      <c r="S121" s="80"/>
      <c r="T121" s="80"/>
      <c r="U121" s="29"/>
      <c r="V121" s="41"/>
      <c r="W121" s="29">
        <v>93085</v>
      </c>
      <c r="X121" s="41"/>
      <c r="Y121" s="37"/>
      <c r="Z121" s="41"/>
      <c r="AA121" s="29"/>
      <c r="AB121" s="336"/>
      <c r="AC121" s="336"/>
      <c r="AD121" s="59"/>
      <c r="AE121" s="336" t="s">
        <v>2755</v>
      </c>
      <c r="AF121" s="336"/>
      <c r="AG121" s="336"/>
      <c r="AH121" s="336"/>
      <c r="AI121" s="336"/>
      <c r="AJ121" s="336"/>
      <c r="AK121" s="336">
        <v>200085</v>
      </c>
      <c r="AL121" s="37" t="s">
        <v>2756</v>
      </c>
      <c r="AM121" s="336"/>
      <c r="AN121" s="336" t="s">
        <v>2757</v>
      </c>
      <c r="AO121" s="336"/>
      <c r="AP121" s="336" t="s">
        <v>2757</v>
      </c>
      <c r="AQ121" s="336" t="s">
        <v>2758</v>
      </c>
      <c r="AR121" s="63">
        <v>20.53</v>
      </c>
      <c r="AS121" s="27"/>
      <c r="AT121" s="214" t="s">
        <v>2661</v>
      </c>
      <c r="AU121" s="214" t="s">
        <v>2662</v>
      </c>
      <c r="AV121" s="213">
        <v>10.24</v>
      </c>
      <c r="AW121" s="213">
        <v>11.75</v>
      </c>
      <c r="AX121" s="213">
        <v>2.2999999999999998</v>
      </c>
      <c r="AY121" s="44"/>
      <c r="AZ121" s="44"/>
      <c r="BA121" s="324">
        <v>0.95</v>
      </c>
      <c r="BB121" s="289">
        <f>11.02+0.036</f>
        <v>11.055999999999999</v>
      </c>
      <c r="BC121" s="289">
        <f>2.76+0.036</f>
        <v>2.7959999999999998</v>
      </c>
      <c r="BD121" s="289">
        <f>12.076</f>
        <v>12.076000000000001</v>
      </c>
      <c r="BE121" s="287">
        <f t="shared" si="34"/>
        <v>0.21603024755555555</v>
      </c>
      <c r="BF121" s="324">
        <v>0.05</v>
      </c>
      <c r="BG121" s="286">
        <f>12.24+0.25</f>
        <v>12.49</v>
      </c>
      <c r="BH121" s="286">
        <f>8.66+0.25</f>
        <v>8.91</v>
      </c>
      <c r="BI121" s="286">
        <v>12</v>
      </c>
      <c r="BJ121" s="287">
        <f t="shared" si="35"/>
        <v>0.77281875</v>
      </c>
      <c r="BK121" s="226">
        <v>0.15</v>
      </c>
      <c r="BL121" s="226"/>
      <c r="BM121" s="226"/>
      <c r="BN121" s="39" t="s">
        <v>64</v>
      </c>
      <c r="BO121" s="205">
        <v>3</v>
      </c>
      <c r="BP121" s="205">
        <v>15</v>
      </c>
      <c r="BQ121" s="205">
        <v>3</v>
      </c>
      <c r="BR121" s="322">
        <f t="shared" si="36"/>
        <v>135</v>
      </c>
      <c r="BS121" s="288">
        <f t="shared" si="37"/>
        <v>191.75</v>
      </c>
      <c r="BT121" s="322" t="s">
        <v>182</v>
      </c>
      <c r="BU121" s="229" t="s">
        <v>67</v>
      </c>
      <c r="BV121" s="191"/>
      <c r="BW121" s="191"/>
      <c r="BX121" s="43"/>
    </row>
    <row r="122" spans="1:80" s="1" customFormat="1" x14ac:dyDescent="0.25">
      <c r="A122" s="241">
        <v>42725</v>
      </c>
      <c r="B122" s="323" t="s">
        <v>14</v>
      </c>
      <c r="C122" s="323" t="s">
        <v>2648</v>
      </c>
      <c r="D122" s="323" t="s">
        <v>240</v>
      </c>
      <c r="E122" s="323" t="s">
        <v>2514</v>
      </c>
      <c r="F122" s="96" t="s">
        <v>2762</v>
      </c>
      <c r="G122" s="59" t="s">
        <v>223</v>
      </c>
      <c r="H122" s="231" t="s">
        <v>2761</v>
      </c>
      <c r="I122" s="336"/>
      <c r="J122" s="336"/>
      <c r="K122" s="29"/>
      <c r="L122" s="30"/>
      <c r="M122" s="30"/>
      <c r="N122" s="30"/>
      <c r="O122" s="80"/>
      <c r="P122" s="80"/>
      <c r="Q122" s="80"/>
      <c r="R122" s="80"/>
      <c r="S122" s="80"/>
      <c r="T122" s="80"/>
      <c r="U122" s="29"/>
      <c r="V122" s="41"/>
      <c r="W122" s="29"/>
      <c r="X122" s="41"/>
      <c r="Y122" s="37"/>
      <c r="Z122" s="41"/>
      <c r="AA122" s="29"/>
      <c r="AB122" s="336"/>
      <c r="AC122" s="336"/>
      <c r="AD122" s="59"/>
      <c r="AE122" s="336"/>
      <c r="AF122" s="336"/>
      <c r="AG122" s="336"/>
      <c r="AH122" s="336"/>
      <c r="AI122" s="336"/>
      <c r="AJ122" s="336"/>
      <c r="AK122" s="336"/>
      <c r="AL122" s="37"/>
      <c r="AM122" s="336"/>
      <c r="AN122" s="336">
        <v>56086</v>
      </c>
      <c r="AO122" s="336"/>
      <c r="AP122" s="336">
        <v>56086</v>
      </c>
      <c r="AQ122" s="336"/>
      <c r="AR122" s="63">
        <v>42.24</v>
      </c>
      <c r="AS122" s="27">
        <f>AR122/0.444</f>
        <v>95.135135135135144</v>
      </c>
      <c r="AT122" s="214" t="s">
        <v>2663</v>
      </c>
      <c r="AU122" s="214" t="s">
        <v>2664</v>
      </c>
      <c r="AV122" s="283"/>
      <c r="AW122" s="283"/>
      <c r="AX122" s="283"/>
      <c r="AY122" s="335">
        <v>2.91</v>
      </c>
      <c r="AZ122" s="335">
        <v>5.35</v>
      </c>
      <c r="BA122" s="324">
        <v>0.25</v>
      </c>
      <c r="BB122" s="289">
        <f>3.15+0.036</f>
        <v>3.1859999999999999</v>
      </c>
      <c r="BC122" s="289">
        <f>3.15+0.036</f>
        <v>3.1859999999999999</v>
      </c>
      <c r="BD122" s="289">
        <v>6.0720000000000001</v>
      </c>
      <c r="BE122" s="287">
        <f t="shared" si="34"/>
        <v>3.5668066499999998E-2</v>
      </c>
      <c r="BF122" s="324">
        <v>7.0000000000000007E-2</v>
      </c>
      <c r="BG122" s="286">
        <v>13.25</v>
      </c>
      <c r="BH122" s="286">
        <v>10</v>
      </c>
      <c r="BI122" s="286">
        <v>6.62</v>
      </c>
      <c r="BJ122" s="286">
        <f t="shared" si="35"/>
        <v>0.50760995370370376</v>
      </c>
      <c r="BK122" s="226">
        <v>0.59</v>
      </c>
      <c r="BL122" s="226"/>
      <c r="BM122" s="226"/>
      <c r="BN122" s="39" t="s">
        <v>64</v>
      </c>
      <c r="BO122" s="205">
        <v>12</v>
      </c>
      <c r="BP122" s="205">
        <v>14</v>
      </c>
      <c r="BQ122" s="205">
        <v>6</v>
      </c>
      <c r="BR122" s="322">
        <f t="shared" si="36"/>
        <v>1008</v>
      </c>
      <c r="BS122" s="288">
        <f t="shared" si="37"/>
        <v>422.12</v>
      </c>
      <c r="BT122" s="322" t="s">
        <v>2498</v>
      </c>
      <c r="BU122" s="229" t="s">
        <v>1910</v>
      </c>
      <c r="BV122" s="191"/>
      <c r="BW122" s="191"/>
      <c r="BX122" s="43"/>
    </row>
    <row r="123" spans="1:80" s="1" customFormat="1" x14ac:dyDescent="0.25">
      <c r="A123" s="241">
        <v>42725</v>
      </c>
      <c r="B123" s="323" t="s">
        <v>36</v>
      </c>
      <c r="C123" s="323" t="s">
        <v>2648</v>
      </c>
      <c r="D123" s="323" t="s">
        <v>240</v>
      </c>
      <c r="E123" s="323" t="s">
        <v>2514</v>
      </c>
      <c r="F123" s="96" t="s">
        <v>2762</v>
      </c>
      <c r="G123" s="59" t="s">
        <v>223</v>
      </c>
      <c r="H123" s="231" t="s">
        <v>2761</v>
      </c>
      <c r="I123" s="336"/>
      <c r="J123" s="336"/>
      <c r="K123" s="29"/>
      <c r="L123" s="30"/>
      <c r="M123" s="30"/>
      <c r="N123" s="30"/>
      <c r="O123" s="80"/>
      <c r="P123" s="80"/>
      <c r="Q123" s="80"/>
      <c r="R123" s="80"/>
      <c r="S123" s="80"/>
      <c r="T123" s="80"/>
      <c r="U123" s="29"/>
      <c r="V123" s="41"/>
      <c r="W123" s="29"/>
      <c r="X123" s="41"/>
      <c r="Y123" s="37"/>
      <c r="Z123" s="41"/>
      <c r="AA123" s="29"/>
      <c r="AB123" s="336"/>
      <c r="AC123" s="336"/>
      <c r="AD123" s="59"/>
      <c r="AE123" s="336"/>
      <c r="AF123" s="336"/>
      <c r="AG123" s="336"/>
      <c r="AH123" s="336"/>
      <c r="AI123" s="336"/>
      <c r="AJ123" s="336"/>
      <c r="AK123" s="336"/>
      <c r="AL123" s="37"/>
      <c r="AM123" s="336"/>
      <c r="AN123" s="336">
        <v>56086</v>
      </c>
      <c r="AO123" s="336"/>
      <c r="AP123" s="336">
        <v>56086</v>
      </c>
      <c r="AQ123" s="336"/>
      <c r="AR123" s="63">
        <v>32.81</v>
      </c>
      <c r="AS123" s="27"/>
      <c r="AT123" s="214" t="s">
        <v>2665</v>
      </c>
      <c r="AU123" s="214" t="s">
        <v>2666</v>
      </c>
      <c r="AV123" s="283"/>
      <c r="AW123" s="283"/>
      <c r="AX123" s="283"/>
      <c r="AY123" s="335">
        <v>2.91</v>
      </c>
      <c r="AZ123" s="335">
        <v>5.35</v>
      </c>
      <c r="BA123" s="324">
        <v>0.25</v>
      </c>
      <c r="BB123" s="289">
        <f>3.15+0.036</f>
        <v>3.1859999999999999</v>
      </c>
      <c r="BC123" s="289">
        <f>3.15+0.036</f>
        <v>3.1859999999999999</v>
      </c>
      <c r="BD123" s="289">
        <v>6.0720000000000001</v>
      </c>
      <c r="BE123" s="287">
        <f t="shared" si="34"/>
        <v>3.5668066499999998E-2</v>
      </c>
      <c r="BF123" s="324">
        <v>7.0000000000000007E-2</v>
      </c>
      <c r="BG123" s="286">
        <v>13.25</v>
      </c>
      <c r="BH123" s="286">
        <v>10</v>
      </c>
      <c r="BI123" s="286">
        <v>6.62</v>
      </c>
      <c r="BJ123" s="286">
        <f t="shared" si="35"/>
        <v>0.50760995370370376</v>
      </c>
      <c r="BK123" s="226">
        <v>0.59</v>
      </c>
      <c r="BL123" s="226"/>
      <c r="BM123" s="226"/>
      <c r="BN123" s="39" t="s">
        <v>64</v>
      </c>
      <c r="BO123" s="205">
        <v>12</v>
      </c>
      <c r="BP123" s="205">
        <v>14</v>
      </c>
      <c r="BQ123" s="205">
        <v>6</v>
      </c>
      <c r="BR123" s="322">
        <f t="shared" si="36"/>
        <v>1008</v>
      </c>
      <c r="BS123" s="288">
        <f t="shared" si="37"/>
        <v>422.12</v>
      </c>
      <c r="BT123" s="322" t="s">
        <v>2498</v>
      </c>
      <c r="BU123" s="229" t="s">
        <v>1910</v>
      </c>
      <c r="BV123" s="191"/>
      <c r="BW123" s="191"/>
      <c r="BX123" s="43"/>
    </row>
    <row r="124" spans="1:80" s="1" customFormat="1" ht="30" x14ac:dyDescent="0.25">
      <c r="A124" s="241">
        <v>42629</v>
      </c>
      <c r="B124" s="218" t="s">
        <v>14</v>
      </c>
      <c r="C124" s="218" t="s">
        <v>2387</v>
      </c>
      <c r="D124" s="218" t="s">
        <v>73</v>
      </c>
      <c r="E124" s="218" t="s">
        <v>78</v>
      </c>
      <c r="F124" s="96" t="s">
        <v>2587</v>
      </c>
      <c r="G124" s="59" t="s">
        <v>188</v>
      </c>
      <c r="H124" s="59" t="s">
        <v>2388</v>
      </c>
      <c r="I124" s="59"/>
      <c r="J124" s="336"/>
      <c r="K124" s="29"/>
      <c r="L124" s="30"/>
      <c r="M124" s="30"/>
      <c r="N124" s="30"/>
      <c r="O124" s="80"/>
      <c r="P124" s="80"/>
      <c r="Q124" s="80"/>
      <c r="R124" s="80"/>
      <c r="S124" s="80"/>
      <c r="T124" s="80"/>
      <c r="U124" s="29"/>
      <c r="V124" s="41"/>
      <c r="W124" s="29"/>
      <c r="X124" s="41"/>
      <c r="Y124" s="37"/>
      <c r="Z124" s="41"/>
      <c r="AA124" s="29"/>
      <c r="AB124" s="336"/>
      <c r="AC124" s="336"/>
      <c r="AD124" s="59"/>
      <c r="AE124" s="336"/>
      <c r="AF124" s="336"/>
      <c r="AG124" s="336"/>
      <c r="AH124" s="336"/>
      <c r="AI124" s="336"/>
      <c r="AJ124" s="336"/>
      <c r="AK124" s="336"/>
      <c r="AL124" s="37"/>
      <c r="AM124" s="336"/>
      <c r="AN124" s="336"/>
      <c r="AO124" s="336"/>
      <c r="AP124" s="336"/>
      <c r="AQ124" s="336"/>
      <c r="AR124" s="63">
        <v>157.58000000000001</v>
      </c>
      <c r="AS124" s="27">
        <f t="shared" ref="AS124:AS135" si="44">AR124/0.444</f>
        <v>354.90990990990991</v>
      </c>
      <c r="AT124" s="329" t="s">
        <v>2389</v>
      </c>
      <c r="AU124" s="329" t="s">
        <v>2390</v>
      </c>
      <c r="AV124" s="44"/>
      <c r="AW124" s="44"/>
      <c r="AX124" s="44"/>
      <c r="AY124" s="324">
        <v>3.93</v>
      </c>
      <c r="AZ124" s="324">
        <v>11</v>
      </c>
      <c r="BA124" s="324">
        <v>2.2000000000000002</v>
      </c>
      <c r="BB124" s="449" t="s">
        <v>2391</v>
      </c>
      <c r="BC124" s="450"/>
      <c r="BD124" s="450"/>
      <c r="BE124" s="450"/>
      <c r="BF124" s="451"/>
      <c r="BG124" s="286">
        <v>18</v>
      </c>
      <c r="BH124" s="286">
        <v>13.75</v>
      </c>
      <c r="BI124" s="286">
        <v>14</v>
      </c>
      <c r="BJ124" s="287">
        <f>(BG124/12)*(BH124/12)*(BI124/12)</f>
        <v>2.0052083333333335</v>
      </c>
      <c r="BK124" s="226">
        <v>1.1000000000000001</v>
      </c>
      <c r="BL124" s="226"/>
      <c r="BM124" s="226"/>
      <c r="BN124" s="39" t="s">
        <v>64</v>
      </c>
      <c r="BO124" s="337">
        <v>12</v>
      </c>
      <c r="BP124" s="337">
        <v>6</v>
      </c>
      <c r="BQ124" s="337">
        <v>3</v>
      </c>
      <c r="BR124" s="322">
        <f t="shared" ref="BR124:BR137" si="45">BO124*BP124*BQ124</f>
        <v>216</v>
      </c>
      <c r="BS124" s="288">
        <f>(BR124*BK124*BA124)+150</f>
        <v>672.72000000000014</v>
      </c>
      <c r="BT124" s="322" t="s">
        <v>2157</v>
      </c>
      <c r="BU124" s="40" t="s">
        <v>1910</v>
      </c>
      <c r="BV124" s="191"/>
      <c r="BW124" s="191"/>
      <c r="BX124" s="82"/>
    </row>
    <row r="125" spans="1:80" s="1" customFormat="1" x14ac:dyDescent="0.25">
      <c r="A125" s="241">
        <v>42629</v>
      </c>
      <c r="B125" s="218" t="s">
        <v>14</v>
      </c>
      <c r="C125" s="333" t="s">
        <v>2392</v>
      </c>
      <c r="D125" s="323" t="s">
        <v>240</v>
      </c>
      <c r="E125" s="323" t="s">
        <v>1102</v>
      </c>
      <c r="F125" s="102" t="s">
        <v>2404</v>
      </c>
      <c r="G125" s="102" t="s">
        <v>1493</v>
      </c>
      <c r="H125" s="59" t="s">
        <v>2402</v>
      </c>
      <c r="I125" s="332"/>
      <c r="J125" s="332"/>
      <c r="K125" s="29"/>
      <c r="L125" s="30"/>
      <c r="M125" s="30"/>
      <c r="N125" s="30"/>
      <c r="O125" s="80"/>
      <c r="P125" s="80"/>
      <c r="Q125" s="80"/>
      <c r="R125" s="80"/>
      <c r="S125" s="80"/>
      <c r="T125" s="80"/>
      <c r="U125" s="29"/>
      <c r="V125" s="41"/>
      <c r="W125" s="29">
        <v>93050</v>
      </c>
      <c r="X125" s="41"/>
      <c r="Y125" s="37"/>
      <c r="Z125" s="41"/>
      <c r="AA125" s="29"/>
      <c r="AB125" s="332" t="s">
        <v>2518</v>
      </c>
      <c r="AC125" s="332" t="s">
        <v>2559</v>
      </c>
      <c r="AD125" s="59"/>
      <c r="AE125" s="332" t="s">
        <v>2519</v>
      </c>
      <c r="AF125" s="332"/>
      <c r="AG125" s="332"/>
      <c r="AH125" s="332"/>
      <c r="AI125" s="332"/>
      <c r="AJ125" s="332"/>
      <c r="AK125" s="332"/>
      <c r="AL125" s="332" t="s">
        <v>2520</v>
      </c>
      <c r="AM125" s="332"/>
      <c r="AN125" s="332" t="s">
        <v>2521</v>
      </c>
      <c r="AO125" s="332"/>
      <c r="AP125" s="332" t="s">
        <v>2522</v>
      </c>
      <c r="AQ125" s="332" t="s">
        <v>2523</v>
      </c>
      <c r="AR125" s="63">
        <v>23.17</v>
      </c>
      <c r="AS125" s="27">
        <f t="shared" si="44"/>
        <v>52.18468468468469</v>
      </c>
      <c r="AT125" s="329" t="s">
        <v>2400</v>
      </c>
      <c r="AU125" s="329" t="s">
        <v>2401</v>
      </c>
      <c r="AV125" s="84">
        <v>11.53</v>
      </c>
      <c r="AW125" s="84">
        <v>6.89</v>
      </c>
      <c r="AX125" s="84">
        <v>1.73</v>
      </c>
      <c r="AY125" s="44"/>
      <c r="AZ125" s="44"/>
      <c r="BA125" s="324">
        <v>0.69</v>
      </c>
      <c r="BB125" s="289">
        <v>7.0359999999999996</v>
      </c>
      <c r="BC125" s="289">
        <v>2.536</v>
      </c>
      <c r="BD125" s="287">
        <f>11.75+0.036+0.036</f>
        <v>11.821999999999999</v>
      </c>
      <c r="BE125" s="287">
        <f t="shared" ref="BE125:BE137" si="46">(BD125*BC125*BB125)/1728</f>
        <v>0.12207375307407406</v>
      </c>
      <c r="BF125" s="324">
        <v>0.19</v>
      </c>
      <c r="BG125" s="286">
        <v>12.25</v>
      </c>
      <c r="BH125" s="286">
        <v>7.5</v>
      </c>
      <c r="BI125" s="286">
        <v>8.5</v>
      </c>
      <c r="BJ125" s="287">
        <f t="shared" ref="BJ125:BJ137" si="47">(BI125*BH125*BG125)/1728</f>
        <v>0.4519314236111111</v>
      </c>
      <c r="BK125" s="290">
        <v>0.44</v>
      </c>
      <c r="BL125" s="290"/>
      <c r="BM125" s="290"/>
      <c r="BN125" s="39" t="s">
        <v>64</v>
      </c>
      <c r="BO125" s="333">
        <v>3</v>
      </c>
      <c r="BP125" s="333">
        <v>20</v>
      </c>
      <c r="BQ125" s="333">
        <v>5</v>
      </c>
      <c r="BR125" s="322">
        <f t="shared" si="45"/>
        <v>300</v>
      </c>
      <c r="BS125" s="288">
        <f t="shared" ref="BS125:BS137" si="48">((((BA125+BF125)*BO125)+BK125)*BP125*BQ125)+50</f>
        <v>358</v>
      </c>
      <c r="BT125" s="322" t="s">
        <v>69</v>
      </c>
      <c r="BU125" s="40" t="s">
        <v>67</v>
      </c>
      <c r="BV125" s="191"/>
      <c r="BW125" s="191"/>
      <c r="BX125" s="82"/>
    </row>
    <row r="126" spans="1:80" s="1" customFormat="1" x14ac:dyDescent="0.25">
      <c r="A126" s="241">
        <v>42629</v>
      </c>
      <c r="B126" s="218" t="s">
        <v>14</v>
      </c>
      <c r="C126" s="333" t="s">
        <v>2393</v>
      </c>
      <c r="D126" s="323" t="s">
        <v>240</v>
      </c>
      <c r="E126" s="323" t="s">
        <v>2248</v>
      </c>
      <c r="F126" s="102" t="s">
        <v>2405</v>
      </c>
      <c r="G126" s="102" t="s">
        <v>2050</v>
      </c>
      <c r="H126" s="59">
        <v>2760940004</v>
      </c>
      <c r="I126" s="332"/>
      <c r="J126" s="332"/>
      <c r="K126" s="29"/>
      <c r="L126" s="30"/>
      <c r="M126" s="30"/>
      <c r="N126" s="30"/>
      <c r="O126" s="80"/>
      <c r="P126" s="80"/>
      <c r="Q126" s="80"/>
      <c r="R126" s="80"/>
      <c r="S126" s="80"/>
      <c r="T126" s="80"/>
      <c r="U126" s="29"/>
      <c r="V126" s="41"/>
      <c r="W126" s="29">
        <v>83034</v>
      </c>
      <c r="X126" s="41"/>
      <c r="Y126" s="37"/>
      <c r="Z126" s="41"/>
      <c r="AA126" s="29"/>
      <c r="AB126" s="332" t="s">
        <v>2524</v>
      </c>
      <c r="AC126" s="37" t="s">
        <v>2555</v>
      </c>
      <c r="AD126" s="59" t="s">
        <v>2556</v>
      </c>
      <c r="AE126" s="332"/>
      <c r="AF126" s="332" t="s">
        <v>2557</v>
      </c>
      <c r="AG126" s="332"/>
      <c r="AH126" s="332" t="s">
        <v>2558</v>
      </c>
      <c r="AI126" s="332"/>
      <c r="AJ126" s="332"/>
      <c r="AK126" s="332">
        <v>9034</v>
      </c>
      <c r="AL126" s="37"/>
      <c r="AM126" s="332" t="s">
        <v>2526</v>
      </c>
      <c r="AN126" s="332" t="s">
        <v>2525</v>
      </c>
      <c r="AO126" s="332"/>
      <c r="AP126" s="332" t="s">
        <v>2525</v>
      </c>
      <c r="AQ126" s="332">
        <v>49034</v>
      </c>
      <c r="AR126" s="63">
        <v>52.4</v>
      </c>
      <c r="AS126" s="27">
        <f t="shared" si="44"/>
        <v>118.01801801801801</v>
      </c>
      <c r="AT126" s="329" t="s">
        <v>2394</v>
      </c>
      <c r="AU126" s="329" t="s">
        <v>2395</v>
      </c>
      <c r="AV126" s="84">
        <v>16.7</v>
      </c>
      <c r="AW126" s="84">
        <v>7.9210000000000003</v>
      </c>
      <c r="AX126" s="84">
        <v>1.101</v>
      </c>
      <c r="AY126" s="44"/>
      <c r="AZ126" s="44"/>
      <c r="BA126" s="324">
        <v>1.1240000000000001</v>
      </c>
      <c r="BB126" s="289">
        <f>10.75+0.036</f>
        <v>10.786</v>
      </c>
      <c r="BC126" s="289">
        <f>1.75+0.036</f>
        <v>1.786</v>
      </c>
      <c r="BD126" s="287">
        <f>17.62+0.036+0.036</f>
        <v>17.692000000000004</v>
      </c>
      <c r="BE126" s="287">
        <f t="shared" si="46"/>
        <v>0.1972309483981482</v>
      </c>
      <c r="BF126" s="324">
        <v>0.31</v>
      </c>
      <c r="BG126" s="286">
        <f>17.87+0.25</f>
        <v>18.12</v>
      </c>
      <c r="BH126" s="286">
        <v>12.25</v>
      </c>
      <c r="BI126" s="286">
        <v>6.62</v>
      </c>
      <c r="BJ126" s="287">
        <f t="shared" si="47"/>
        <v>0.85037118055555561</v>
      </c>
      <c r="BK126" s="290">
        <v>0.81</v>
      </c>
      <c r="BL126" s="290"/>
      <c r="BM126" s="290"/>
      <c r="BN126" s="39" t="s">
        <v>64</v>
      </c>
      <c r="BO126" s="333">
        <v>3</v>
      </c>
      <c r="BP126" s="333">
        <v>7</v>
      </c>
      <c r="BQ126" s="333">
        <v>6</v>
      </c>
      <c r="BR126" s="322">
        <f t="shared" si="45"/>
        <v>126</v>
      </c>
      <c r="BS126" s="288">
        <f t="shared" si="48"/>
        <v>264.70400000000001</v>
      </c>
      <c r="BT126" s="322" t="s">
        <v>69</v>
      </c>
      <c r="BU126" s="40" t="s">
        <v>67</v>
      </c>
      <c r="BV126" s="191"/>
      <c r="BW126" s="82"/>
      <c r="BX126" s="82"/>
      <c r="BY126" s="191"/>
      <c r="BZ126" s="191"/>
      <c r="CA126" s="191"/>
      <c r="CB126" s="191"/>
    </row>
    <row r="127" spans="1:80" s="1" customFormat="1" x14ac:dyDescent="0.25">
      <c r="A127" s="241">
        <v>42629</v>
      </c>
      <c r="B127" s="218" t="s">
        <v>14</v>
      </c>
      <c r="C127" s="323" t="s">
        <v>2396</v>
      </c>
      <c r="D127" s="323" t="s">
        <v>240</v>
      </c>
      <c r="E127" s="323" t="s">
        <v>1102</v>
      </c>
      <c r="F127" s="96" t="s">
        <v>2406</v>
      </c>
      <c r="G127" s="59" t="s">
        <v>1009</v>
      </c>
      <c r="H127" s="231" t="s">
        <v>2403</v>
      </c>
      <c r="I127" s="332" t="s">
        <v>47</v>
      </c>
      <c r="J127" s="332" t="s">
        <v>2552</v>
      </c>
      <c r="K127" s="29"/>
      <c r="L127" s="30"/>
      <c r="M127" s="30"/>
      <c r="N127" s="30"/>
      <c r="O127" s="80"/>
      <c r="P127" s="80"/>
      <c r="Q127" s="80"/>
      <c r="R127" s="80"/>
      <c r="S127" s="80"/>
      <c r="T127" s="80"/>
      <c r="U127" s="29"/>
      <c r="V127" s="41"/>
      <c r="W127" s="29">
        <v>83013</v>
      </c>
      <c r="X127" s="41"/>
      <c r="Y127" s="37"/>
      <c r="Z127" s="41"/>
      <c r="AA127" s="29"/>
      <c r="AB127" s="332" t="s">
        <v>2527</v>
      </c>
      <c r="AC127" s="332" t="s">
        <v>2553</v>
      </c>
      <c r="AD127" s="59" t="s">
        <v>2588</v>
      </c>
      <c r="AE127" s="332"/>
      <c r="AF127" s="332"/>
      <c r="AG127" s="332"/>
      <c r="AH127" s="332" t="s">
        <v>2554</v>
      </c>
      <c r="AI127" s="332"/>
      <c r="AJ127" s="332"/>
      <c r="AK127" s="332">
        <v>9013</v>
      </c>
      <c r="AL127" s="37"/>
      <c r="AM127" s="332" t="s">
        <v>2529</v>
      </c>
      <c r="AN127" s="332" t="s">
        <v>2528</v>
      </c>
      <c r="AO127" s="332"/>
      <c r="AP127" s="332" t="s">
        <v>2528</v>
      </c>
      <c r="AQ127" s="332">
        <v>49013</v>
      </c>
      <c r="AR127" s="63">
        <v>31.52</v>
      </c>
      <c r="AS127" s="27">
        <f t="shared" si="44"/>
        <v>70.990990990990994</v>
      </c>
      <c r="AT127" s="329" t="s">
        <v>2398</v>
      </c>
      <c r="AU127" s="329" t="s">
        <v>2399</v>
      </c>
      <c r="AV127" s="44"/>
      <c r="AW127" s="44"/>
      <c r="AX127" s="44"/>
      <c r="AY127" s="331">
        <v>5.39</v>
      </c>
      <c r="AZ127" s="331">
        <v>8.69</v>
      </c>
      <c r="BA127" s="324">
        <v>0.62</v>
      </c>
      <c r="BB127" s="289">
        <v>6.0359999999999996</v>
      </c>
      <c r="BC127" s="289">
        <v>6.0359999999999996</v>
      </c>
      <c r="BD127" s="289">
        <f>9+0.036+0.036</f>
        <v>9.0719999999999992</v>
      </c>
      <c r="BE127" s="287">
        <f t="shared" si="46"/>
        <v>0.19127480399999996</v>
      </c>
      <c r="BF127" s="324">
        <v>0.1</v>
      </c>
      <c r="BG127" s="286">
        <v>18.75</v>
      </c>
      <c r="BH127" s="286">
        <v>6.75</v>
      </c>
      <c r="BI127" s="286">
        <v>9.6199999999999992</v>
      </c>
      <c r="BJ127" s="287">
        <f t="shared" si="47"/>
        <v>0.70458984374999989</v>
      </c>
      <c r="BK127" s="290">
        <v>0.59</v>
      </c>
      <c r="BL127" s="290"/>
      <c r="BM127" s="290"/>
      <c r="BN127" s="39" t="s">
        <v>64</v>
      </c>
      <c r="BO127" s="333">
        <v>3</v>
      </c>
      <c r="BP127" s="333">
        <v>10</v>
      </c>
      <c r="BQ127" s="333">
        <v>6</v>
      </c>
      <c r="BR127" s="322">
        <f t="shared" si="45"/>
        <v>180</v>
      </c>
      <c r="BS127" s="288">
        <f t="shared" si="48"/>
        <v>215</v>
      </c>
      <c r="BT127" s="322" t="s">
        <v>69</v>
      </c>
      <c r="BU127" s="40" t="s">
        <v>67</v>
      </c>
      <c r="BV127" s="191"/>
      <c r="BW127" s="191"/>
      <c r="BX127" s="82"/>
    </row>
    <row r="128" spans="1:80" s="1" customFormat="1" x14ac:dyDescent="0.25">
      <c r="A128" s="241">
        <v>42629</v>
      </c>
      <c r="B128" s="218" t="s">
        <v>14</v>
      </c>
      <c r="C128" s="323" t="s">
        <v>2488</v>
      </c>
      <c r="D128" s="323" t="s">
        <v>240</v>
      </c>
      <c r="E128" s="323" t="s">
        <v>1102</v>
      </c>
      <c r="F128" s="96" t="s">
        <v>2515</v>
      </c>
      <c r="G128" s="102" t="s">
        <v>259</v>
      </c>
      <c r="H128" s="59">
        <v>13718507320</v>
      </c>
      <c r="I128" s="332" t="s">
        <v>259</v>
      </c>
      <c r="J128" s="332">
        <v>13717630911</v>
      </c>
      <c r="K128" s="332" t="s">
        <v>2546</v>
      </c>
      <c r="L128" s="332" t="s">
        <v>2547</v>
      </c>
      <c r="M128" s="30"/>
      <c r="N128" s="30"/>
      <c r="O128" s="80"/>
      <c r="P128" s="80"/>
      <c r="Q128" s="80"/>
      <c r="R128" s="80"/>
      <c r="S128" s="80"/>
      <c r="T128" s="80"/>
      <c r="U128" s="29"/>
      <c r="V128" s="41"/>
      <c r="W128" s="29">
        <v>93005</v>
      </c>
      <c r="X128" s="41"/>
      <c r="Y128" s="37"/>
      <c r="Z128" s="41"/>
      <c r="AA128" s="29"/>
      <c r="AB128" s="332" t="s">
        <v>2530</v>
      </c>
      <c r="AC128" s="332" t="s">
        <v>2548</v>
      </c>
      <c r="AD128" s="59" t="s">
        <v>2549</v>
      </c>
      <c r="AE128" s="332"/>
      <c r="AF128" s="332" t="s">
        <v>2550</v>
      </c>
      <c r="AG128" s="332"/>
      <c r="AH128" s="332" t="s">
        <v>2551</v>
      </c>
      <c r="AI128" s="332"/>
      <c r="AJ128" s="332"/>
      <c r="AK128" s="332">
        <v>200005</v>
      </c>
      <c r="AL128" s="37"/>
      <c r="AM128" s="332"/>
      <c r="AN128" s="332" t="s">
        <v>2531</v>
      </c>
      <c r="AO128" s="332"/>
      <c r="AP128" s="332" t="s">
        <v>2531</v>
      </c>
      <c r="AQ128" s="332" t="s">
        <v>2532</v>
      </c>
      <c r="AR128" s="63">
        <v>29.04</v>
      </c>
      <c r="AS128" s="27">
        <f t="shared" si="44"/>
        <v>65.405405405405403</v>
      </c>
      <c r="AT128" s="329" t="s">
        <v>2508</v>
      </c>
      <c r="AU128" s="329" t="s">
        <v>2509</v>
      </c>
      <c r="AV128" s="84">
        <v>8.92</v>
      </c>
      <c r="AW128" s="84">
        <v>8.01</v>
      </c>
      <c r="AX128" s="84">
        <v>1.62</v>
      </c>
      <c r="AY128" s="44"/>
      <c r="AZ128" s="44"/>
      <c r="BA128" s="324">
        <v>0.32</v>
      </c>
      <c r="BB128" s="289">
        <f>8.5+0.18+0.18</f>
        <v>8.86</v>
      </c>
      <c r="BC128" s="289">
        <f>2.37+0.036</f>
        <v>2.4060000000000001</v>
      </c>
      <c r="BD128" s="287">
        <f>10.62+0.036+0.036</f>
        <v>10.691999999999998</v>
      </c>
      <c r="BE128" s="287">
        <f t="shared" si="46"/>
        <v>0.13189992749999999</v>
      </c>
      <c r="BF128" s="324">
        <v>0.2</v>
      </c>
      <c r="BG128" s="286">
        <v>12.5</v>
      </c>
      <c r="BH128" s="286">
        <v>10.5</v>
      </c>
      <c r="BI128" s="286">
        <v>8.25</v>
      </c>
      <c r="BJ128" s="287">
        <f t="shared" si="47"/>
        <v>0.62662760416666663</v>
      </c>
      <c r="BK128" s="290">
        <v>0.59</v>
      </c>
      <c r="BL128" s="290"/>
      <c r="BM128" s="290"/>
      <c r="BN128" s="39" t="s">
        <v>64</v>
      </c>
      <c r="BO128" s="333">
        <v>3</v>
      </c>
      <c r="BP128" s="333">
        <v>12</v>
      </c>
      <c r="BQ128" s="333">
        <v>5</v>
      </c>
      <c r="BR128" s="322">
        <f t="shared" si="45"/>
        <v>180</v>
      </c>
      <c r="BS128" s="288">
        <f t="shared" si="48"/>
        <v>179</v>
      </c>
      <c r="BT128" s="322" t="s">
        <v>255</v>
      </c>
      <c r="BU128" s="40" t="s">
        <v>67</v>
      </c>
      <c r="BV128" s="191"/>
      <c r="BW128" s="191"/>
      <c r="BX128" s="82"/>
    </row>
    <row r="129" spans="1:80" s="1" customFormat="1" x14ac:dyDescent="0.25">
      <c r="A129" s="241">
        <v>42629</v>
      </c>
      <c r="B129" s="218" t="s">
        <v>14</v>
      </c>
      <c r="C129" s="323" t="s">
        <v>2565</v>
      </c>
      <c r="D129" s="323" t="s">
        <v>240</v>
      </c>
      <c r="E129" s="323" t="s">
        <v>1102</v>
      </c>
      <c r="F129" s="96" t="s">
        <v>2571</v>
      </c>
      <c r="G129" s="102" t="s">
        <v>1009</v>
      </c>
      <c r="H129" s="59" t="s">
        <v>2575</v>
      </c>
      <c r="I129" s="102" t="s">
        <v>1009</v>
      </c>
      <c r="J129" s="59" t="s">
        <v>2576</v>
      </c>
      <c r="K129" s="102" t="s">
        <v>1009</v>
      </c>
      <c r="L129" s="59" t="s">
        <v>2575</v>
      </c>
      <c r="M129" s="102" t="s">
        <v>1009</v>
      </c>
      <c r="N129" s="59" t="s">
        <v>2577</v>
      </c>
      <c r="O129" s="102" t="s">
        <v>1009</v>
      </c>
      <c r="P129" s="59" t="s">
        <v>2578</v>
      </c>
      <c r="Q129" s="80"/>
      <c r="R129" s="80"/>
      <c r="S129" s="80"/>
      <c r="T129" s="80"/>
      <c r="U129" s="29"/>
      <c r="V129" s="41"/>
      <c r="W129" s="29"/>
      <c r="X129" s="41"/>
      <c r="Y129" s="37"/>
      <c r="Z129" s="41"/>
      <c r="AA129" s="29"/>
      <c r="AB129" s="332"/>
      <c r="AC129" s="332"/>
      <c r="AD129" s="59" t="s">
        <v>2572</v>
      </c>
      <c r="AE129" s="332"/>
      <c r="AF129" s="332" t="s">
        <v>2573</v>
      </c>
      <c r="AG129" s="332"/>
      <c r="AH129" s="332" t="s">
        <v>2574</v>
      </c>
      <c r="AI129" s="332"/>
      <c r="AJ129" s="332"/>
      <c r="AK129" s="332"/>
      <c r="AL129" s="37"/>
      <c r="AM129" s="332"/>
      <c r="AN129" s="332"/>
      <c r="AO129" s="332"/>
      <c r="AP129" s="332"/>
      <c r="AQ129" s="332"/>
      <c r="AR129" s="63">
        <v>22.44</v>
      </c>
      <c r="AS129" s="27">
        <f t="shared" si="44"/>
        <v>50.54054054054054</v>
      </c>
      <c r="AT129" s="329" t="s">
        <v>2580</v>
      </c>
      <c r="AU129" s="329" t="s">
        <v>2581</v>
      </c>
      <c r="AV129" s="44">
        <v>9.1300000000000008</v>
      </c>
      <c r="AW129" s="44">
        <v>4.57</v>
      </c>
      <c r="AX129" s="44">
        <v>2.44</v>
      </c>
      <c r="AY129" s="331"/>
      <c r="AZ129" s="331"/>
      <c r="BA129" s="324">
        <v>1.02</v>
      </c>
      <c r="BB129" s="289" t="s">
        <v>2582</v>
      </c>
      <c r="BC129" s="289" t="s">
        <v>2582</v>
      </c>
      <c r="BD129" s="289" t="s">
        <v>2582</v>
      </c>
      <c r="BE129" s="287" t="s">
        <v>2582</v>
      </c>
      <c r="BF129" s="324" t="s">
        <v>2582</v>
      </c>
      <c r="BG129" s="286">
        <v>10</v>
      </c>
      <c r="BH129" s="286">
        <v>5.25</v>
      </c>
      <c r="BI129" s="286">
        <v>9.3699999999999992</v>
      </c>
      <c r="BJ129" s="287">
        <f>(BG129*BH129*BI129)/1728</f>
        <v>0.2846788194444444</v>
      </c>
      <c r="BK129" s="290">
        <v>3.36</v>
      </c>
      <c r="BL129" s="290"/>
      <c r="BM129" s="290"/>
      <c r="BN129" s="39" t="s">
        <v>64</v>
      </c>
      <c r="BO129" s="333">
        <v>3</v>
      </c>
      <c r="BP129" s="333">
        <v>32</v>
      </c>
      <c r="BQ129" s="333">
        <v>4</v>
      </c>
      <c r="BR129" s="333">
        <v>384</v>
      </c>
      <c r="BS129" s="333">
        <v>519</v>
      </c>
      <c r="BT129" s="333" t="s">
        <v>69</v>
      </c>
      <c r="BU129" s="40" t="s">
        <v>1910</v>
      </c>
      <c r="BV129" s="191"/>
      <c r="BW129" s="191"/>
      <c r="BX129" s="82"/>
    </row>
    <row r="130" spans="1:80" s="1" customFormat="1" x14ac:dyDescent="0.25">
      <c r="A130" s="241">
        <v>42629</v>
      </c>
      <c r="B130" s="218" t="s">
        <v>14</v>
      </c>
      <c r="C130" s="323" t="s">
        <v>2566</v>
      </c>
      <c r="D130" s="323" t="s">
        <v>240</v>
      </c>
      <c r="E130" s="323" t="s">
        <v>1102</v>
      </c>
      <c r="F130" s="96" t="s">
        <v>2570</v>
      </c>
      <c r="G130" s="102" t="s">
        <v>223</v>
      </c>
      <c r="H130" s="59" t="s">
        <v>2569</v>
      </c>
      <c r="I130" s="332"/>
      <c r="J130" s="332"/>
      <c r="K130" s="332"/>
      <c r="L130" s="332"/>
      <c r="M130" s="30"/>
      <c r="N130" s="30"/>
      <c r="O130" s="80"/>
      <c r="P130" s="80"/>
      <c r="Q130" s="80"/>
      <c r="R130" s="80"/>
      <c r="S130" s="80"/>
      <c r="T130" s="80"/>
      <c r="U130" s="29" t="s">
        <v>2579</v>
      </c>
      <c r="V130" s="41"/>
      <c r="W130" s="29"/>
      <c r="X130" s="41"/>
      <c r="Y130" s="37"/>
      <c r="Z130" s="41"/>
      <c r="AA130" s="29"/>
      <c r="AB130" s="332"/>
      <c r="AC130" s="332"/>
      <c r="AD130" s="59"/>
      <c r="AE130" s="332"/>
      <c r="AF130" s="332"/>
      <c r="AG130" s="332"/>
      <c r="AH130" s="332"/>
      <c r="AI130" s="332"/>
      <c r="AJ130" s="332"/>
      <c r="AK130" s="332"/>
      <c r="AL130" s="37"/>
      <c r="AM130" s="332"/>
      <c r="AN130" s="332"/>
      <c r="AO130" s="332"/>
      <c r="AP130" s="332"/>
      <c r="AQ130" s="332"/>
      <c r="AR130" s="63">
        <v>39.96</v>
      </c>
      <c r="AS130" s="27">
        <f t="shared" si="44"/>
        <v>90</v>
      </c>
      <c r="AT130" s="329" t="s">
        <v>2583</v>
      </c>
      <c r="AU130" s="329" t="s">
        <v>2584</v>
      </c>
      <c r="AV130" s="44">
        <v>11.38</v>
      </c>
      <c r="AW130" s="44">
        <v>6.95</v>
      </c>
      <c r="AX130" s="44">
        <v>2.74</v>
      </c>
      <c r="AY130" s="331"/>
      <c r="AZ130" s="331"/>
      <c r="BA130" s="324">
        <v>0.69</v>
      </c>
      <c r="BB130" s="289">
        <v>7.16</v>
      </c>
      <c r="BC130" s="289">
        <v>3.03</v>
      </c>
      <c r="BD130" s="289">
        <v>11.57</v>
      </c>
      <c r="BE130" s="287">
        <f>(BB130*BC130*BD130)/1728</f>
        <v>0.14525974305555556</v>
      </c>
      <c r="BF130" s="324">
        <v>0.1</v>
      </c>
      <c r="BG130" s="286">
        <v>18.829999999999998</v>
      </c>
      <c r="BH130" s="286">
        <v>12.06</v>
      </c>
      <c r="BI130" s="286">
        <v>8.14</v>
      </c>
      <c r="BJ130" s="287">
        <f t="shared" ref="BJ130:BJ131" si="49">(BG130*BH130*BI130)/1728</f>
        <v>1.0697401458333333</v>
      </c>
      <c r="BK130" s="290">
        <v>5.34</v>
      </c>
      <c r="BL130" s="290"/>
      <c r="BM130" s="290"/>
      <c r="BN130" s="39" t="s">
        <v>64</v>
      </c>
      <c r="BO130" s="333">
        <v>6</v>
      </c>
      <c r="BP130" s="333">
        <v>7</v>
      </c>
      <c r="BQ130" s="333">
        <v>5</v>
      </c>
      <c r="BR130" s="322">
        <v>210</v>
      </c>
      <c r="BS130" s="288">
        <v>237</v>
      </c>
      <c r="BT130" s="322" t="s">
        <v>182</v>
      </c>
      <c r="BU130" s="40" t="s">
        <v>1910</v>
      </c>
      <c r="BV130" s="191"/>
      <c r="BW130" s="191"/>
      <c r="BX130" s="82"/>
    </row>
    <row r="131" spans="1:80" s="1" customFormat="1" x14ac:dyDescent="0.25">
      <c r="A131" s="241">
        <v>42629</v>
      </c>
      <c r="B131" s="218" t="s">
        <v>14</v>
      </c>
      <c r="C131" s="323" t="s">
        <v>2567</v>
      </c>
      <c r="D131" s="323" t="s">
        <v>240</v>
      </c>
      <c r="E131" s="323" t="s">
        <v>2110</v>
      </c>
      <c r="F131" s="330" t="s">
        <v>2568</v>
      </c>
      <c r="G131" s="102" t="s">
        <v>259</v>
      </c>
      <c r="H131" s="59">
        <v>64119321875</v>
      </c>
      <c r="I131" s="102" t="s">
        <v>259</v>
      </c>
      <c r="J131" s="332">
        <v>64319390445</v>
      </c>
      <c r="K131" s="102" t="s">
        <v>259</v>
      </c>
      <c r="L131" s="332">
        <v>64319297750</v>
      </c>
      <c r="M131" s="30"/>
      <c r="N131" s="30"/>
      <c r="O131" s="80"/>
      <c r="P131" s="80"/>
      <c r="Q131" s="80"/>
      <c r="R131" s="80"/>
      <c r="S131" s="80"/>
      <c r="T131" s="80"/>
      <c r="U131" s="29"/>
      <c r="V131" s="41"/>
      <c r="W131" s="29"/>
      <c r="X131" s="41"/>
      <c r="Y131" s="37"/>
      <c r="Z131" s="41"/>
      <c r="AA131" s="29"/>
      <c r="AB131" s="332"/>
      <c r="AC131" s="332"/>
      <c r="AD131" s="59"/>
      <c r="AE131" s="332"/>
      <c r="AF131" s="332"/>
      <c r="AG131" s="332"/>
      <c r="AH131" s="332" t="s">
        <v>2589</v>
      </c>
      <c r="AI131" s="332"/>
      <c r="AJ131" s="332"/>
      <c r="AK131" s="332"/>
      <c r="AL131" s="37"/>
      <c r="AM131" s="332"/>
      <c r="AN131" s="332"/>
      <c r="AO131" s="332"/>
      <c r="AP131" s="332"/>
      <c r="AQ131" s="332"/>
      <c r="AR131" s="334">
        <v>37.049999999999997</v>
      </c>
      <c r="AS131" s="27">
        <f t="shared" si="44"/>
        <v>83.445945945945937</v>
      </c>
      <c r="AT131" s="329" t="s">
        <v>2585</v>
      </c>
      <c r="AU131" s="329" t="s">
        <v>2586</v>
      </c>
      <c r="AV131" s="84"/>
      <c r="AW131" s="84"/>
      <c r="AX131" s="84"/>
      <c r="AY131" s="44">
        <v>6.52</v>
      </c>
      <c r="AZ131" s="44">
        <v>12.38</v>
      </c>
      <c r="BA131" s="324">
        <v>1.6</v>
      </c>
      <c r="BB131" s="289">
        <v>6.89</v>
      </c>
      <c r="BC131" s="289">
        <v>6.89</v>
      </c>
      <c r="BD131" s="287">
        <v>13.583</v>
      </c>
      <c r="BE131" s="287">
        <f>(BB131*BC131*BD131)/1728</f>
        <v>0.37315598049768517</v>
      </c>
      <c r="BF131" s="324">
        <v>0.13</v>
      </c>
      <c r="BG131" s="286">
        <v>21.707000000000001</v>
      </c>
      <c r="BH131" s="286">
        <v>15.013999999999999</v>
      </c>
      <c r="BI131" s="286">
        <v>15.067</v>
      </c>
      <c r="BJ131" s="287">
        <f t="shared" si="49"/>
        <v>2.8417068091238429</v>
      </c>
      <c r="BK131" s="290">
        <v>10.8</v>
      </c>
      <c r="BL131" s="290"/>
      <c r="BM131" s="290"/>
      <c r="BN131" s="39" t="s">
        <v>64</v>
      </c>
      <c r="BO131" s="333">
        <v>6</v>
      </c>
      <c r="BP131" s="333">
        <v>5</v>
      </c>
      <c r="BQ131" s="333">
        <v>2</v>
      </c>
      <c r="BR131" s="322">
        <v>60</v>
      </c>
      <c r="BS131" s="288">
        <v>698</v>
      </c>
      <c r="BT131" s="322" t="s">
        <v>69</v>
      </c>
      <c r="BU131" s="40" t="s">
        <v>2173</v>
      </c>
      <c r="BV131" s="191"/>
      <c r="BW131" s="191"/>
      <c r="BX131" s="82"/>
    </row>
    <row r="132" spans="1:80" s="1" customFormat="1" x14ac:dyDescent="0.25">
      <c r="A132" s="241">
        <v>42629</v>
      </c>
      <c r="B132" s="218" t="s">
        <v>14</v>
      </c>
      <c r="C132" s="323" t="s">
        <v>2505</v>
      </c>
      <c r="D132" s="323" t="s">
        <v>240</v>
      </c>
      <c r="E132" s="323" t="s">
        <v>2110</v>
      </c>
      <c r="F132" s="96" t="s">
        <v>2517</v>
      </c>
      <c r="G132" s="59" t="s">
        <v>2516</v>
      </c>
      <c r="H132" s="231">
        <v>96190645</v>
      </c>
      <c r="I132" s="332"/>
      <c r="J132" s="332"/>
      <c r="K132" s="29"/>
      <c r="L132" s="30"/>
      <c r="M132" s="30"/>
      <c r="N132" s="30"/>
      <c r="O132" s="80"/>
      <c r="P132" s="80"/>
      <c r="Q132" s="80"/>
      <c r="R132" s="80"/>
      <c r="S132" s="80"/>
      <c r="T132" s="80"/>
      <c r="U132" s="29"/>
      <c r="V132" s="41"/>
      <c r="W132" s="29"/>
      <c r="X132" s="41"/>
      <c r="Y132" s="37"/>
      <c r="Z132" s="41"/>
      <c r="AA132" s="29"/>
      <c r="AB132" s="332"/>
      <c r="AC132" s="332"/>
      <c r="AD132" s="59"/>
      <c r="AE132" s="332"/>
      <c r="AF132" s="332"/>
      <c r="AG132" s="332"/>
      <c r="AH132" s="332"/>
      <c r="AI132" s="332"/>
      <c r="AJ132" s="332"/>
      <c r="AK132" s="332"/>
      <c r="AL132" s="37"/>
      <c r="AM132" s="332" t="s">
        <v>2505</v>
      </c>
      <c r="AN132" s="332"/>
      <c r="AO132" s="332"/>
      <c r="AP132" s="332"/>
      <c r="AQ132" s="332"/>
      <c r="AR132" s="63">
        <v>18.010000000000002</v>
      </c>
      <c r="AS132" s="27">
        <f t="shared" si="44"/>
        <v>40.563063063063069</v>
      </c>
      <c r="AT132" s="329" t="s">
        <v>2506</v>
      </c>
      <c r="AU132" s="329" t="s">
        <v>2507</v>
      </c>
      <c r="AV132" s="84">
        <v>8.56</v>
      </c>
      <c r="AW132" s="84">
        <v>7.68</v>
      </c>
      <c r="AX132" s="84">
        <v>0.98</v>
      </c>
      <c r="AY132" s="44"/>
      <c r="AZ132" s="44"/>
      <c r="BA132" s="324">
        <v>0.35</v>
      </c>
      <c r="BB132" s="289">
        <f>8.14+0.036</f>
        <v>8.1760000000000002</v>
      </c>
      <c r="BC132" s="289">
        <f>1.45+0.036</f>
        <v>1.486</v>
      </c>
      <c r="BD132" s="287">
        <f>9.01+0.036+0.036</f>
        <v>9.081999999999999</v>
      </c>
      <c r="BE132" s="287">
        <f t="shared" si="46"/>
        <v>6.3855373814814806E-2</v>
      </c>
      <c r="BF132" s="324">
        <v>0.12</v>
      </c>
      <c r="BG132" s="286">
        <f>10.12+0.25</f>
        <v>10.37</v>
      </c>
      <c r="BH132" s="286">
        <v>9.5</v>
      </c>
      <c r="BI132" s="286">
        <v>10.62</v>
      </c>
      <c r="BJ132" s="287">
        <f t="shared" si="47"/>
        <v>0.60545677083333316</v>
      </c>
      <c r="BK132" s="290">
        <v>0.56000000000000005</v>
      </c>
      <c r="BL132" s="290"/>
      <c r="BM132" s="290"/>
      <c r="BN132" s="39" t="s">
        <v>64</v>
      </c>
      <c r="BO132" s="333">
        <v>6</v>
      </c>
      <c r="BP132" s="333">
        <v>20</v>
      </c>
      <c r="BQ132" s="333">
        <v>3</v>
      </c>
      <c r="BR132" s="322">
        <f t="shared" si="45"/>
        <v>360</v>
      </c>
      <c r="BS132" s="288">
        <f t="shared" si="48"/>
        <v>252.79999999999998</v>
      </c>
      <c r="BT132" s="322" t="s">
        <v>69</v>
      </c>
      <c r="BU132" s="40" t="s">
        <v>2173</v>
      </c>
      <c r="BV132" s="191"/>
      <c r="BW132" s="191"/>
      <c r="BX132" s="82"/>
    </row>
    <row r="133" spans="1:80" s="1" customFormat="1" x14ac:dyDescent="0.25">
      <c r="A133" s="241">
        <v>42629</v>
      </c>
      <c r="B133" s="328" t="s">
        <v>36</v>
      </c>
      <c r="C133" s="323" t="s">
        <v>2489</v>
      </c>
      <c r="D133" s="323" t="s">
        <v>240</v>
      </c>
      <c r="E133" s="323" t="s">
        <v>2111</v>
      </c>
      <c r="F133" s="96" t="s">
        <v>2511</v>
      </c>
      <c r="G133" s="59" t="s">
        <v>1009</v>
      </c>
      <c r="H133" s="231" t="s">
        <v>2510</v>
      </c>
      <c r="I133" s="332"/>
      <c r="J133" s="332"/>
      <c r="K133" s="29"/>
      <c r="L133" s="30"/>
      <c r="M133" s="30"/>
      <c r="N133" s="30"/>
      <c r="O133" s="80"/>
      <c r="P133" s="80"/>
      <c r="Q133" s="80"/>
      <c r="R133" s="80"/>
      <c r="S133" s="80"/>
      <c r="T133" s="80"/>
      <c r="U133" s="29"/>
      <c r="V133" s="41"/>
      <c r="W133" s="29"/>
      <c r="X133" s="41"/>
      <c r="Y133" s="37"/>
      <c r="Z133" s="41"/>
      <c r="AA133" s="29"/>
      <c r="AB133" s="332" t="s">
        <v>2533</v>
      </c>
      <c r="AC133" s="332"/>
      <c r="AD133" s="59"/>
      <c r="AE133" s="332"/>
      <c r="AF133" s="332"/>
      <c r="AG133" s="332"/>
      <c r="AH133" s="332"/>
      <c r="AI133" s="332"/>
      <c r="AJ133" s="332"/>
      <c r="AK133" s="332"/>
      <c r="AL133" s="37" t="s">
        <v>2534</v>
      </c>
      <c r="AM133" s="332" t="s">
        <v>2536</v>
      </c>
      <c r="AN133" s="332" t="s">
        <v>2535</v>
      </c>
      <c r="AO133" s="332" t="s">
        <v>2537</v>
      </c>
      <c r="AP133" s="332" t="s">
        <v>2535</v>
      </c>
      <c r="AQ133" s="332" t="s">
        <v>2538</v>
      </c>
      <c r="AR133" s="334">
        <v>11.3</v>
      </c>
      <c r="AS133" s="27">
        <f t="shared" si="44"/>
        <v>25.45045045045045</v>
      </c>
      <c r="AT133" s="329" t="s">
        <v>2503</v>
      </c>
      <c r="AU133" s="329" t="s">
        <v>2504</v>
      </c>
      <c r="AV133" s="44"/>
      <c r="AW133" s="44"/>
      <c r="AX133" s="44"/>
      <c r="AY133" s="331">
        <v>2.09</v>
      </c>
      <c r="AZ133" s="331">
        <v>4.41</v>
      </c>
      <c r="BA133" s="324">
        <v>0.08</v>
      </c>
      <c r="BB133" s="289">
        <f>2.559+0.036</f>
        <v>2.5950000000000002</v>
      </c>
      <c r="BC133" s="289">
        <f>2.559+0.036</f>
        <v>2.5950000000000002</v>
      </c>
      <c r="BD133" s="287">
        <f>4.72+0.036+0.036</f>
        <v>4.7919999999999989</v>
      </c>
      <c r="BE133" s="287">
        <f t="shared" si="46"/>
        <v>1.8674448958333336E-2</v>
      </c>
      <c r="BF133" s="324">
        <v>0.1</v>
      </c>
      <c r="BG133" s="286">
        <v>11.27</v>
      </c>
      <c r="BH133" s="286">
        <v>8.01</v>
      </c>
      <c r="BI133" s="286">
        <v>5.5</v>
      </c>
      <c r="BJ133" s="287">
        <f t="shared" si="47"/>
        <v>0.28732630208333332</v>
      </c>
      <c r="BK133" s="290">
        <v>0.25</v>
      </c>
      <c r="BL133" s="290"/>
      <c r="BM133" s="290"/>
      <c r="BN133" s="39" t="s">
        <v>64</v>
      </c>
      <c r="BO133" s="333">
        <v>12</v>
      </c>
      <c r="BP133" s="333">
        <v>18</v>
      </c>
      <c r="BQ133" s="333">
        <v>7</v>
      </c>
      <c r="BR133" s="322">
        <f t="shared" si="45"/>
        <v>1512</v>
      </c>
      <c r="BS133" s="288">
        <f t="shared" si="48"/>
        <v>353.66</v>
      </c>
      <c r="BT133" s="322" t="s">
        <v>1412</v>
      </c>
      <c r="BU133" s="40" t="s">
        <v>1910</v>
      </c>
      <c r="BV133" s="191"/>
      <c r="BW133" s="191"/>
      <c r="BX133" s="82"/>
    </row>
    <row r="134" spans="1:80" s="1" customFormat="1" x14ac:dyDescent="0.25">
      <c r="A134" s="241">
        <v>42629</v>
      </c>
      <c r="B134" s="218" t="s">
        <v>14</v>
      </c>
      <c r="C134" s="333" t="s">
        <v>2482</v>
      </c>
      <c r="D134" s="323" t="s">
        <v>240</v>
      </c>
      <c r="E134" s="323" t="s">
        <v>2189</v>
      </c>
      <c r="F134" s="96" t="s">
        <v>2483</v>
      </c>
      <c r="G134" s="59" t="s">
        <v>187</v>
      </c>
      <c r="H134" s="231">
        <v>12667194</v>
      </c>
      <c r="I134" s="332" t="s">
        <v>1178</v>
      </c>
      <c r="J134" s="332" t="s">
        <v>2484</v>
      </c>
      <c r="K134" s="29" t="s">
        <v>187</v>
      </c>
      <c r="L134" s="30">
        <v>12667194</v>
      </c>
      <c r="M134" s="30" t="s">
        <v>187</v>
      </c>
      <c r="N134" s="30">
        <v>12674698</v>
      </c>
      <c r="O134" s="80"/>
      <c r="P134" s="80"/>
      <c r="Q134" s="80"/>
      <c r="R134" s="80"/>
      <c r="S134" s="80"/>
      <c r="T134" s="80"/>
      <c r="U134" s="29"/>
      <c r="V134" s="41"/>
      <c r="W134" s="29"/>
      <c r="X134" s="41"/>
      <c r="Y134" s="37"/>
      <c r="Z134" s="41"/>
      <c r="AA134" s="29"/>
      <c r="AB134" s="332"/>
      <c r="AC134" s="332"/>
      <c r="AD134" s="59"/>
      <c r="AE134" s="332"/>
      <c r="AF134" s="332"/>
      <c r="AG134" s="332"/>
      <c r="AH134" s="332"/>
      <c r="AI134" s="332"/>
      <c r="AJ134" s="332"/>
      <c r="AK134" s="332"/>
      <c r="AL134" s="37"/>
      <c r="AM134" s="332"/>
      <c r="AN134" s="332" t="s">
        <v>2485</v>
      </c>
      <c r="AO134" s="332"/>
      <c r="AP134" s="332" t="s">
        <v>2485</v>
      </c>
      <c r="AQ134" s="332"/>
      <c r="AR134" s="334">
        <v>7.28</v>
      </c>
      <c r="AS134" s="27">
        <f t="shared" si="44"/>
        <v>16.396396396396398</v>
      </c>
      <c r="AT134" s="329" t="s">
        <v>2501</v>
      </c>
      <c r="AU134" s="329" t="s">
        <v>2502</v>
      </c>
      <c r="AV134" s="44"/>
      <c r="AW134" s="44"/>
      <c r="AX134" s="44"/>
      <c r="AY134" s="331">
        <v>3.02</v>
      </c>
      <c r="AZ134" s="331">
        <v>3.5</v>
      </c>
      <c r="BA134" s="324">
        <v>0.71</v>
      </c>
      <c r="BB134" s="287">
        <f>3.156+0.036</f>
        <v>3.1920000000000002</v>
      </c>
      <c r="BC134" s="287">
        <f>3.156+0.036</f>
        <v>3.1920000000000002</v>
      </c>
      <c r="BD134" s="289">
        <f>4.036+0.036</f>
        <v>4.0719999999999992</v>
      </c>
      <c r="BE134" s="287">
        <f t="shared" si="46"/>
        <v>2.4009869333333329E-2</v>
      </c>
      <c r="BF134" s="324">
        <v>0.1</v>
      </c>
      <c r="BG134" s="286">
        <v>13</v>
      </c>
      <c r="BH134" s="286">
        <f>9.562+0.25</f>
        <v>9.8119999999999994</v>
      </c>
      <c r="BI134" s="286">
        <f>4.137+0.5</f>
        <v>4.6369999999999996</v>
      </c>
      <c r="BJ134" s="287">
        <f t="shared" si="47"/>
        <v>0.34229003009259251</v>
      </c>
      <c r="BK134" s="226">
        <v>0.25</v>
      </c>
      <c r="BL134" s="226"/>
      <c r="BM134" s="226"/>
      <c r="BN134" s="39" t="s">
        <v>64</v>
      </c>
      <c r="BO134" s="333">
        <v>12</v>
      </c>
      <c r="BP134" s="333">
        <v>14</v>
      </c>
      <c r="BQ134" s="333">
        <v>10</v>
      </c>
      <c r="BR134" s="322">
        <f t="shared" si="45"/>
        <v>1680</v>
      </c>
      <c r="BS134" s="288">
        <f t="shared" si="48"/>
        <v>1445.7999999999997</v>
      </c>
      <c r="BT134" s="322" t="s">
        <v>62</v>
      </c>
      <c r="BU134" s="40" t="s">
        <v>1910</v>
      </c>
      <c r="BV134" s="191"/>
      <c r="BW134" s="191"/>
      <c r="BX134" s="82"/>
    </row>
    <row r="135" spans="1:80" s="1" customFormat="1" ht="15" customHeight="1" x14ac:dyDescent="0.25">
      <c r="A135" s="241">
        <v>42629</v>
      </c>
      <c r="B135" s="52" t="s">
        <v>14</v>
      </c>
      <c r="C135" s="323" t="s">
        <v>2513</v>
      </c>
      <c r="D135" s="323" t="s">
        <v>240</v>
      </c>
      <c r="E135" s="323" t="s">
        <v>2110</v>
      </c>
      <c r="F135" s="96" t="s">
        <v>2540</v>
      </c>
      <c r="G135" s="59" t="s">
        <v>2541</v>
      </c>
      <c r="H135" s="231" t="s">
        <v>2539</v>
      </c>
      <c r="I135" s="332" t="s">
        <v>1009</v>
      </c>
      <c r="J135" s="332" t="s">
        <v>2562</v>
      </c>
      <c r="K135" s="29"/>
      <c r="L135" s="30"/>
      <c r="M135" s="30"/>
      <c r="N135" s="30"/>
      <c r="O135" s="80"/>
      <c r="P135" s="80"/>
      <c r="Q135" s="80"/>
      <c r="R135" s="80"/>
      <c r="S135" s="80"/>
      <c r="T135" s="80"/>
      <c r="U135" s="29"/>
      <c r="V135" s="41"/>
      <c r="W135" s="29"/>
      <c r="X135" s="41"/>
      <c r="Y135" s="37"/>
      <c r="Z135" s="41"/>
      <c r="AA135" s="29"/>
      <c r="AB135" s="332"/>
      <c r="AC135" s="332"/>
      <c r="AD135" s="59" t="s">
        <v>2560</v>
      </c>
      <c r="AE135" s="332"/>
      <c r="AF135" s="332"/>
      <c r="AG135" s="332"/>
      <c r="AH135" s="332" t="s">
        <v>2561</v>
      </c>
      <c r="AI135" s="332"/>
      <c r="AJ135" s="332"/>
      <c r="AK135" s="332"/>
      <c r="AL135" s="37"/>
      <c r="AM135" s="332"/>
      <c r="AN135" s="332"/>
      <c r="AO135" s="332"/>
      <c r="AP135" s="332"/>
      <c r="AQ135" s="332"/>
      <c r="AR135" s="63">
        <v>20.04</v>
      </c>
      <c r="AS135" s="27">
        <f t="shared" si="44"/>
        <v>45.13513513513513</v>
      </c>
      <c r="AT135" s="329" t="s">
        <v>2499</v>
      </c>
      <c r="AU135" s="329" t="s">
        <v>2500</v>
      </c>
      <c r="AV135" s="84">
        <v>10</v>
      </c>
      <c r="AW135" s="84">
        <v>9.25</v>
      </c>
      <c r="AX135" s="84">
        <v>1.1200000000000001</v>
      </c>
      <c r="AY135" s="44"/>
      <c r="AZ135" s="44"/>
      <c r="BA135" s="324">
        <v>0.21</v>
      </c>
      <c r="BB135" s="289">
        <f>10.031+0.018+0.018</f>
        <v>10.067000000000002</v>
      </c>
      <c r="BC135" s="289">
        <f>1.61+0.018+0.018</f>
        <v>1.6460000000000001</v>
      </c>
      <c r="BD135" s="287">
        <f>10.625+(0.018*4)</f>
        <v>10.696999999999999</v>
      </c>
      <c r="BE135" s="287">
        <f t="shared" si="46"/>
        <v>0.10257656629282409</v>
      </c>
      <c r="BF135" s="324">
        <v>0.15</v>
      </c>
      <c r="BG135" s="286">
        <v>12</v>
      </c>
      <c r="BH135" s="286">
        <v>10.37</v>
      </c>
      <c r="BI135" s="286">
        <v>10.62</v>
      </c>
      <c r="BJ135" s="287">
        <f t="shared" si="47"/>
        <v>0.76478749999999995</v>
      </c>
      <c r="BK135" s="290">
        <v>0.66</v>
      </c>
      <c r="BL135" s="290"/>
      <c r="BM135" s="290"/>
      <c r="BN135" s="39" t="s">
        <v>64</v>
      </c>
      <c r="BO135" s="333">
        <v>6</v>
      </c>
      <c r="BP135" s="333">
        <v>12</v>
      </c>
      <c r="BQ135" s="333">
        <v>4</v>
      </c>
      <c r="BR135" s="322">
        <f t="shared" si="45"/>
        <v>288</v>
      </c>
      <c r="BS135" s="288">
        <f t="shared" si="48"/>
        <v>185.36</v>
      </c>
      <c r="BT135" s="322" t="s">
        <v>62</v>
      </c>
      <c r="BU135" s="40" t="s">
        <v>2173</v>
      </c>
      <c r="BV135" s="191"/>
      <c r="BW135" s="191"/>
      <c r="BX135" s="82"/>
    </row>
    <row r="136" spans="1:80" s="1" customFormat="1" ht="15" customHeight="1" x14ac:dyDescent="0.25">
      <c r="A136" s="241">
        <v>42629</v>
      </c>
      <c r="B136" s="328" t="s">
        <v>36</v>
      </c>
      <c r="C136" s="323" t="s">
        <v>2490</v>
      </c>
      <c r="D136" s="323" t="s">
        <v>240</v>
      </c>
      <c r="E136" s="323" t="s">
        <v>2514</v>
      </c>
      <c r="F136" s="96" t="s">
        <v>2512</v>
      </c>
      <c r="G136" s="59" t="s">
        <v>187</v>
      </c>
      <c r="H136" s="231">
        <v>22937279</v>
      </c>
      <c r="I136" s="332" t="s">
        <v>1178</v>
      </c>
      <c r="J136" s="332" t="s">
        <v>2542</v>
      </c>
      <c r="K136" s="29"/>
      <c r="L136" s="30"/>
      <c r="M136" s="30"/>
      <c r="N136" s="30"/>
      <c r="O136" s="80"/>
      <c r="P136" s="80"/>
      <c r="Q136" s="80"/>
      <c r="R136" s="80"/>
      <c r="S136" s="80"/>
      <c r="T136" s="80"/>
      <c r="U136" s="29"/>
      <c r="V136" s="41"/>
      <c r="W136" s="29"/>
      <c r="X136" s="41"/>
      <c r="Y136" s="37"/>
      <c r="Z136" s="41"/>
      <c r="AA136" s="29"/>
      <c r="AB136" s="332"/>
      <c r="AC136" s="332"/>
      <c r="AD136" s="59"/>
      <c r="AE136" s="332"/>
      <c r="AF136" s="332"/>
      <c r="AG136" s="332"/>
      <c r="AH136" s="332"/>
      <c r="AI136" s="332"/>
      <c r="AJ136" s="332"/>
      <c r="AK136" s="332"/>
      <c r="AL136" s="37"/>
      <c r="AM136" s="332"/>
      <c r="AN136" s="332"/>
      <c r="AO136" s="332"/>
      <c r="AP136" s="332"/>
      <c r="AQ136" s="332"/>
      <c r="AR136" s="63">
        <v>57.33</v>
      </c>
      <c r="AS136" s="27">
        <f>AR136/0.444</f>
        <v>129.12162162162161</v>
      </c>
      <c r="AT136" s="329" t="s">
        <v>2496</v>
      </c>
      <c r="AU136" s="329" t="s">
        <v>2497</v>
      </c>
      <c r="AV136" s="44"/>
      <c r="AW136" s="44"/>
      <c r="AX136" s="44"/>
      <c r="AY136" s="331">
        <v>3.61</v>
      </c>
      <c r="AZ136" s="331">
        <v>4.51</v>
      </c>
      <c r="BA136" s="324">
        <v>0.37</v>
      </c>
      <c r="BB136" s="289">
        <f>3.812+0.018+0.018</f>
        <v>3.8479999999999994</v>
      </c>
      <c r="BC136" s="289">
        <f>3.812+0.018+0.018</f>
        <v>3.8479999999999994</v>
      </c>
      <c r="BD136" s="289">
        <f>5.375+(0.018*4)</f>
        <v>5.4470000000000001</v>
      </c>
      <c r="BE136" s="287">
        <f t="shared" si="46"/>
        <v>4.6674939518518505E-2</v>
      </c>
      <c r="BF136" s="324">
        <v>0.08</v>
      </c>
      <c r="BG136" s="286">
        <f>15.56+0.25</f>
        <v>15.81</v>
      </c>
      <c r="BH136" s="286">
        <f>11.68+0.25</f>
        <v>11.93</v>
      </c>
      <c r="BI136" s="286">
        <v>6</v>
      </c>
      <c r="BJ136" s="287">
        <f t="shared" si="47"/>
        <v>0.65490729166666672</v>
      </c>
      <c r="BK136" s="226">
        <v>0.75</v>
      </c>
      <c r="BL136" s="226"/>
      <c r="BM136" s="226"/>
      <c r="BN136" s="39" t="s">
        <v>64</v>
      </c>
      <c r="BO136" s="333">
        <v>12</v>
      </c>
      <c r="BP136" s="333">
        <v>10</v>
      </c>
      <c r="BQ136" s="333">
        <v>7</v>
      </c>
      <c r="BR136" s="322">
        <f t="shared" si="45"/>
        <v>840</v>
      </c>
      <c r="BS136" s="288">
        <f t="shared" si="48"/>
        <v>480.5</v>
      </c>
      <c r="BT136" s="322" t="s">
        <v>2498</v>
      </c>
      <c r="BU136" s="40" t="s">
        <v>1910</v>
      </c>
      <c r="BV136" s="191"/>
      <c r="BW136" s="191"/>
      <c r="BX136" s="82"/>
    </row>
    <row r="137" spans="1:80" s="1" customFormat="1" x14ac:dyDescent="0.25">
      <c r="A137" s="241">
        <v>42629</v>
      </c>
      <c r="B137" s="52" t="s">
        <v>14</v>
      </c>
      <c r="C137" s="333" t="s">
        <v>2491</v>
      </c>
      <c r="D137" s="323" t="s">
        <v>240</v>
      </c>
      <c r="E137" s="323" t="s">
        <v>2111</v>
      </c>
      <c r="F137" s="96" t="s">
        <v>2492</v>
      </c>
      <c r="G137" s="59" t="s">
        <v>1009</v>
      </c>
      <c r="H137" s="59" t="s">
        <v>2493</v>
      </c>
      <c r="I137" s="332"/>
      <c r="J137" s="332"/>
      <c r="K137" s="29"/>
      <c r="L137" s="30"/>
      <c r="M137" s="30"/>
      <c r="N137" s="30"/>
      <c r="O137" s="80"/>
      <c r="P137" s="80"/>
      <c r="Q137" s="80"/>
      <c r="R137" s="80"/>
      <c r="S137" s="80"/>
      <c r="T137" s="80"/>
      <c r="U137" s="29"/>
      <c r="V137" s="41"/>
      <c r="W137" s="29">
        <v>94717</v>
      </c>
      <c r="X137" s="41"/>
      <c r="Y137" s="37"/>
      <c r="Z137" s="41"/>
      <c r="AA137" s="29"/>
      <c r="AB137" s="332"/>
      <c r="AC137" s="332"/>
      <c r="AD137" s="59" t="s">
        <v>2563</v>
      </c>
      <c r="AE137" s="332"/>
      <c r="AF137" s="332"/>
      <c r="AG137" s="332"/>
      <c r="AH137" s="332" t="s">
        <v>2564</v>
      </c>
      <c r="AI137" s="332"/>
      <c r="AJ137" s="332"/>
      <c r="AK137" s="332"/>
      <c r="AL137" s="37" t="s">
        <v>2543</v>
      </c>
      <c r="AM137" s="332"/>
      <c r="AN137" s="332" t="s">
        <v>2544</v>
      </c>
      <c r="AO137" s="332"/>
      <c r="AP137" s="332" t="s">
        <v>2544</v>
      </c>
      <c r="AQ137" s="332" t="s">
        <v>2545</v>
      </c>
      <c r="AR137" s="63">
        <v>8.07</v>
      </c>
      <c r="AS137" s="27">
        <f>AR137/0.444</f>
        <v>18.175675675675677</v>
      </c>
      <c r="AT137" s="329" t="s">
        <v>2494</v>
      </c>
      <c r="AU137" s="329" t="s">
        <v>2495</v>
      </c>
      <c r="AV137" s="44"/>
      <c r="AW137" s="44"/>
      <c r="AX137" s="44"/>
      <c r="AY137" s="331">
        <v>2.56</v>
      </c>
      <c r="AZ137" s="331">
        <v>4.0350000000000001</v>
      </c>
      <c r="BA137" s="324">
        <v>0.13</v>
      </c>
      <c r="BB137" s="289">
        <f>2.68+0.018+0.018</f>
        <v>2.7159999999999997</v>
      </c>
      <c r="BC137" s="289">
        <f>2.68+0.018+0.018</f>
        <v>2.7159999999999997</v>
      </c>
      <c r="BD137" s="289">
        <f>4.25+(0.018*4)</f>
        <v>4.3220000000000001</v>
      </c>
      <c r="BE137" s="287">
        <f t="shared" si="46"/>
        <v>1.8450177796296291E-2</v>
      </c>
      <c r="BF137" s="324">
        <v>0.08</v>
      </c>
      <c r="BG137" s="286">
        <f>8.43+0.25</f>
        <v>8.68</v>
      </c>
      <c r="BH137" s="286">
        <v>6</v>
      </c>
      <c r="BI137" s="286">
        <f>4.65+0.5</f>
        <v>5.15</v>
      </c>
      <c r="BJ137" s="287">
        <f t="shared" si="47"/>
        <v>0.15521527777777777</v>
      </c>
      <c r="BK137" s="226">
        <v>0.2</v>
      </c>
      <c r="BL137" s="226"/>
      <c r="BM137" s="226"/>
      <c r="BN137" s="39" t="s">
        <v>64</v>
      </c>
      <c r="BO137" s="333">
        <v>6</v>
      </c>
      <c r="BP137" s="333">
        <v>33</v>
      </c>
      <c r="BQ137" s="333">
        <v>8</v>
      </c>
      <c r="BR137" s="322">
        <f t="shared" si="45"/>
        <v>1584</v>
      </c>
      <c r="BS137" s="288">
        <f t="shared" si="48"/>
        <v>435.44000000000005</v>
      </c>
      <c r="BT137" s="322" t="s">
        <v>255</v>
      </c>
      <c r="BU137" s="40" t="s">
        <v>1910</v>
      </c>
      <c r="BV137" s="191"/>
      <c r="BW137" s="191"/>
      <c r="BX137" s="82"/>
    </row>
    <row r="138" spans="1:80" s="1" customFormat="1" ht="30" x14ac:dyDescent="0.25">
      <c r="A138" s="241">
        <v>42534</v>
      </c>
      <c r="B138" s="218" t="s">
        <v>14</v>
      </c>
      <c r="C138" s="218" t="s">
        <v>2408</v>
      </c>
      <c r="D138" s="218" t="s">
        <v>250</v>
      </c>
      <c r="E138" s="301" t="s">
        <v>1102</v>
      </c>
      <c r="F138" s="230" t="s">
        <v>2409</v>
      </c>
      <c r="G138" s="59" t="s">
        <v>72</v>
      </c>
      <c r="H138" s="231" t="s">
        <v>2410</v>
      </c>
      <c r="I138" s="321"/>
      <c r="J138" s="321"/>
      <c r="K138" s="29"/>
      <c r="L138" s="30"/>
      <c r="M138" s="30"/>
      <c r="N138" s="30"/>
      <c r="O138" s="42"/>
      <c r="P138" s="42"/>
      <c r="Q138" s="42"/>
      <c r="R138" s="42"/>
      <c r="S138" s="42"/>
      <c r="T138" s="42"/>
      <c r="U138" s="29"/>
      <c r="V138" s="41"/>
      <c r="W138" s="29"/>
      <c r="X138" s="41"/>
      <c r="Y138" s="37"/>
      <c r="Z138" s="41"/>
      <c r="AA138" s="29"/>
      <c r="AB138" s="216"/>
      <c r="AC138" s="321"/>
      <c r="AD138" s="59"/>
      <c r="AE138" s="321" t="s">
        <v>2411</v>
      </c>
      <c r="AF138" s="321"/>
      <c r="AG138" s="321"/>
      <c r="AH138" s="321"/>
      <c r="AI138" s="321"/>
      <c r="AJ138" s="321" t="s">
        <v>2412</v>
      </c>
      <c r="AK138" s="321"/>
      <c r="AL138" s="37" t="s">
        <v>2413</v>
      </c>
      <c r="AM138" s="321" t="s">
        <v>2414</v>
      </c>
      <c r="AN138" s="321" t="s">
        <v>2415</v>
      </c>
      <c r="AO138" s="321"/>
      <c r="AP138" s="321" t="s">
        <v>2416</v>
      </c>
      <c r="AQ138" s="216" t="s">
        <v>2417</v>
      </c>
      <c r="AR138" s="221">
        <v>13.07</v>
      </c>
      <c r="AS138" s="27">
        <f t="shared" ref="AS138" si="50">AR138/0.444</f>
        <v>29.436936936936938</v>
      </c>
      <c r="AT138" s="302" t="s">
        <v>2418</v>
      </c>
      <c r="AU138" s="302" t="s">
        <v>2419</v>
      </c>
      <c r="AV138" s="303">
        <v>9.2100000000000009</v>
      </c>
      <c r="AW138" s="303">
        <v>8.0299999999999994</v>
      </c>
      <c r="AX138" s="303">
        <v>1.73</v>
      </c>
      <c r="AY138" s="304"/>
      <c r="AZ138" s="304"/>
      <c r="BA138" s="305">
        <v>0.3</v>
      </c>
      <c r="BB138" s="306">
        <f>8.5+0.036</f>
        <v>8.5359999999999996</v>
      </c>
      <c r="BC138" s="306">
        <f>2.37+0.036</f>
        <v>2.4060000000000001</v>
      </c>
      <c r="BD138" s="307">
        <f>10.62+0.036+0.036</f>
        <v>10.691999999999998</v>
      </c>
      <c r="BE138" s="307">
        <f t="shared" ref="BE138" si="51">(BD138*BC138*BB138)/1728</f>
        <v>0.12707649899999998</v>
      </c>
      <c r="BF138" s="305">
        <v>0.2</v>
      </c>
      <c r="BG138" s="308">
        <v>12.25</v>
      </c>
      <c r="BH138" s="308">
        <v>10.25</v>
      </c>
      <c r="BI138" s="308">
        <v>8.25</v>
      </c>
      <c r="BJ138" s="307">
        <f t="shared" ref="BJ138" si="52">(BI138*BH138*BG138)/1728</f>
        <v>0.59947374131944442</v>
      </c>
      <c r="BK138" s="309">
        <v>0.59</v>
      </c>
      <c r="BL138" s="309"/>
      <c r="BM138" s="309"/>
      <c r="BN138" s="104" t="s">
        <v>64</v>
      </c>
      <c r="BO138" s="216">
        <v>3</v>
      </c>
      <c r="BP138" s="216">
        <v>12</v>
      </c>
      <c r="BQ138" s="216">
        <v>5</v>
      </c>
      <c r="BR138" s="105">
        <f t="shared" ref="BR138" si="53">BO138*BP138*BQ138</f>
        <v>180</v>
      </c>
      <c r="BS138" s="310">
        <f t="shared" ref="BS138" si="54">((((BA138+BF138)*BO138)+BK138)*BP138*BQ138)+50</f>
        <v>175.39999999999998</v>
      </c>
      <c r="BT138" s="105" t="s">
        <v>182</v>
      </c>
      <c r="BU138" s="325" t="s">
        <v>67</v>
      </c>
      <c r="BV138" s="191"/>
      <c r="BW138" s="191"/>
      <c r="BX138" s="43"/>
    </row>
    <row r="139" spans="1:80" s="1" customFormat="1" x14ac:dyDescent="0.25">
      <c r="A139" s="241">
        <v>42534</v>
      </c>
      <c r="B139" s="218" t="s">
        <v>14</v>
      </c>
      <c r="C139" s="218" t="s">
        <v>2420</v>
      </c>
      <c r="D139" s="218" t="s">
        <v>250</v>
      </c>
      <c r="E139" s="218" t="s">
        <v>2110</v>
      </c>
      <c r="F139" s="230" t="s">
        <v>2421</v>
      </c>
      <c r="G139" s="216" t="s">
        <v>2285</v>
      </c>
      <c r="H139" s="37" t="s">
        <v>2283</v>
      </c>
      <c r="I139" s="298"/>
      <c r="J139" s="298"/>
      <c r="K139" s="29"/>
      <c r="L139" s="30"/>
      <c r="M139" s="30"/>
      <c r="N139" s="30"/>
      <c r="O139" s="42"/>
      <c r="P139" s="42"/>
      <c r="Q139" s="42"/>
      <c r="R139" s="42"/>
      <c r="S139" s="42"/>
      <c r="T139" s="42"/>
      <c r="U139" s="29"/>
      <c r="V139" s="41"/>
      <c r="W139" s="29"/>
      <c r="X139" s="41"/>
      <c r="Y139" s="37"/>
      <c r="Z139" s="41"/>
      <c r="AA139" s="29"/>
      <c r="AB139" s="216"/>
      <c r="AC139" s="216"/>
      <c r="AD139" s="59"/>
      <c r="AE139" s="298"/>
      <c r="AF139" s="298"/>
      <c r="AG139" s="298"/>
      <c r="AH139" s="298"/>
      <c r="AI139" s="298"/>
      <c r="AJ139" s="298"/>
      <c r="AK139" s="298"/>
      <c r="AL139" s="216"/>
      <c r="AM139" s="298"/>
      <c r="AN139" s="298"/>
      <c r="AO139" s="298"/>
      <c r="AP139" s="298"/>
      <c r="AQ139" s="216">
        <v>49525</v>
      </c>
      <c r="AR139" s="221">
        <v>21.85</v>
      </c>
      <c r="AS139" s="27">
        <f t="shared" ref="AS139:AS148" si="55">AR139/0.444</f>
        <v>49.211711711711715</v>
      </c>
      <c r="AT139" s="302" t="s">
        <v>2422</v>
      </c>
      <c r="AU139" s="302" t="s">
        <v>2423</v>
      </c>
      <c r="AV139" s="303">
        <v>9.02</v>
      </c>
      <c r="AW139" s="303">
        <v>7.87</v>
      </c>
      <c r="AX139" s="303">
        <v>1.18</v>
      </c>
      <c r="AY139" s="304"/>
      <c r="AZ139" s="304"/>
      <c r="BA139" s="305">
        <v>0.13</v>
      </c>
      <c r="BB139" s="307">
        <f>8.93+0.036</f>
        <v>8.9659999999999993</v>
      </c>
      <c r="BC139" s="307">
        <f>1.31+0.036</f>
        <v>1.3460000000000001</v>
      </c>
      <c r="BD139" s="307">
        <f>9.75+0.036+0.036</f>
        <v>9.8219999999999992</v>
      </c>
      <c r="BE139" s="307">
        <f t="shared" ref="BE139" si="56">(BD139*BC139*BB139)/1728</f>
        <v>6.8596188652777779E-2</v>
      </c>
      <c r="BF139" s="305">
        <v>0.12</v>
      </c>
      <c r="BG139" s="308">
        <v>10.5</v>
      </c>
      <c r="BH139" s="308">
        <v>8.75</v>
      </c>
      <c r="BI139" s="308">
        <v>9.75</v>
      </c>
      <c r="BJ139" s="307">
        <f t="shared" ref="BJ139" si="57">(BI139*BH139*BG139)/1728</f>
        <v>0.51839192708333337</v>
      </c>
      <c r="BK139" s="309">
        <v>0.28000000000000003</v>
      </c>
      <c r="BL139" s="309"/>
      <c r="BM139" s="309"/>
      <c r="BN139" s="104" t="s">
        <v>64</v>
      </c>
      <c r="BO139" s="216">
        <v>6</v>
      </c>
      <c r="BP139" s="216">
        <v>18</v>
      </c>
      <c r="BQ139" s="216">
        <v>4</v>
      </c>
      <c r="BR139" s="105">
        <f t="shared" ref="BR139" si="58">BO139*BP139*BQ139</f>
        <v>432</v>
      </c>
      <c r="BS139" s="310">
        <f t="shared" ref="BS139" si="59">((((BA139+BF139)*BO139)+BK139)*BP139*BQ139)+50</f>
        <v>178.16</v>
      </c>
      <c r="BT139" s="105" t="s">
        <v>69</v>
      </c>
      <c r="BU139" s="245" t="s">
        <v>2173</v>
      </c>
      <c r="BV139" s="191"/>
      <c r="BW139" s="191"/>
      <c r="BX139" s="191"/>
      <c r="BY139" s="191"/>
      <c r="BZ139" s="191"/>
    </row>
    <row r="140" spans="1:80" s="1" customFormat="1" ht="30" x14ac:dyDescent="0.25">
      <c r="A140" s="241">
        <v>42534</v>
      </c>
      <c r="B140" s="218" t="s">
        <v>14</v>
      </c>
      <c r="C140" s="218" t="s">
        <v>2424</v>
      </c>
      <c r="D140" s="218" t="s">
        <v>240</v>
      </c>
      <c r="E140" s="218" t="s">
        <v>2110</v>
      </c>
      <c r="F140" s="102" t="s">
        <v>2425</v>
      </c>
      <c r="G140" s="102" t="s">
        <v>187</v>
      </c>
      <c r="H140" s="59">
        <v>13503677</v>
      </c>
      <c r="I140" s="298" t="s">
        <v>1178</v>
      </c>
      <c r="J140" s="298" t="s">
        <v>2426</v>
      </c>
      <c r="K140" s="29"/>
      <c r="L140" s="30"/>
      <c r="M140" s="30"/>
      <c r="N140" s="30"/>
      <c r="O140" s="42"/>
      <c r="P140" s="42"/>
      <c r="Q140" s="42"/>
      <c r="R140" s="42"/>
      <c r="S140" s="42"/>
      <c r="T140" s="42"/>
      <c r="U140" s="29"/>
      <c r="V140" s="41"/>
      <c r="W140" s="29"/>
      <c r="X140" s="41"/>
      <c r="Y140" s="37"/>
      <c r="Z140" s="41"/>
      <c r="AA140" s="29"/>
      <c r="AB140" s="216" t="s">
        <v>2427</v>
      </c>
      <c r="AC140" s="298"/>
      <c r="AD140" s="59"/>
      <c r="AE140" s="298"/>
      <c r="AF140" s="298"/>
      <c r="AG140" s="298"/>
      <c r="AH140" s="298"/>
      <c r="AI140" s="298"/>
      <c r="AJ140" s="216"/>
      <c r="AK140" s="298"/>
      <c r="AL140" s="216" t="s">
        <v>2428</v>
      </c>
      <c r="AM140" s="298" t="s">
        <v>2429</v>
      </c>
      <c r="AN140" s="298" t="s">
        <v>2430</v>
      </c>
      <c r="AO140" s="298" t="s">
        <v>2431</v>
      </c>
      <c r="AP140" s="298" t="s">
        <v>2432</v>
      </c>
      <c r="AQ140" s="216">
        <v>24191</v>
      </c>
      <c r="AR140" s="221">
        <v>20.88</v>
      </c>
      <c r="AS140" s="27">
        <f t="shared" si="55"/>
        <v>47.027027027027025</v>
      </c>
      <c r="AT140" s="302" t="s">
        <v>2433</v>
      </c>
      <c r="AU140" s="302" t="s">
        <v>2434</v>
      </c>
      <c r="AV140" s="303">
        <v>9.4499999999999993</v>
      </c>
      <c r="AW140" s="303">
        <v>8.0299999999999994</v>
      </c>
      <c r="AX140" s="303">
        <v>1.38</v>
      </c>
      <c r="AY140" s="304"/>
      <c r="AZ140" s="304"/>
      <c r="BA140" s="305">
        <v>0.25</v>
      </c>
      <c r="BB140" s="306">
        <f>9.25+0.036</f>
        <v>9.2859999999999996</v>
      </c>
      <c r="BC140" s="306">
        <f>1.78+0.036</f>
        <v>1.8160000000000001</v>
      </c>
      <c r="BD140" s="307">
        <f>9.66+0.036+0.036</f>
        <v>9.7319999999999993</v>
      </c>
      <c r="BE140" s="307">
        <f>(BD140*BC140*BB140)/1728</f>
        <v>9.4973596777777766E-2</v>
      </c>
      <c r="BF140" s="305">
        <v>0.12</v>
      </c>
      <c r="BG140" s="308">
        <v>10.5</v>
      </c>
      <c r="BH140" s="308">
        <v>10</v>
      </c>
      <c r="BI140" s="308">
        <v>6.25</v>
      </c>
      <c r="BJ140" s="307">
        <f>(BI140*BH140*BG140)/1728</f>
        <v>0.37977430555555558</v>
      </c>
      <c r="BK140" s="309">
        <v>0.42</v>
      </c>
      <c r="BL140" s="309"/>
      <c r="BM140" s="309"/>
      <c r="BN140" s="104" t="s">
        <v>64</v>
      </c>
      <c r="BO140" s="216">
        <v>3</v>
      </c>
      <c r="BP140" s="216">
        <v>16</v>
      </c>
      <c r="BQ140" s="216">
        <v>7</v>
      </c>
      <c r="BR140" s="105">
        <f>BO140*BP140*BQ140</f>
        <v>336</v>
      </c>
      <c r="BS140" s="310">
        <f>((((BA140+BF140)*BO140)+BK140)*BP140*BQ140)+50</f>
        <v>221.35999999999999</v>
      </c>
      <c r="BT140" s="105" t="s">
        <v>69</v>
      </c>
      <c r="BU140" s="245" t="s">
        <v>2173</v>
      </c>
      <c r="BV140" s="191"/>
      <c r="BW140" s="191"/>
      <c r="BX140" s="43"/>
    </row>
    <row r="141" spans="1:80" s="1" customFormat="1" x14ac:dyDescent="0.25">
      <c r="A141" s="241">
        <v>42534</v>
      </c>
      <c r="B141" s="218" t="s">
        <v>14</v>
      </c>
      <c r="C141" s="218" t="s">
        <v>2435</v>
      </c>
      <c r="D141" s="218" t="s">
        <v>240</v>
      </c>
      <c r="E141" s="218" t="s">
        <v>2110</v>
      </c>
      <c r="F141" s="102" t="s">
        <v>2436</v>
      </c>
      <c r="G141" s="102" t="s">
        <v>187</v>
      </c>
      <c r="H141" s="59">
        <v>22743911</v>
      </c>
      <c r="I141" s="298" t="s">
        <v>1178</v>
      </c>
      <c r="J141" s="298" t="s">
        <v>2437</v>
      </c>
      <c r="K141" s="29"/>
      <c r="L141" s="30"/>
      <c r="M141" s="30"/>
      <c r="N141" s="30"/>
      <c r="O141" s="42"/>
      <c r="P141" s="42"/>
      <c r="Q141" s="42"/>
      <c r="R141" s="42"/>
      <c r="S141" s="42"/>
      <c r="T141" s="42"/>
      <c r="U141" s="29" t="s">
        <v>2438</v>
      </c>
      <c r="V141" s="41"/>
      <c r="W141" s="29"/>
      <c r="X141" s="41"/>
      <c r="Y141" s="37"/>
      <c r="Z141" s="41"/>
      <c r="AA141" s="29"/>
      <c r="AB141" s="216"/>
      <c r="AC141" s="26"/>
      <c r="AD141" s="59"/>
      <c r="AE141" s="298"/>
      <c r="AF141" s="298"/>
      <c r="AG141" s="298"/>
      <c r="AH141" s="298"/>
      <c r="AI141" s="298"/>
      <c r="AJ141" s="298"/>
      <c r="AK141" s="298"/>
      <c r="AL141" s="26"/>
      <c r="AM141" s="298" t="s">
        <v>2435</v>
      </c>
      <c r="AN141" s="298"/>
      <c r="AO141" s="298"/>
      <c r="AP141" s="298" t="s">
        <v>2439</v>
      </c>
      <c r="AQ141" s="216" t="s">
        <v>2440</v>
      </c>
      <c r="AR141" s="221">
        <v>21.42</v>
      </c>
      <c r="AS141" s="27">
        <f t="shared" si="55"/>
        <v>48.243243243243249</v>
      </c>
      <c r="AT141" s="302" t="s">
        <v>2441</v>
      </c>
      <c r="AU141" s="302" t="s">
        <v>2442</v>
      </c>
      <c r="AV141" s="303">
        <v>9.4499999999999993</v>
      </c>
      <c r="AW141" s="303">
        <v>7.99</v>
      </c>
      <c r="AX141" s="303">
        <v>1.18</v>
      </c>
      <c r="AY141" s="304"/>
      <c r="AZ141" s="304"/>
      <c r="BA141" s="305">
        <v>0.25</v>
      </c>
      <c r="BB141" s="306">
        <f>8.93+0.036</f>
        <v>8.9659999999999993</v>
      </c>
      <c r="BC141" s="306">
        <f>1.31+0.036</f>
        <v>1.3460000000000001</v>
      </c>
      <c r="BD141" s="307">
        <f>9.75+0.036+0.036</f>
        <v>9.8219999999999992</v>
      </c>
      <c r="BE141" s="307">
        <f>(BD141*BC141*BB141)/1728</f>
        <v>6.8596188652777779E-2</v>
      </c>
      <c r="BF141" s="305">
        <v>0.12</v>
      </c>
      <c r="BG141" s="308">
        <v>10.5</v>
      </c>
      <c r="BH141" s="308">
        <v>8.75</v>
      </c>
      <c r="BI141" s="308">
        <v>9.75</v>
      </c>
      <c r="BJ141" s="307">
        <f>(BI141*BH141*BG141)/1728</f>
        <v>0.51839192708333337</v>
      </c>
      <c r="BK141" s="309">
        <v>0.28000000000000003</v>
      </c>
      <c r="BL141" s="309"/>
      <c r="BM141" s="309"/>
      <c r="BN141" s="104" t="s">
        <v>64</v>
      </c>
      <c r="BO141" s="216">
        <v>6</v>
      </c>
      <c r="BP141" s="216">
        <v>18</v>
      </c>
      <c r="BQ141" s="216">
        <v>4</v>
      </c>
      <c r="BR141" s="105">
        <f>BO141*BP141*BQ141</f>
        <v>432</v>
      </c>
      <c r="BS141" s="310">
        <f>((((BA141+BF141)*BO141)+BK141)*BP141*BQ141)+50</f>
        <v>230</v>
      </c>
      <c r="BT141" s="105" t="s">
        <v>69</v>
      </c>
      <c r="BU141" s="245" t="s">
        <v>2173</v>
      </c>
      <c r="BV141" s="191"/>
      <c r="BW141" s="43"/>
      <c r="BX141" s="43"/>
      <c r="BY141" s="191"/>
      <c r="BZ141" s="191"/>
      <c r="CA141" s="191"/>
      <c r="CB141" s="191"/>
    </row>
    <row r="142" spans="1:80" s="1" customFormat="1" x14ac:dyDescent="0.25">
      <c r="A142" s="241">
        <v>42534</v>
      </c>
      <c r="B142" s="218" t="s">
        <v>14</v>
      </c>
      <c r="C142" s="218" t="s">
        <v>2443</v>
      </c>
      <c r="D142" s="218" t="s">
        <v>240</v>
      </c>
      <c r="E142" s="218" t="s">
        <v>2110</v>
      </c>
      <c r="F142" s="230" t="s">
        <v>2444</v>
      </c>
      <c r="G142" s="59" t="s">
        <v>259</v>
      </c>
      <c r="H142" s="231">
        <v>64119237555</v>
      </c>
      <c r="I142" s="298"/>
      <c r="J142" s="298"/>
      <c r="K142" s="29"/>
      <c r="L142" s="30"/>
      <c r="M142" s="30"/>
      <c r="N142" s="30"/>
      <c r="O142" s="42"/>
      <c r="P142" s="42"/>
      <c r="Q142" s="42"/>
      <c r="R142" s="42"/>
      <c r="S142" s="42"/>
      <c r="T142" s="42"/>
      <c r="U142" s="29"/>
      <c r="V142" s="41"/>
      <c r="W142" s="29" t="s">
        <v>2445</v>
      </c>
      <c r="X142" s="41"/>
      <c r="Y142" s="37"/>
      <c r="Z142" s="41"/>
      <c r="AA142" s="29"/>
      <c r="AB142" s="216"/>
      <c r="AC142" s="298"/>
      <c r="AD142" s="59"/>
      <c r="AE142" s="298"/>
      <c r="AF142" s="298" t="s">
        <v>2446</v>
      </c>
      <c r="AG142" s="298"/>
      <c r="AH142" s="298" t="s">
        <v>2447</v>
      </c>
      <c r="AI142" s="298"/>
      <c r="AJ142" s="298"/>
      <c r="AK142" s="298">
        <v>4255</v>
      </c>
      <c r="AL142" s="37"/>
      <c r="AM142" s="298"/>
      <c r="AN142" s="298"/>
      <c r="AO142" s="298"/>
      <c r="AP142" s="298"/>
      <c r="AQ142" s="216">
        <v>24255</v>
      </c>
      <c r="AR142" s="221">
        <v>39.42</v>
      </c>
      <c r="AS142" s="27">
        <f t="shared" si="55"/>
        <v>88.78378378378379</v>
      </c>
      <c r="AT142" s="302" t="s">
        <v>2448</v>
      </c>
      <c r="AU142" s="302" t="s">
        <v>2449</v>
      </c>
      <c r="AV142" s="303">
        <v>9.69</v>
      </c>
      <c r="AW142" s="303">
        <v>7.8</v>
      </c>
      <c r="AX142" s="303">
        <v>1.61</v>
      </c>
      <c r="AY142" s="304"/>
      <c r="AZ142" s="304"/>
      <c r="BA142" s="305">
        <v>0.3</v>
      </c>
      <c r="BB142" s="306">
        <f>8.5+0.036</f>
        <v>8.5359999999999996</v>
      </c>
      <c r="BC142" s="306">
        <f>2.37+0.036</f>
        <v>2.4060000000000001</v>
      </c>
      <c r="BD142" s="307">
        <f>10.62+0.036+0.036</f>
        <v>10.691999999999998</v>
      </c>
      <c r="BE142" s="307">
        <f>(BD142*BC142*BB142)/1728</f>
        <v>0.12707649899999998</v>
      </c>
      <c r="BF142" s="305">
        <v>0.2</v>
      </c>
      <c r="BG142" s="308">
        <v>15</v>
      </c>
      <c r="BH142" s="308">
        <v>11.25</v>
      </c>
      <c r="BI142" s="308">
        <f>8.88+0.5</f>
        <v>9.3800000000000008</v>
      </c>
      <c r="BJ142" s="307">
        <f>(BI142*BH142*BG142)/1728</f>
        <v>0.916015625</v>
      </c>
      <c r="BK142" s="309">
        <v>0.78</v>
      </c>
      <c r="BL142" s="309"/>
      <c r="BM142" s="309"/>
      <c r="BN142" s="104" t="s">
        <v>64</v>
      </c>
      <c r="BO142" s="216">
        <v>6</v>
      </c>
      <c r="BP142" s="216">
        <v>10</v>
      </c>
      <c r="BQ142" s="216">
        <v>4</v>
      </c>
      <c r="BR142" s="105">
        <f>BO142*BP142*BQ142</f>
        <v>240</v>
      </c>
      <c r="BS142" s="310">
        <f>((((BA142+BF142)*BO142)+BK142)*BP142*BQ142)+50</f>
        <v>201.20000000000002</v>
      </c>
      <c r="BT142" s="105" t="s">
        <v>69</v>
      </c>
      <c r="BU142" s="245" t="s">
        <v>2173</v>
      </c>
      <c r="BV142" s="191"/>
      <c r="BW142" s="191"/>
      <c r="BX142" s="43"/>
    </row>
    <row r="143" spans="1:80" s="1" customFormat="1" x14ac:dyDescent="0.25">
      <c r="A143" s="241">
        <v>42534</v>
      </c>
      <c r="B143" s="218" t="s">
        <v>14</v>
      </c>
      <c r="C143" s="218" t="s">
        <v>2397</v>
      </c>
      <c r="D143" s="218" t="s">
        <v>240</v>
      </c>
      <c r="E143" s="218" t="s">
        <v>2315</v>
      </c>
      <c r="F143" s="257" t="s">
        <v>2450</v>
      </c>
      <c r="G143" s="102" t="s">
        <v>260</v>
      </c>
      <c r="H143" s="59">
        <v>2781800009</v>
      </c>
      <c r="I143" s="298"/>
      <c r="J143" s="298"/>
      <c r="K143" s="29"/>
      <c r="L143" s="30"/>
      <c r="M143" s="30"/>
      <c r="N143" s="30"/>
      <c r="O143" s="42"/>
      <c r="P143" s="42"/>
      <c r="Q143" s="42"/>
      <c r="R143" s="42"/>
      <c r="S143" s="42"/>
      <c r="T143" s="42"/>
      <c r="U143" s="29"/>
      <c r="V143" s="41"/>
      <c r="W143" s="29"/>
      <c r="X143" s="41"/>
      <c r="Y143" s="37"/>
      <c r="Z143" s="41"/>
      <c r="AA143" s="29"/>
      <c r="AB143" s="216"/>
      <c r="AC143" s="298"/>
      <c r="AD143" s="59"/>
      <c r="AE143" s="298"/>
      <c r="AF143" s="298"/>
      <c r="AG143" s="298"/>
      <c r="AH143" s="298"/>
      <c r="AI143" s="298"/>
      <c r="AJ143" s="298"/>
      <c r="AK143" s="298"/>
      <c r="AL143" s="37"/>
      <c r="AM143" s="298" t="s">
        <v>2451</v>
      </c>
      <c r="AN143" s="298" t="s">
        <v>2452</v>
      </c>
      <c r="AO143" s="298"/>
      <c r="AP143" s="298" t="s">
        <v>2452</v>
      </c>
      <c r="AQ143" s="216"/>
      <c r="AR143" s="221">
        <v>16.93</v>
      </c>
      <c r="AS143" s="27">
        <f t="shared" si="55"/>
        <v>38.130630630630627</v>
      </c>
      <c r="AT143" s="302" t="s">
        <v>2453</v>
      </c>
      <c r="AU143" s="302" t="s">
        <v>2454</v>
      </c>
      <c r="AV143" s="311"/>
      <c r="AW143" s="311"/>
      <c r="AX143" s="311"/>
      <c r="AY143" s="192">
        <v>2.2639999999999998</v>
      </c>
      <c r="AZ143" s="192">
        <v>5.7869999999999999</v>
      </c>
      <c r="BA143" s="305">
        <v>0.08</v>
      </c>
      <c r="BB143" s="307">
        <f>2.559+0.036</f>
        <v>2.5950000000000002</v>
      </c>
      <c r="BC143" s="307">
        <f>2.559+0.036</f>
        <v>2.5950000000000002</v>
      </c>
      <c r="BD143" s="307">
        <f>6.023+0.072</f>
        <v>6.0949999999999998</v>
      </c>
      <c r="BE143" s="307">
        <f t="shared" ref="BE143" si="60">(BD143*BC143*BB143)/1728</f>
        <v>2.3752246744791667E-2</v>
      </c>
      <c r="BF143" s="305">
        <v>0.05</v>
      </c>
      <c r="BG143" s="308">
        <f>10.629+0.25</f>
        <v>10.879</v>
      </c>
      <c r="BH143" s="308">
        <f>8.267+0.25</f>
        <v>8.5169999999999995</v>
      </c>
      <c r="BI143" s="308">
        <f>6.299+0.5</f>
        <v>6.7990000000000004</v>
      </c>
      <c r="BJ143" s="307">
        <f t="shared" ref="BJ143" si="61">(BI143*BH143*BG143)/1728</f>
        <v>0.36456664117881943</v>
      </c>
      <c r="BK143" s="312">
        <v>0.15</v>
      </c>
      <c r="BL143" s="312"/>
      <c r="BM143" s="312"/>
      <c r="BN143" s="104" t="s">
        <v>64</v>
      </c>
      <c r="BO143" s="216">
        <v>12</v>
      </c>
      <c r="BP143" s="216">
        <v>19</v>
      </c>
      <c r="BQ143" s="216">
        <v>7</v>
      </c>
      <c r="BR143" s="105">
        <f t="shared" ref="BR143" si="62">BO143*BP143*BQ143</f>
        <v>1596</v>
      </c>
      <c r="BS143" s="310">
        <f>((((BA143+BF143)*BO143)+BK143)*BP143*BQ143)+50</f>
        <v>277.43</v>
      </c>
      <c r="BT143" s="105" t="s">
        <v>1412</v>
      </c>
      <c r="BU143" s="245" t="s">
        <v>1910</v>
      </c>
      <c r="BV143" s="313"/>
      <c r="BW143" s="191"/>
      <c r="BX143" s="43"/>
    </row>
    <row r="144" spans="1:80" s="1" customFormat="1" x14ac:dyDescent="0.25">
      <c r="A144" s="241">
        <v>42534</v>
      </c>
      <c r="B144" s="26" t="s">
        <v>36</v>
      </c>
      <c r="C144" s="218" t="s">
        <v>2455</v>
      </c>
      <c r="D144" s="218" t="s">
        <v>240</v>
      </c>
      <c r="E144" s="218" t="s">
        <v>2110</v>
      </c>
      <c r="F144" s="102" t="s">
        <v>2456</v>
      </c>
      <c r="G144" s="102" t="s">
        <v>259</v>
      </c>
      <c r="H144" s="59">
        <v>64316935823</v>
      </c>
      <c r="I144" s="298"/>
      <c r="J144" s="298"/>
      <c r="K144" s="29"/>
      <c r="L144" s="30"/>
      <c r="M144" s="30"/>
      <c r="N144" s="30"/>
      <c r="O144" s="42"/>
      <c r="P144" s="42"/>
      <c r="Q144" s="42"/>
      <c r="R144" s="42"/>
      <c r="S144" s="42"/>
      <c r="T144" s="42"/>
      <c r="U144" s="29"/>
      <c r="V144" s="41"/>
      <c r="W144" s="29"/>
      <c r="X144" s="41"/>
      <c r="Y144" s="37"/>
      <c r="Z144" s="41"/>
      <c r="AA144" s="29"/>
      <c r="AB144" s="216" t="s">
        <v>2457</v>
      </c>
      <c r="AC144" s="298"/>
      <c r="AD144" s="59"/>
      <c r="AE144" s="298"/>
      <c r="AF144" s="298"/>
      <c r="AG144" s="298"/>
      <c r="AH144" s="298"/>
      <c r="AI144" s="298"/>
      <c r="AJ144" s="216"/>
      <c r="AK144" s="298"/>
      <c r="AL144" s="216"/>
      <c r="AM144" s="298" t="s">
        <v>2455</v>
      </c>
      <c r="AN144" s="298"/>
      <c r="AO144" s="298"/>
      <c r="AP144" s="298"/>
      <c r="AQ144" s="216"/>
      <c r="AR144" s="221">
        <v>27.38</v>
      </c>
      <c r="AS144" s="27">
        <f>AR144/0.444</f>
        <v>61.666666666666664</v>
      </c>
      <c r="AT144" s="302" t="s">
        <v>2458</v>
      </c>
      <c r="AU144" s="302" t="s">
        <v>2459</v>
      </c>
      <c r="AV144" s="303">
        <v>12.64</v>
      </c>
      <c r="AW144" s="303">
        <v>7.83</v>
      </c>
      <c r="AX144" s="303">
        <v>1.18</v>
      </c>
      <c r="AY144" s="304"/>
      <c r="AZ144" s="304"/>
      <c r="BA144" s="305">
        <f>0.93</f>
        <v>0.93</v>
      </c>
      <c r="BB144" s="306">
        <f>9.25+0.036</f>
        <v>9.2859999999999996</v>
      </c>
      <c r="BC144" s="306">
        <f>2.87+0.036</f>
        <v>2.9060000000000001</v>
      </c>
      <c r="BD144" s="307">
        <f>13.12+0.036+0.036</f>
        <v>13.191999999999998</v>
      </c>
      <c r="BE144" s="307">
        <f>(BD144*BC144*BB144)/1728</f>
        <v>0.20601137168518519</v>
      </c>
      <c r="BF144" s="305">
        <v>0.25</v>
      </c>
      <c r="BG144" s="308">
        <v>14.75</v>
      </c>
      <c r="BH144" s="308">
        <v>10</v>
      </c>
      <c r="BI144" s="308">
        <f>8.87+0.5</f>
        <v>9.3699999999999992</v>
      </c>
      <c r="BJ144" s="307">
        <f>(BI144*BH144*BG144)/1728</f>
        <v>0.79981192129629619</v>
      </c>
      <c r="BK144" s="309">
        <v>0.78</v>
      </c>
      <c r="BL144" s="309"/>
      <c r="BM144" s="309"/>
      <c r="BN144" s="104" t="s">
        <v>64</v>
      </c>
      <c r="BO144" s="216">
        <v>3</v>
      </c>
      <c r="BP144" s="216">
        <v>12</v>
      </c>
      <c r="BQ144" s="216">
        <v>4</v>
      </c>
      <c r="BR144" s="105">
        <f>BO144*BP144*BQ144</f>
        <v>144</v>
      </c>
      <c r="BS144" s="310">
        <v>182.44800000000001</v>
      </c>
      <c r="BT144" s="105" t="s">
        <v>69</v>
      </c>
      <c r="BU144" s="245" t="s">
        <v>2173</v>
      </c>
      <c r="BV144" s="191"/>
      <c r="BW144" s="191"/>
      <c r="BX144" s="43"/>
    </row>
    <row r="145" spans="1:80" s="1" customFormat="1" ht="15" customHeight="1" x14ac:dyDescent="0.25">
      <c r="A145" s="241">
        <v>42534</v>
      </c>
      <c r="B145" s="26" t="s">
        <v>36</v>
      </c>
      <c r="C145" s="218" t="s">
        <v>2460</v>
      </c>
      <c r="D145" s="218" t="s">
        <v>240</v>
      </c>
      <c r="E145" s="301" t="s">
        <v>1102</v>
      </c>
      <c r="F145" s="230" t="s">
        <v>2461</v>
      </c>
      <c r="G145" s="59" t="s">
        <v>223</v>
      </c>
      <c r="H145" s="231" t="s">
        <v>2462</v>
      </c>
      <c r="I145" s="298"/>
      <c r="J145" s="298"/>
      <c r="K145" s="29"/>
      <c r="L145" s="30"/>
      <c r="M145" s="30"/>
      <c r="N145" s="30"/>
      <c r="O145" s="42"/>
      <c r="P145" s="42"/>
      <c r="Q145" s="42"/>
      <c r="R145" s="42"/>
      <c r="S145" s="42"/>
      <c r="T145" s="42"/>
      <c r="U145" s="29" t="s">
        <v>2463</v>
      </c>
      <c r="V145" s="41"/>
      <c r="W145" s="29"/>
      <c r="X145" s="41"/>
      <c r="Y145" s="37"/>
      <c r="Z145" s="41"/>
      <c r="AA145" s="29"/>
      <c r="AB145" s="216"/>
      <c r="AC145" s="298"/>
      <c r="AD145" s="59"/>
      <c r="AE145" s="298"/>
      <c r="AF145" s="298"/>
      <c r="AG145" s="298"/>
      <c r="AH145" s="298"/>
      <c r="AI145" s="298"/>
      <c r="AJ145" s="298"/>
      <c r="AK145" s="298"/>
      <c r="AL145" s="37"/>
      <c r="AM145" s="298"/>
      <c r="AN145" s="298" t="s">
        <v>2464</v>
      </c>
      <c r="AO145" s="298"/>
      <c r="AP145" s="298" t="s">
        <v>2464</v>
      </c>
      <c r="AQ145" s="216"/>
      <c r="AR145" s="221">
        <v>13.04</v>
      </c>
      <c r="AS145" s="27">
        <f t="shared" si="55"/>
        <v>29.369369369369366</v>
      </c>
      <c r="AT145" s="302" t="s">
        <v>2465</v>
      </c>
      <c r="AU145" s="302" t="s">
        <v>2466</v>
      </c>
      <c r="AV145" s="303">
        <v>13.79</v>
      </c>
      <c r="AW145" s="303">
        <v>9.3800000000000008</v>
      </c>
      <c r="AX145" s="303">
        <v>2.3140000000000001</v>
      </c>
      <c r="AY145" s="304"/>
      <c r="AZ145" s="304"/>
      <c r="BA145" s="305">
        <v>0.94</v>
      </c>
      <c r="BB145" s="306">
        <f>10.5+0.036</f>
        <v>10.536</v>
      </c>
      <c r="BC145" s="306">
        <f>2.75+0.036</f>
        <v>2.786</v>
      </c>
      <c r="BD145" s="307">
        <f>15+0.036+0.036</f>
        <v>15.071999999999999</v>
      </c>
      <c r="BE145" s="307">
        <f t="shared" ref="BE145:BE146" si="63">(BD145*BC145*BB145)/1728</f>
        <v>0.25602597066666666</v>
      </c>
      <c r="BF145" s="305">
        <v>0.05</v>
      </c>
      <c r="BG145" s="308">
        <f>15.43+0.25</f>
        <v>15.68</v>
      </c>
      <c r="BH145" s="308">
        <f>11.56+0.25</f>
        <v>11.81</v>
      </c>
      <c r="BI145" s="308">
        <v>9.6199999999999992</v>
      </c>
      <c r="BJ145" s="307">
        <f t="shared" ref="BJ145:BJ146" si="64">(BI145*BH145*BG145)/1728</f>
        <v>1.0309255185185184</v>
      </c>
      <c r="BK145" s="309">
        <v>0.91</v>
      </c>
      <c r="BL145" s="309"/>
      <c r="BM145" s="309"/>
      <c r="BN145" s="104" t="s">
        <v>64</v>
      </c>
      <c r="BO145" s="216">
        <v>3</v>
      </c>
      <c r="BP145" s="216">
        <v>10</v>
      </c>
      <c r="BQ145" s="216">
        <v>4</v>
      </c>
      <c r="BR145" s="105">
        <f t="shared" ref="BR145:BR146" si="65">BO145*BP145*BQ145</f>
        <v>120</v>
      </c>
      <c r="BS145" s="310">
        <v>122.04</v>
      </c>
      <c r="BT145" s="105" t="s">
        <v>62</v>
      </c>
      <c r="BU145" s="245" t="s">
        <v>67</v>
      </c>
      <c r="BV145" s="191"/>
      <c r="BW145" s="191"/>
      <c r="BX145" s="43"/>
    </row>
    <row r="146" spans="1:80" s="1" customFormat="1" x14ac:dyDescent="0.25">
      <c r="A146" s="241">
        <v>42534</v>
      </c>
      <c r="B146" s="26" t="s">
        <v>36</v>
      </c>
      <c r="C146" s="216" t="s">
        <v>2467</v>
      </c>
      <c r="D146" s="218" t="s">
        <v>240</v>
      </c>
      <c r="E146" s="301" t="s">
        <v>1102</v>
      </c>
      <c r="F146" s="230" t="s">
        <v>2468</v>
      </c>
      <c r="G146" s="59" t="s">
        <v>995</v>
      </c>
      <c r="H146" s="231" t="s">
        <v>2469</v>
      </c>
      <c r="I146" s="298"/>
      <c r="J146" s="298"/>
      <c r="K146" s="29"/>
      <c r="L146" s="30"/>
      <c r="M146" s="30"/>
      <c r="N146" s="30"/>
      <c r="O146" s="42"/>
      <c r="P146" s="42"/>
      <c r="Q146" s="42"/>
      <c r="R146" s="42"/>
      <c r="S146" s="42"/>
      <c r="T146" s="42"/>
      <c r="U146" s="29"/>
      <c r="V146" s="41"/>
      <c r="W146" s="29"/>
      <c r="X146" s="41"/>
      <c r="Y146" s="37"/>
      <c r="Z146" s="41"/>
      <c r="AA146" s="29"/>
      <c r="AB146" s="216"/>
      <c r="AC146" s="298"/>
      <c r="AD146" s="59"/>
      <c r="AE146" s="298"/>
      <c r="AF146" s="298"/>
      <c r="AG146" s="298"/>
      <c r="AH146" s="298"/>
      <c r="AI146" s="298"/>
      <c r="AJ146" s="298"/>
      <c r="AK146" s="298"/>
      <c r="AL146" s="37"/>
      <c r="AM146" s="298"/>
      <c r="AN146" s="298" t="s">
        <v>2470</v>
      </c>
      <c r="AO146" s="298"/>
      <c r="AP146" s="298" t="s">
        <v>2470</v>
      </c>
      <c r="AQ146" s="216" t="s">
        <v>2471</v>
      </c>
      <c r="AR146" s="221">
        <v>10.17</v>
      </c>
      <c r="AS146" s="27">
        <f t="shared" si="55"/>
        <v>22.905405405405403</v>
      </c>
      <c r="AT146" s="302" t="s">
        <v>2472</v>
      </c>
      <c r="AU146" s="302" t="s">
        <v>2473</v>
      </c>
      <c r="AV146" s="303">
        <v>10</v>
      </c>
      <c r="AW146" s="303">
        <v>6.81</v>
      </c>
      <c r="AX146" s="303">
        <v>1.44</v>
      </c>
      <c r="AY146" s="304"/>
      <c r="AZ146" s="304"/>
      <c r="BA146" s="305">
        <v>0.51</v>
      </c>
      <c r="BB146" s="307">
        <f>6.97+0.036</f>
        <v>7.0059999999999993</v>
      </c>
      <c r="BC146" s="307">
        <f>1.53+0.036</f>
        <v>1.5660000000000001</v>
      </c>
      <c r="BD146" s="306">
        <f>10.12+0.036+0.036</f>
        <v>10.191999999999998</v>
      </c>
      <c r="BE146" s="307">
        <f t="shared" si="63"/>
        <v>6.4710918999999992E-2</v>
      </c>
      <c r="BF146" s="305">
        <v>0.1</v>
      </c>
      <c r="BG146" s="308">
        <f>10.43+0.25</f>
        <v>10.68</v>
      </c>
      <c r="BH146" s="308">
        <f>9.64+0.25</f>
        <v>9.89</v>
      </c>
      <c r="BI146" s="308">
        <f>7.28+0.5</f>
        <v>7.78</v>
      </c>
      <c r="BJ146" s="307">
        <f t="shared" si="64"/>
        <v>0.47555790277777782</v>
      </c>
      <c r="BK146" s="312">
        <v>0.25</v>
      </c>
      <c r="BL146" s="312"/>
      <c r="BM146" s="312"/>
      <c r="BN146" s="104" t="s">
        <v>64</v>
      </c>
      <c r="BO146" s="216">
        <v>6</v>
      </c>
      <c r="BP146" s="216">
        <v>16</v>
      </c>
      <c r="BQ146" s="216">
        <v>5</v>
      </c>
      <c r="BR146" s="105">
        <f t="shared" si="65"/>
        <v>480</v>
      </c>
      <c r="BS146" s="310">
        <f>((((BA146+BF146)*BO146)+BK146)*BP146*BQ146)+50</f>
        <v>362.8</v>
      </c>
      <c r="BT146" s="105" t="s">
        <v>182</v>
      </c>
      <c r="BU146" s="245" t="s">
        <v>67</v>
      </c>
      <c r="BV146" s="191"/>
      <c r="BW146" s="191"/>
      <c r="BX146" s="43"/>
    </row>
    <row r="147" spans="1:80" s="1" customFormat="1" ht="30" x14ac:dyDescent="0.25">
      <c r="A147" s="241">
        <v>42534</v>
      </c>
      <c r="B147" s="26" t="s">
        <v>36</v>
      </c>
      <c r="C147" s="218" t="s">
        <v>1893</v>
      </c>
      <c r="D147" s="218" t="s">
        <v>240</v>
      </c>
      <c r="E147" s="218" t="s">
        <v>2315</v>
      </c>
      <c r="F147" s="230" t="s">
        <v>2474</v>
      </c>
      <c r="G147" s="59" t="s">
        <v>223</v>
      </c>
      <c r="H147" s="231" t="s">
        <v>2475</v>
      </c>
      <c r="I147" s="298"/>
      <c r="J147" s="298"/>
      <c r="K147" s="29"/>
      <c r="L147" s="30"/>
      <c r="M147" s="30"/>
      <c r="N147" s="30"/>
      <c r="O147" s="42"/>
      <c r="P147" s="42"/>
      <c r="Q147" s="42"/>
      <c r="R147" s="42"/>
      <c r="S147" s="42"/>
      <c r="T147" s="42"/>
      <c r="U147" s="29" t="s">
        <v>2476</v>
      </c>
      <c r="V147" s="41"/>
      <c r="W147" s="29"/>
      <c r="X147" s="41"/>
      <c r="Y147" s="37"/>
      <c r="Z147" s="41"/>
      <c r="AA147" s="29"/>
      <c r="AB147" s="216" t="s">
        <v>2477</v>
      </c>
      <c r="AC147" s="298"/>
      <c r="AD147" s="59"/>
      <c r="AE147" s="298"/>
      <c r="AF147" s="298"/>
      <c r="AG147" s="298" t="s">
        <v>1893</v>
      </c>
      <c r="AH147" s="298"/>
      <c r="AI147" s="298"/>
      <c r="AJ147" s="298"/>
      <c r="AK147" s="298"/>
      <c r="AL147" s="37" t="s">
        <v>1899</v>
      </c>
      <c r="AM147" s="298" t="s">
        <v>2478</v>
      </c>
      <c r="AN147" s="298" t="s">
        <v>1900</v>
      </c>
      <c r="AO147" s="298" t="s">
        <v>2479</v>
      </c>
      <c r="AP147" s="298" t="s">
        <v>1901</v>
      </c>
      <c r="AQ147" s="216" t="s">
        <v>2480</v>
      </c>
      <c r="AR147" s="221">
        <v>6.95</v>
      </c>
      <c r="AS147" s="27">
        <f>AR147/0.444</f>
        <v>15.653153153153154</v>
      </c>
      <c r="AT147" s="314">
        <v>38568316097</v>
      </c>
      <c r="AU147" s="315" t="s">
        <v>2481</v>
      </c>
      <c r="AV147" s="316"/>
      <c r="AW147" s="316"/>
      <c r="AX147" s="316"/>
      <c r="AY147" s="317">
        <v>1.99</v>
      </c>
      <c r="AZ147" s="317">
        <v>6.2</v>
      </c>
      <c r="BA147" s="318">
        <v>0.13</v>
      </c>
      <c r="BB147" s="318">
        <v>2.1160000000000001</v>
      </c>
      <c r="BC147" s="318">
        <v>2.1160000000000001</v>
      </c>
      <c r="BD147" s="318">
        <v>6.5720000000000001</v>
      </c>
      <c r="BE147" s="318">
        <v>1.7000000000000001E-2</v>
      </c>
      <c r="BF147" s="318">
        <v>0.1</v>
      </c>
      <c r="BG147" s="319">
        <v>9.18</v>
      </c>
      <c r="BH147" s="319">
        <v>7.13</v>
      </c>
      <c r="BI147" s="319">
        <v>7.58</v>
      </c>
      <c r="BJ147" s="318">
        <v>0.28699999999999998</v>
      </c>
      <c r="BK147" s="319">
        <v>0.2</v>
      </c>
      <c r="BL147" s="319"/>
      <c r="BM147" s="319"/>
      <c r="BN147" s="320" t="s">
        <v>64</v>
      </c>
      <c r="BO147" s="314">
        <v>12</v>
      </c>
      <c r="BP147" s="314">
        <v>29</v>
      </c>
      <c r="BQ147" s="314">
        <v>6</v>
      </c>
      <c r="BR147" s="317">
        <v>2088</v>
      </c>
      <c r="BS147" s="318">
        <v>555</v>
      </c>
      <c r="BT147" s="317" t="s">
        <v>69</v>
      </c>
      <c r="BU147" s="314" t="s">
        <v>1910</v>
      </c>
      <c r="BV147" s="191"/>
      <c r="BW147" s="191"/>
      <c r="BX147" s="43"/>
    </row>
    <row r="148" spans="1:80" s="1" customFormat="1" x14ac:dyDescent="0.25">
      <c r="A148" s="241">
        <v>42534</v>
      </c>
      <c r="B148" s="26" t="s">
        <v>36</v>
      </c>
      <c r="C148" s="216" t="s">
        <v>2482</v>
      </c>
      <c r="D148" s="218" t="s">
        <v>240</v>
      </c>
      <c r="E148" s="218" t="s">
        <v>2315</v>
      </c>
      <c r="F148" s="230" t="s">
        <v>2483</v>
      </c>
      <c r="G148" s="59" t="s">
        <v>187</v>
      </c>
      <c r="H148" s="231">
        <v>12674698</v>
      </c>
      <c r="I148" s="298" t="s">
        <v>187</v>
      </c>
      <c r="J148" s="298">
        <v>12667194</v>
      </c>
      <c r="K148" s="298" t="s">
        <v>1178</v>
      </c>
      <c r="L148" s="298" t="s">
        <v>2484</v>
      </c>
      <c r="M148" s="30"/>
      <c r="N148" s="30"/>
      <c r="O148" s="42"/>
      <c r="P148" s="42"/>
      <c r="Q148" s="42"/>
      <c r="R148" s="42"/>
      <c r="S148" s="42"/>
      <c r="T148" s="42"/>
      <c r="U148" s="29"/>
      <c r="V148" s="41"/>
      <c r="W148" s="29"/>
      <c r="X148" s="41"/>
      <c r="Y148" s="37"/>
      <c r="Z148" s="41"/>
      <c r="AA148" s="29"/>
      <c r="AB148" s="216"/>
      <c r="AC148" s="298"/>
      <c r="AD148" s="59"/>
      <c r="AE148" s="298"/>
      <c r="AF148" s="298"/>
      <c r="AG148" s="298"/>
      <c r="AH148" s="298"/>
      <c r="AI148" s="298"/>
      <c r="AJ148" s="298"/>
      <c r="AK148" s="298"/>
      <c r="AL148" s="37"/>
      <c r="AM148" s="298"/>
      <c r="AN148" s="298" t="s">
        <v>2485</v>
      </c>
      <c r="AO148" s="298"/>
      <c r="AP148" s="298" t="s">
        <v>2485</v>
      </c>
      <c r="AQ148" s="216"/>
      <c r="AR148" s="221">
        <v>5.65</v>
      </c>
      <c r="AS148" s="27">
        <f t="shared" si="55"/>
        <v>12.725225225225225</v>
      </c>
      <c r="AT148" s="302" t="s">
        <v>2486</v>
      </c>
      <c r="AU148" s="302" t="s">
        <v>2487</v>
      </c>
      <c r="AV148" s="311"/>
      <c r="AW148" s="311"/>
      <c r="AX148" s="311"/>
      <c r="AY148" s="192">
        <v>3.02</v>
      </c>
      <c r="AZ148" s="192">
        <v>3.5</v>
      </c>
      <c r="BA148" s="305">
        <v>0.71</v>
      </c>
      <c r="BB148" s="307">
        <f>3.156+0.036</f>
        <v>3.1920000000000002</v>
      </c>
      <c r="BC148" s="307">
        <f>3.156+0.036</f>
        <v>3.1920000000000002</v>
      </c>
      <c r="BD148" s="306">
        <f>4.036+0.036</f>
        <v>4.0719999999999992</v>
      </c>
      <c r="BE148" s="307">
        <f>(BD148*BC148*BB148)/1728</f>
        <v>2.4009869333333329E-2</v>
      </c>
      <c r="BF148" s="305">
        <v>0.1</v>
      </c>
      <c r="BG148" s="308">
        <v>13</v>
      </c>
      <c r="BH148" s="308">
        <f>9.562+0.25</f>
        <v>9.8119999999999994</v>
      </c>
      <c r="BI148" s="308">
        <f>4.137+0.5</f>
        <v>4.6369999999999996</v>
      </c>
      <c r="BJ148" s="307">
        <f>(BI148*BH148*BG148)/1728</f>
        <v>0.34229003009259251</v>
      </c>
      <c r="BK148" s="312">
        <v>0.25</v>
      </c>
      <c r="BL148" s="312"/>
      <c r="BM148" s="312"/>
      <c r="BN148" s="104" t="s">
        <v>64</v>
      </c>
      <c r="BO148" s="216">
        <v>12</v>
      </c>
      <c r="BP148" s="216">
        <v>14</v>
      </c>
      <c r="BQ148" s="216">
        <v>10</v>
      </c>
      <c r="BR148" s="105">
        <f>BO148*BP148*BQ148</f>
        <v>1680</v>
      </c>
      <c r="BS148" s="310">
        <f>((((BA148+BF148)*BO148)+BK148)*BP148*BQ148)+50</f>
        <v>1445.7999999999997</v>
      </c>
      <c r="BT148" s="105" t="s">
        <v>62</v>
      </c>
      <c r="BU148" s="245" t="s">
        <v>1910</v>
      </c>
      <c r="BV148" s="191"/>
      <c r="BW148" s="191"/>
      <c r="BX148" s="43"/>
    </row>
    <row r="149" spans="1:80" ht="30" x14ac:dyDescent="0.25">
      <c r="A149" s="241">
        <v>42482</v>
      </c>
      <c r="B149" s="206" t="s">
        <v>14</v>
      </c>
      <c r="C149" s="206" t="s">
        <v>2314</v>
      </c>
      <c r="D149" s="206" t="s">
        <v>73</v>
      </c>
      <c r="E149" s="17" t="s">
        <v>2315</v>
      </c>
      <c r="F149" s="230" t="s">
        <v>2324</v>
      </c>
      <c r="G149" s="59" t="s">
        <v>1984</v>
      </c>
      <c r="H149" s="231">
        <v>47135704</v>
      </c>
      <c r="I149" s="298" t="s">
        <v>63</v>
      </c>
      <c r="J149" s="298">
        <v>47135703</v>
      </c>
      <c r="K149" s="29"/>
      <c r="L149" s="30"/>
      <c r="M149" s="30"/>
      <c r="N149" s="30"/>
      <c r="O149" s="42"/>
      <c r="P149" s="42"/>
      <c r="Q149" s="42"/>
      <c r="R149" s="42"/>
      <c r="S149" s="42"/>
      <c r="T149" s="42"/>
      <c r="U149" s="29" t="s">
        <v>2359</v>
      </c>
      <c r="V149" s="41"/>
      <c r="W149" s="29"/>
      <c r="X149" s="41"/>
      <c r="Y149" s="37" t="s">
        <v>2360</v>
      </c>
      <c r="Z149" s="41"/>
      <c r="AA149" s="29" t="s">
        <v>2361</v>
      </c>
      <c r="AB149" s="216" t="s">
        <v>2362</v>
      </c>
      <c r="AC149" s="298"/>
      <c r="AD149" s="59"/>
      <c r="AE149" s="298"/>
      <c r="AF149" s="298"/>
      <c r="AG149" s="298"/>
      <c r="AH149" s="298"/>
      <c r="AI149" s="298"/>
      <c r="AJ149" s="298"/>
      <c r="AK149" s="298"/>
      <c r="AL149" s="37"/>
      <c r="AM149" s="298"/>
      <c r="AN149" s="298"/>
      <c r="AO149" s="298"/>
      <c r="AP149" s="298"/>
      <c r="AQ149" s="216">
        <v>57075</v>
      </c>
      <c r="AR149" s="221">
        <v>20.76</v>
      </c>
      <c r="AS149" s="27">
        <f>AR149/0.444</f>
        <v>46.756756756756758</v>
      </c>
      <c r="AT149" s="228" t="s">
        <v>2364</v>
      </c>
      <c r="AU149" s="228" t="s">
        <v>2365</v>
      </c>
      <c r="AV149" s="44"/>
      <c r="AW149" s="44"/>
      <c r="AX149" s="44"/>
      <c r="AY149" s="293">
        <v>4.2125984251968509</v>
      </c>
      <c r="AZ149" s="293">
        <v>4.1535433070866148</v>
      </c>
      <c r="BA149" s="281"/>
      <c r="BB149" s="103">
        <v>4.4659999999999993</v>
      </c>
      <c r="BC149" s="103">
        <v>4.4659999999999993</v>
      </c>
      <c r="BD149" s="103">
        <v>4.8220000000000001</v>
      </c>
      <c r="BE149" s="103">
        <v>5.5657142495370356E-2</v>
      </c>
      <c r="BF149" s="103">
        <v>1.3180000000000001</v>
      </c>
      <c r="BG149" s="103">
        <v>14</v>
      </c>
      <c r="BH149" s="103">
        <v>9.5</v>
      </c>
      <c r="BI149" s="103">
        <v>5.37</v>
      </c>
      <c r="BJ149" s="103">
        <v>0.41331597222222222</v>
      </c>
      <c r="BK149" s="103">
        <v>7.9080000000000004</v>
      </c>
      <c r="BL149" s="103"/>
      <c r="BM149" s="103"/>
      <c r="BN149" s="68" t="s">
        <v>68</v>
      </c>
      <c r="BO149" s="209">
        <v>6</v>
      </c>
      <c r="BP149" s="209">
        <v>13</v>
      </c>
      <c r="BQ149" s="209">
        <v>8</v>
      </c>
      <c r="BR149" s="32">
        <v>624</v>
      </c>
      <c r="BS149" s="32">
        <v>872.43200000000002</v>
      </c>
      <c r="BT149" s="209" t="s">
        <v>2366</v>
      </c>
      <c r="BU149" s="229" t="s">
        <v>2367</v>
      </c>
      <c r="BV149" s="8"/>
      <c r="BW149" s="8"/>
      <c r="BX149" s="8"/>
    </row>
    <row r="150" spans="1:80" s="1" customFormat="1" x14ac:dyDescent="0.25">
      <c r="A150" s="241">
        <v>42482</v>
      </c>
      <c r="B150" s="206" t="s">
        <v>14</v>
      </c>
      <c r="C150" s="206" t="s">
        <v>2316</v>
      </c>
      <c r="D150" s="206" t="s">
        <v>73</v>
      </c>
      <c r="E150" s="206" t="s">
        <v>78</v>
      </c>
      <c r="F150" s="230" t="s">
        <v>2326</v>
      </c>
      <c r="G150" s="216" t="s">
        <v>995</v>
      </c>
      <c r="H150" s="37" t="s">
        <v>2325</v>
      </c>
      <c r="I150" s="298"/>
      <c r="J150" s="298"/>
      <c r="K150" s="29"/>
      <c r="L150" s="30"/>
      <c r="M150" s="30"/>
      <c r="N150" s="30"/>
      <c r="O150" s="42"/>
      <c r="P150" s="42"/>
      <c r="Q150" s="42"/>
      <c r="R150" s="42"/>
      <c r="S150" s="42"/>
      <c r="T150" s="42"/>
      <c r="U150" s="29" t="s">
        <v>2357</v>
      </c>
      <c r="V150" s="41"/>
      <c r="W150" s="29"/>
      <c r="X150" s="41"/>
      <c r="Y150" s="37" t="s">
        <v>2358</v>
      </c>
      <c r="Z150" s="41"/>
      <c r="AA150" s="29"/>
      <c r="AB150" s="216"/>
      <c r="AC150" s="216"/>
      <c r="AD150" s="59"/>
      <c r="AE150" s="298"/>
      <c r="AF150" s="298"/>
      <c r="AG150" s="298"/>
      <c r="AH150" s="298"/>
      <c r="AI150" s="298"/>
      <c r="AJ150" s="298"/>
      <c r="AK150" s="298"/>
      <c r="AL150" s="216"/>
      <c r="AM150" s="298"/>
      <c r="AN150" s="298"/>
      <c r="AO150" s="298"/>
      <c r="AP150" s="298"/>
      <c r="AQ150" s="216"/>
      <c r="AR150" s="221">
        <v>12.53</v>
      </c>
      <c r="AS150" s="27">
        <f>AR150/0.444</f>
        <v>28.22072072072072</v>
      </c>
      <c r="AT150" s="282" t="s">
        <v>2368</v>
      </c>
      <c r="AU150" s="228" t="s">
        <v>2369</v>
      </c>
      <c r="AV150" s="283"/>
      <c r="AW150" s="283"/>
      <c r="AX150" s="283"/>
      <c r="AY150" s="293">
        <v>2.9921259842519685</v>
      </c>
      <c r="AZ150" s="293">
        <v>2.1653543307086616</v>
      </c>
      <c r="BA150" s="222">
        <v>0.62992125984251968</v>
      </c>
      <c r="BB150" s="284"/>
      <c r="BC150" s="284"/>
      <c r="BD150" s="284"/>
      <c r="BE150" s="49"/>
      <c r="BF150" s="224">
        <v>0.42499999999999999</v>
      </c>
      <c r="BG150" s="294">
        <v>10</v>
      </c>
      <c r="BH150" s="294">
        <v>6.75</v>
      </c>
      <c r="BI150" s="294">
        <v>3.75</v>
      </c>
      <c r="BJ150" s="103">
        <v>0.146484375</v>
      </c>
      <c r="BK150" s="103">
        <v>2.5499999999999998</v>
      </c>
      <c r="BL150" s="103"/>
      <c r="BM150" s="103"/>
      <c r="BN150" s="68" t="s">
        <v>68</v>
      </c>
      <c r="BO150" s="205">
        <v>6</v>
      </c>
      <c r="BP150" s="205">
        <v>26</v>
      </c>
      <c r="BQ150" s="205">
        <v>10</v>
      </c>
      <c r="BR150" s="32">
        <v>1560</v>
      </c>
      <c r="BS150" s="32">
        <v>713</v>
      </c>
      <c r="BT150" s="205" t="s">
        <v>2366</v>
      </c>
      <c r="BU150" s="225" t="s">
        <v>2367</v>
      </c>
      <c r="BV150" s="191"/>
      <c r="BW150" s="191"/>
      <c r="BX150" s="191"/>
      <c r="BY150" s="191"/>
      <c r="BZ150" s="191"/>
    </row>
    <row r="151" spans="1:80" s="1" customFormat="1" x14ac:dyDescent="0.25">
      <c r="A151" s="241">
        <v>42482</v>
      </c>
      <c r="B151" s="205" t="s">
        <v>14</v>
      </c>
      <c r="C151" s="205" t="s">
        <v>2318</v>
      </c>
      <c r="D151" s="206" t="s">
        <v>73</v>
      </c>
      <c r="E151" s="206" t="s">
        <v>78</v>
      </c>
      <c r="F151" s="102" t="s">
        <v>2330</v>
      </c>
      <c r="G151" s="102" t="s">
        <v>2327</v>
      </c>
      <c r="H151" s="59" t="s">
        <v>2329</v>
      </c>
      <c r="I151" s="298"/>
      <c r="J151" s="298"/>
      <c r="K151" s="29"/>
      <c r="L151" s="30"/>
      <c r="M151" s="30"/>
      <c r="N151" s="30"/>
      <c r="O151" s="42"/>
      <c r="P151" s="42"/>
      <c r="Q151" s="42"/>
      <c r="R151" s="42"/>
      <c r="S151" s="42"/>
      <c r="T151" s="42"/>
      <c r="U151" s="29" t="s">
        <v>2353</v>
      </c>
      <c r="V151" s="41"/>
      <c r="W151" s="29"/>
      <c r="X151" s="41"/>
      <c r="Y151" s="37"/>
      <c r="Z151" s="41"/>
      <c r="AA151" s="29"/>
      <c r="AB151" s="216"/>
      <c r="AC151" s="298"/>
      <c r="AD151" s="59"/>
      <c r="AE151" s="298"/>
      <c r="AF151" s="298"/>
      <c r="AG151" s="298"/>
      <c r="AH151" s="298"/>
      <c r="AI151" s="298"/>
      <c r="AJ151" s="216"/>
      <c r="AK151" s="298"/>
      <c r="AL151" s="216"/>
      <c r="AM151" s="298"/>
      <c r="AN151" s="298"/>
      <c r="AO151" s="298"/>
      <c r="AP151" s="298"/>
      <c r="AQ151" s="216">
        <v>33745</v>
      </c>
      <c r="AR151" s="221">
        <v>22.51</v>
      </c>
      <c r="AS151" s="27">
        <f t="shared" ref="AS151:AS204" si="66">AR151/0.444</f>
        <v>50.698198198198199</v>
      </c>
      <c r="AT151" s="98" t="s">
        <v>2370</v>
      </c>
      <c r="AU151" s="228" t="s">
        <v>2371</v>
      </c>
      <c r="AV151" s="283"/>
      <c r="AW151" s="283"/>
      <c r="AX151" s="283"/>
      <c r="AY151" s="293">
        <v>3.7007874015748032</v>
      </c>
      <c r="AZ151" s="293">
        <v>3.7795275590551185</v>
      </c>
      <c r="BA151" s="226">
        <v>0.9055118110236221</v>
      </c>
      <c r="BB151" s="285"/>
      <c r="BC151" s="285"/>
      <c r="BD151" s="285"/>
      <c r="BE151" s="49"/>
      <c r="BF151" s="224">
        <v>0.42499999999999999</v>
      </c>
      <c r="BG151" s="294">
        <v>11.93</v>
      </c>
      <c r="BH151" s="294">
        <v>8</v>
      </c>
      <c r="BI151" s="294">
        <v>4.62</v>
      </c>
      <c r="BJ151" s="103">
        <v>0.25516944444444445</v>
      </c>
      <c r="BK151" s="103">
        <v>2.5499999999999998</v>
      </c>
      <c r="BL151" s="103"/>
      <c r="BM151" s="103"/>
      <c r="BN151" s="68" t="s">
        <v>68</v>
      </c>
      <c r="BO151" s="205">
        <v>6</v>
      </c>
      <c r="BP151" s="205">
        <v>20</v>
      </c>
      <c r="BQ151" s="205">
        <v>9</v>
      </c>
      <c r="BR151" s="32">
        <v>1080</v>
      </c>
      <c r="BS151" s="32">
        <v>509</v>
      </c>
      <c r="BT151" s="32" t="s">
        <v>2366</v>
      </c>
      <c r="BU151" s="225" t="s">
        <v>2367</v>
      </c>
      <c r="BV151" s="191"/>
      <c r="BW151" s="191"/>
      <c r="BX151" s="43"/>
    </row>
    <row r="152" spans="1:80" s="1" customFormat="1" x14ac:dyDescent="0.25">
      <c r="A152" s="241">
        <v>42482</v>
      </c>
      <c r="B152" s="205" t="s">
        <v>36</v>
      </c>
      <c r="C152" s="205" t="s">
        <v>2317</v>
      </c>
      <c r="D152" s="206" t="s">
        <v>73</v>
      </c>
      <c r="E152" s="206" t="s">
        <v>78</v>
      </c>
      <c r="F152" s="102" t="s">
        <v>2328</v>
      </c>
      <c r="G152" s="102" t="s">
        <v>2327</v>
      </c>
      <c r="H152" s="59">
        <v>3006265011</v>
      </c>
      <c r="I152" s="298"/>
      <c r="J152" s="298"/>
      <c r="K152" s="29"/>
      <c r="L152" s="30"/>
      <c r="M152" s="30"/>
      <c r="N152" s="30"/>
      <c r="O152" s="42"/>
      <c r="P152" s="42"/>
      <c r="Q152" s="42"/>
      <c r="R152" s="42"/>
      <c r="S152" s="42"/>
      <c r="T152" s="42"/>
      <c r="U152" s="29" t="s">
        <v>2354</v>
      </c>
      <c r="V152" s="41"/>
      <c r="W152" s="29"/>
      <c r="X152" s="41"/>
      <c r="Y152" s="37" t="s">
        <v>2355</v>
      </c>
      <c r="Z152" s="41"/>
      <c r="AA152" s="29" t="s">
        <v>2356</v>
      </c>
      <c r="AB152" s="216"/>
      <c r="AC152" s="26"/>
      <c r="AD152" s="59"/>
      <c r="AE152" s="298"/>
      <c r="AF152" s="298"/>
      <c r="AG152" s="298"/>
      <c r="AH152" s="298"/>
      <c r="AI152" s="298"/>
      <c r="AJ152" s="298"/>
      <c r="AK152" s="298"/>
      <c r="AL152" s="26"/>
      <c r="AM152" s="298"/>
      <c r="AN152" s="298"/>
      <c r="AO152" s="298"/>
      <c r="AP152" s="298"/>
      <c r="AQ152" s="216"/>
      <c r="AR152" s="221">
        <v>19.23</v>
      </c>
      <c r="AS152" s="27">
        <f t="shared" si="66"/>
        <v>43.310810810810814</v>
      </c>
      <c r="AT152" s="98" t="s">
        <v>2372</v>
      </c>
      <c r="AU152" s="228" t="s">
        <v>2373</v>
      </c>
      <c r="AV152" s="283"/>
      <c r="AW152" s="283"/>
      <c r="AX152" s="283"/>
      <c r="AY152" s="293">
        <v>3.6220472440944884</v>
      </c>
      <c r="AZ152" s="293">
        <v>5.6299212598425203</v>
      </c>
      <c r="BA152" s="226">
        <v>0.59055118110236227</v>
      </c>
      <c r="BB152" s="285"/>
      <c r="BC152" s="285"/>
      <c r="BD152" s="285"/>
      <c r="BE152" s="49"/>
      <c r="BF152" s="224">
        <v>0.42499999999999999</v>
      </c>
      <c r="BG152" s="294">
        <v>11.936999999999999</v>
      </c>
      <c r="BH152" s="294">
        <v>8</v>
      </c>
      <c r="BI152" s="294">
        <v>6.375</v>
      </c>
      <c r="BJ152" s="103">
        <v>0.35230729166666663</v>
      </c>
      <c r="BK152" s="103">
        <v>2.5499999999999998</v>
      </c>
      <c r="BL152" s="103"/>
      <c r="BM152" s="103"/>
      <c r="BN152" s="68" t="s">
        <v>68</v>
      </c>
      <c r="BO152" s="205">
        <v>6</v>
      </c>
      <c r="BP152" s="205">
        <v>20</v>
      </c>
      <c r="BQ152" s="205">
        <v>7</v>
      </c>
      <c r="BR152" s="32">
        <v>840</v>
      </c>
      <c r="BS152" s="32">
        <v>407</v>
      </c>
      <c r="BT152" s="32" t="s">
        <v>2366</v>
      </c>
      <c r="BU152" s="225" t="s">
        <v>2367</v>
      </c>
      <c r="BV152" s="191"/>
      <c r="BW152" s="43"/>
      <c r="BX152" s="43"/>
      <c r="BY152" s="191"/>
      <c r="BZ152" s="191"/>
      <c r="CA152" s="191"/>
      <c r="CB152" s="191"/>
    </row>
    <row r="153" spans="1:80" s="1" customFormat="1" ht="45" x14ac:dyDescent="0.25">
      <c r="A153" s="241">
        <v>42482</v>
      </c>
      <c r="B153" s="206" t="s">
        <v>14</v>
      </c>
      <c r="C153" s="206" t="s">
        <v>2320</v>
      </c>
      <c r="D153" s="206" t="s">
        <v>73</v>
      </c>
      <c r="E153" s="206" t="s">
        <v>78</v>
      </c>
      <c r="F153" s="230" t="s">
        <v>2336</v>
      </c>
      <c r="G153" s="59" t="s">
        <v>995</v>
      </c>
      <c r="H153" s="231" t="s">
        <v>2333</v>
      </c>
      <c r="I153" s="298" t="s">
        <v>2334</v>
      </c>
      <c r="J153" s="298">
        <v>4411637</v>
      </c>
      <c r="K153" s="29" t="s">
        <v>2335</v>
      </c>
      <c r="L153" s="30" t="s">
        <v>2333</v>
      </c>
      <c r="M153" s="30"/>
      <c r="N153" s="30"/>
      <c r="O153" s="42"/>
      <c r="P153" s="42"/>
      <c r="Q153" s="42"/>
      <c r="R153" s="42"/>
      <c r="S153" s="42"/>
      <c r="T153" s="42"/>
      <c r="U153" s="29" t="s">
        <v>2349</v>
      </c>
      <c r="V153" s="41"/>
      <c r="W153" s="29"/>
      <c r="X153" s="41"/>
      <c r="Y153" s="37"/>
      <c r="Z153" s="41"/>
      <c r="AA153" s="29"/>
      <c r="AB153" s="216"/>
      <c r="AC153" s="298"/>
      <c r="AD153" s="59"/>
      <c r="AE153" s="298"/>
      <c r="AF153" s="298"/>
      <c r="AG153" s="298"/>
      <c r="AH153" s="298"/>
      <c r="AI153" s="298"/>
      <c r="AJ153" s="298"/>
      <c r="AK153" s="298"/>
      <c r="AL153" s="37"/>
      <c r="AM153" s="298"/>
      <c r="AN153" s="298"/>
      <c r="AO153" s="298"/>
      <c r="AP153" s="298"/>
      <c r="AQ153" s="216"/>
      <c r="AR153" s="221">
        <v>19.98</v>
      </c>
      <c r="AS153" s="27">
        <f t="shared" si="66"/>
        <v>45</v>
      </c>
      <c r="AT153" s="98" t="s">
        <v>2374</v>
      </c>
      <c r="AU153" s="228" t="s">
        <v>2375</v>
      </c>
      <c r="AV153" s="283"/>
      <c r="AW153" s="283"/>
      <c r="AX153" s="283"/>
      <c r="AY153" s="293">
        <v>2.7952755905511815</v>
      </c>
      <c r="AZ153" s="293">
        <v>4.7637795275590555</v>
      </c>
      <c r="BA153" s="222">
        <v>0.78740157480314965</v>
      </c>
      <c r="BB153" s="49"/>
      <c r="BC153" s="49"/>
      <c r="BD153" s="49"/>
      <c r="BE153" s="49"/>
      <c r="BF153" s="224">
        <v>0.42499999999999999</v>
      </c>
      <c r="BG153" s="294">
        <v>10</v>
      </c>
      <c r="BH153" s="294">
        <v>6.75</v>
      </c>
      <c r="BI153" s="294">
        <v>5.5</v>
      </c>
      <c r="BJ153" s="291">
        <v>0.21484375</v>
      </c>
      <c r="BK153" s="291">
        <v>2.5499999999999998</v>
      </c>
      <c r="BL153" s="342"/>
      <c r="BM153" s="342"/>
      <c r="BN153" s="68" t="s">
        <v>68</v>
      </c>
      <c r="BO153" s="205">
        <v>6</v>
      </c>
      <c r="BP153" s="205">
        <v>26</v>
      </c>
      <c r="BQ153" s="205">
        <v>8</v>
      </c>
      <c r="BR153" s="32">
        <v>1248</v>
      </c>
      <c r="BS153" s="32">
        <v>580.4</v>
      </c>
      <c r="BT153" s="32" t="s">
        <v>2366</v>
      </c>
      <c r="BU153" s="245" t="s">
        <v>2367</v>
      </c>
      <c r="BV153" s="191"/>
      <c r="BW153" s="191"/>
      <c r="BX153" s="43"/>
    </row>
    <row r="154" spans="1:80" s="1" customFormat="1" x14ac:dyDescent="0.25">
      <c r="A154" s="241">
        <v>42482</v>
      </c>
      <c r="B154" s="209" t="s">
        <v>14</v>
      </c>
      <c r="C154" s="206" t="s">
        <v>2319</v>
      </c>
      <c r="D154" s="206" t="s">
        <v>73</v>
      </c>
      <c r="E154" s="206" t="s">
        <v>78</v>
      </c>
      <c r="F154" s="257" t="s">
        <v>2332</v>
      </c>
      <c r="G154" s="102" t="s">
        <v>2327</v>
      </c>
      <c r="H154" s="59" t="s">
        <v>2331</v>
      </c>
      <c r="I154" s="298"/>
      <c r="J154" s="298"/>
      <c r="K154" s="29"/>
      <c r="L154" s="30"/>
      <c r="M154" s="30"/>
      <c r="N154" s="30"/>
      <c r="O154" s="42"/>
      <c r="P154" s="42"/>
      <c r="Q154" s="42"/>
      <c r="R154" s="42"/>
      <c r="S154" s="42"/>
      <c r="T154" s="42"/>
      <c r="U154" s="29" t="s">
        <v>2350</v>
      </c>
      <c r="V154" s="41"/>
      <c r="W154" s="29"/>
      <c r="X154" s="41"/>
      <c r="Y154" s="37" t="s">
        <v>2351</v>
      </c>
      <c r="Z154" s="41"/>
      <c r="AA154" s="29" t="s">
        <v>2352</v>
      </c>
      <c r="AB154" s="216"/>
      <c r="AC154" s="298"/>
      <c r="AD154" s="59"/>
      <c r="AE154" s="298"/>
      <c r="AF154" s="298"/>
      <c r="AG154" s="298"/>
      <c r="AH154" s="298"/>
      <c r="AI154" s="298"/>
      <c r="AJ154" s="298"/>
      <c r="AK154" s="298"/>
      <c r="AL154" s="37"/>
      <c r="AM154" s="298"/>
      <c r="AN154" s="298"/>
      <c r="AO154" s="298"/>
      <c r="AP154" s="298"/>
      <c r="AQ154" s="216"/>
      <c r="AR154" s="221">
        <v>16.39</v>
      </c>
      <c r="AS154" s="27">
        <f t="shared" si="66"/>
        <v>36.914414414414416</v>
      </c>
      <c r="AT154" s="98" t="s">
        <v>2376</v>
      </c>
      <c r="AU154" s="228" t="s">
        <v>2377</v>
      </c>
      <c r="AV154" s="283"/>
      <c r="AW154" s="283"/>
      <c r="AX154" s="283"/>
      <c r="AY154" s="293">
        <v>3.7401574803149606</v>
      </c>
      <c r="AZ154" s="293">
        <v>3.8582677165354333</v>
      </c>
      <c r="BA154" s="222">
        <v>1.0629921259842521</v>
      </c>
      <c r="BB154" s="49"/>
      <c r="BC154" s="49"/>
      <c r="BD154" s="49"/>
      <c r="BE154" s="49"/>
      <c r="BF154" s="224">
        <v>0.42499999999999999</v>
      </c>
      <c r="BG154" s="294">
        <v>11.93</v>
      </c>
      <c r="BH154" s="294">
        <v>8</v>
      </c>
      <c r="BI154" s="294">
        <v>4.62</v>
      </c>
      <c r="BJ154" s="291">
        <v>0.25516944444444445</v>
      </c>
      <c r="BK154" s="291">
        <v>2.5499999999999998</v>
      </c>
      <c r="BL154" s="342"/>
      <c r="BM154" s="342"/>
      <c r="BN154" s="68" t="s">
        <v>68</v>
      </c>
      <c r="BO154" s="32">
        <v>6</v>
      </c>
      <c r="BP154" s="32">
        <v>20</v>
      </c>
      <c r="BQ154" s="32">
        <v>9</v>
      </c>
      <c r="BR154" s="32">
        <v>1080</v>
      </c>
      <c r="BS154" s="32">
        <v>509</v>
      </c>
      <c r="BT154" s="32" t="s">
        <v>2366</v>
      </c>
      <c r="BU154" s="245" t="s">
        <v>2367</v>
      </c>
      <c r="BV154" s="191"/>
      <c r="BW154" s="191"/>
      <c r="BX154" s="43"/>
    </row>
    <row r="155" spans="1:80" ht="30" x14ac:dyDescent="0.25">
      <c r="A155" s="241">
        <v>42482</v>
      </c>
      <c r="B155" s="206" t="s">
        <v>14</v>
      </c>
      <c r="C155" s="206" t="s">
        <v>2321</v>
      </c>
      <c r="D155" s="206" t="s">
        <v>73</v>
      </c>
      <c r="E155" s="206" t="s">
        <v>1110</v>
      </c>
      <c r="F155" s="230" t="s">
        <v>2338</v>
      </c>
      <c r="G155" s="59" t="s">
        <v>1328</v>
      </c>
      <c r="H155" s="231" t="s">
        <v>2337</v>
      </c>
      <c r="I155" s="298"/>
      <c r="J155" s="298"/>
      <c r="K155" s="29"/>
      <c r="L155" s="30"/>
      <c r="M155" s="30"/>
      <c r="N155" s="30"/>
      <c r="O155" s="42"/>
      <c r="P155" s="42"/>
      <c r="Q155" s="42"/>
      <c r="R155" s="42"/>
      <c r="S155" s="42"/>
      <c r="T155" s="42"/>
      <c r="U155" s="29" t="s">
        <v>2343</v>
      </c>
      <c r="V155" s="41"/>
      <c r="W155" s="29"/>
      <c r="X155" s="41"/>
      <c r="Y155" s="37" t="s">
        <v>2344</v>
      </c>
      <c r="Z155" s="41"/>
      <c r="AA155" s="29"/>
      <c r="AB155" s="216"/>
      <c r="AC155" s="298"/>
      <c r="AD155" s="59"/>
      <c r="AE155" s="298"/>
      <c r="AF155" s="298"/>
      <c r="AG155" s="298"/>
      <c r="AH155" s="298"/>
      <c r="AI155" s="298"/>
      <c r="AJ155" s="298"/>
      <c r="AK155" s="298"/>
      <c r="AL155" s="37"/>
      <c r="AM155" s="298"/>
      <c r="AN155" s="298"/>
      <c r="AO155" s="298"/>
      <c r="AP155" s="298"/>
      <c r="AQ155" s="216"/>
      <c r="AR155" s="221">
        <v>118.71</v>
      </c>
      <c r="AS155" s="27">
        <f t="shared" si="66"/>
        <v>267.36486486486484</v>
      </c>
      <c r="AT155" s="282" t="s">
        <v>2378</v>
      </c>
      <c r="AU155" s="228" t="s">
        <v>2379</v>
      </c>
      <c r="AV155" s="283"/>
      <c r="AW155" s="283"/>
      <c r="AX155" s="283"/>
      <c r="AY155" s="293">
        <v>2.8346456692913389</v>
      </c>
      <c r="AZ155" s="293">
        <v>11.811023622047244</v>
      </c>
      <c r="BA155" s="281"/>
      <c r="BB155" s="294">
        <v>3.625</v>
      </c>
      <c r="BC155" s="294">
        <v>3.625</v>
      </c>
      <c r="BD155" s="294">
        <v>15.25</v>
      </c>
      <c r="BE155" s="291">
        <v>0.11596905743634259</v>
      </c>
      <c r="BF155" s="224">
        <v>1.1000000000000001</v>
      </c>
      <c r="BG155" s="441" t="s">
        <v>2380</v>
      </c>
      <c r="BH155" s="442"/>
      <c r="BI155" s="442"/>
      <c r="BJ155" s="442"/>
      <c r="BK155" s="443"/>
      <c r="BL155" s="346"/>
      <c r="BM155" s="346"/>
      <c r="BN155" s="68" t="s">
        <v>68</v>
      </c>
      <c r="BO155" s="205">
        <v>1</v>
      </c>
      <c r="BP155" s="205">
        <v>143</v>
      </c>
      <c r="BQ155" s="205">
        <v>2</v>
      </c>
      <c r="BR155" s="32">
        <v>286</v>
      </c>
      <c r="BS155" s="32">
        <v>364.6</v>
      </c>
      <c r="BT155" s="32" t="s">
        <v>2381</v>
      </c>
      <c r="BU155" s="245" t="s">
        <v>2382</v>
      </c>
      <c r="BV155" s="8"/>
      <c r="BW155" s="8"/>
      <c r="BX155" s="8"/>
    </row>
    <row r="156" spans="1:80" x14ac:dyDescent="0.25">
      <c r="A156" s="241">
        <v>42482</v>
      </c>
      <c r="B156" s="209" t="s">
        <v>14</v>
      </c>
      <c r="C156" s="206" t="s">
        <v>2322</v>
      </c>
      <c r="D156" s="206" t="s">
        <v>73</v>
      </c>
      <c r="E156" s="206" t="s">
        <v>1110</v>
      </c>
      <c r="F156" s="230" t="s">
        <v>289</v>
      </c>
      <c r="G156" s="59" t="s">
        <v>1065</v>
      </c>
      <c r="H156" s="231" t="s">
        <v>2339</v>
      </c>
      <c r="I156" s="298"/>
      <c r="J156" s="298"/>
      <c r="K156" s="29"/>
      <c r="L156" s="30"/>
      <c r="M156" s="30"/>
      <c r="N156" s="30"/>
      <c r="O156" s="42"/>
      <c r="P156" s="42"/>
      <c r="Q156" s="42"/>
      <c r="R156" s="42"/>
      <c r="S156" s="42"/>
      <c r="T156" s="42"/>
      <c r="U156" s="29" t="s">
        <v>2340</v>
      </c>
      <c r="V156" s="41"/>
      <c r="W156" s="29"/>
      <c r="X156" s="41"/>
      <c r="Y156" s="37" t="s">
        <v>2341</v>
      </c>
      <c r="Z156" s="41"/>
      <c r="AA156" s="29"/>
      <c r="AB156" s="216"/>
      <c r="AC156" s="298"/>
      <c r="AD156" s="59"/>
      <c r="AE156" s="298"/>
      <c r="AF156" s="298"/>
      <c r="AG156" s="298"/>
      <c r="AH156" s="298"/>
      <c r="AI156" s="298"/>
      <c r="AJ156" s="298"/>
      <c r="AK156" s="298"/>
      <c r="AL156" s="37"/>
      <c r="AM156" s="298"/>
      <c r="AN156" s="298"/>
      <c r="AO156" s="298"/>
      <c r="AP156" s="298"/>
      <c r="AQ156" s="216" t="s">
        <v>2342</v>
      </c>
      <c r="AR156" s="221">
        <v>149.27000000000001</v>
      </c>
      <c r="AS156" s="27">
        <f t="shared" si="66"/>
        <v>336.19369369369372</v>
      </c>
      <c r="AT156" s="98" t="s">
        <v>2383</v>
      </c>
      <c r="AU156" s="228" t="s">
        <v>2384</v>
      </c>
      <c r="AV156" s="283"/>
      <c r="AW156" s="283"/>
      <c r="AX156" s="283"/>
      <c r="AY156" s="293">
        <v>3.8976377952755907</v>
      </c>
      <c r="AZ156" s="293">
        <v>8.2677165354330722</v>
      </c>
      <c r="BA156" s="222">
        <v>1.5748031496062993</v>
      </c>
      <c r="BB156" s="294">
        <v>4.125</v>
      </c>
      <c r="BC156" s="294">
        <v>4.125</v>
      </c>
      <c r="BD156" s="294">
        <v>10.25</v>
      </c>
      <c r="BE156" s="103">
        <v>0.10093180338541667</v>
      </c>
      <c r="BF156" s="224">
        <v>1.6</v>
      </c>
      <c r="BG156" s="441" t="s">
        <v>2380</v>
      </c>
      <c r="BH156" s="442"/>
      <c r="BI156" s="442"/>
      <c r="BJ156" s="442"/>
      <c r="BK156" s="443"/>
      <c r="BL156" s="346"/>
      <c r="BM156" s="346"/>
      <c r="BN156" s="68" t="s">
        <v>68</v>
      </c>
      <c r="BO156" s="205">
        <v>1</v>
      </c>
      <c r="BP156" s="205">
        <v>120</v>
      </c>
      <c r="BQ156" s="205">
        <v>4</v>
      </c>
      <c r="BR156" s="32">
        <v>480</v>
      </c>
      <c r="BS156" s="32">
        <v>818</v>
      </c>
      <c r="BT156" s="205" t="s">
        <v>2381</v>
      </c>
      <c r="BU156" s="245" t="s">
        <v>2382</v>
      </c>
      <c r="BV156" s="8"/>
      <c r="BW156" s="8"/>
      <c r="BX156" s="8"/>
    </row>
    <row r="157" spans="1:80" x14ac:dyDescent="0.25">
      <c r="A157" s="241">
        <v>42482</v>
      </c>
      <c r="B157" s="209" t="s">
        <v>14</v>
      </c>
      <c r="C157" s="205" t="s">
        <v>2323</v>
      </c>
      <c r="D157" s="206" t="s">
        <v>73</v>
      </c>
      <c r="E157" s="206" t="s">
        <v>1110</v>
      </c>
      <c r="F157" s="230" t="s">
        <v>2345</v>
      </c>
      <c r="G157" s="59" t="s">
        <v>1032</v>
      </c>
      <c r="H157" s="231">
        <v>1799806</v>
      </c>
      <c r="I157" s="298" t="s">
        <v>1032</v>
      </c>
      <c r="J157" s="298">
        <v>2166676</v>
      </c>
      <c r="K157" s="29"/>
      <c r="L157" s="30"/>
      <c r="M157" s="30"/>
      <c r="N157" s="30"/>
      <c r="O157" s="42"/>
      <c r="P157" s="42"/>
      <c r="Q157" s="42"/>
      <c r="R157" s="42"/>
      <c r="S157" s="42"/>
      <c r="T157" s="42"/>
      <c r="U157" s="29" t="s">
        <v>2346</v>
      </c>
      <c r="V157" s="41"/>
      <c r="W157" s="29"/>
      <c r="X157" s="41"/>
      <c r="Y157" s="37" t="s">
        <v>2347</v>
      </c>
      <c r="Z157" s="41"/>
      <c r="AA157" s="29" t="s">
        <v>2348</v>
      </c>
      <c r="AB157" s="216"/>
      <c r="AC157" s="298"/>
      <c r="AD157" s="59"/>
      <c r="AE157" s="298"/>
      <c r="AF157" s="298"/>
      <c r="AG157" s="298"/>
      <c r="AH157" s="298"/>
      <c r="AI157" s="298"/>
      <c r="AJ157" s="298"/>
      <c r="AK157" s="298"/>
      <c r="AL157" s="37"/>
      <c r="AM157" s="298"/>
      <c r="AN157" s="298"/>
      <c r="AO157" s="298"/>
      <c r="AP157" s="298"/>
      <c r="AQ157" s="216">
        <v>57896</v>
      </c>
      <c r="AR157" s="221">
        <v>230.97</v>
      </c>
      <c r="AS157" s="27">
        <f t="shared" si="66"/>
        <v>520.20270270270271</v>
      </c>
      <c r="AT157" s="282" t="s">
        <v>2385</v>
      </c>
      <c r="AU157" s="228" t="s">
        <v>2386</v>
      </c>
      <c r="AV157" s="283"/>
      <c r="AW157" s="283"/>
      <c r="AX157" s="283"/>
      <c r="AY157" s="293">
        <v>5.5118110236220472</v>
      </c>
      <c r="AZ157" s="293">
        <v>16.811023622047244</v>
      </c>
      <c r="BA157" s="227">
        <v>3.8582677165354333</v>
      </c>
      <c r="BB157" s="294">
        <v>6.3125</v>
      </c>
      <c r="BC157" s="294">
        <v>6.3125</v>
      </c>
      <c r="BD157" s="294">
        <v>18.625</v>
      </c>
      <c r="BE157" s="103">
        <v>0.42949224401403358</v>
      </c>
      <c r="BF157" s="227">
        <v>6.4</v>
      </c>
      <c r="BG157" s="441" t="s">
        <v>2380</v>
      </c>
      <c r="BH157" s="442"/>
      <c r="BI157" s="442"/>
      <c r="BJ157" s="442"/>
      <c r="BK157" s="443"/>
      <c r="BL157" s="346"/>
      <c r="BM157" s="346"/>
      <c r="BN157" s="68" t="s">
        <v>68</v>
      </c>
      <c r="BO157" s="205">
        <v>1</v>
      </c>
      <c r="BP157" s="205">
        <v>48</v>
      </c>
      <c r="BQ157" s="205">
        <v>2</v>
      </c>
      <c r="BR157" s="32">
        <v>96</v>
      </c>
      <c r="BS157" s="32">
        <v>664.40000000000009</v>
      </c>
      <c r="BT157" s="32" t="s">
        <v>2381</v>
      </c>
      <c r="BU157" s="245" t="s">
        <v>2382</v>
      </c>
      <c r="BV157" s="8"/>
      <c r="BW157" s="8"/>
      <c r="BX157" s="8"/>
    </row>
    <row r="158" spans="1:80" s="1" customFormat="1" x14ac:dyDescent="0.25">
      <c r="A158" s="241">
        <v>42395</v>
      </c>
      <c r="B158" s="206" t="s">
        <v>14</v>
      </c>
      <c r="C158" s="206" t="s">
        <v>2243</v>
      </c>
      <c r="D158" s="206" t="s">
        <v>240</v>
      </c>
      <c r="E158" s="17" t="s">
        <v>2247</v>
      </c>
      <c r="F158" s="230" t="s">
        <v>2246</v>
      </c>
      <c r="G158" s="59" t="s">
        <v>1493</v>
      </c>
      <c r="H158" s="231" t="s">
        <v>2245</v>
      </c>
      <c r="I158" s="298"/>
      <c r="J158" s="298"/>
      <c r="K158" s="29"/>
      <c r="L158" s="30"/>
      <c r="M158" s="30"/>
      <c r="N158" s="30"/>
      <c r="O158" s="42"/>
      <c r="P158" s="42"/>
      <c r="Q158" s="42"/>
      <c r="R158" s="42"/>
      <c r="S158" s="42"/>
      <c r="T158" s="42"/>
      <c r="U158" s="29"/>
      <c r="V158" s="41"/>
      <c r="W158" s="29"/>
      <c r="X158" s="41"/>
      <c r="Y158" s="37"/>
      <c r="Z158" s="41"/>
      <c r="AA158" s="29"/>
      <c r="AB158" s="216" t="s">
        <v>2244</v>
      </c>
      <c r="AC158" s="298"/>
      <c r="AD158" s="59"/>
      <c r="AE158" s="298"/>
      <c r="AF158" s="298"/>
      <c r="AG158" s="298"/>
      <c r="AH158" s="298"/>
      <c r="AI158" s="298" t="s">
        <v>2243</v>
      </c>
      <c r="AJ158" s="298"/>
      <c r="AK158" s="298"/>
      <c r="AL158" s="37" t="s">
        <v>2291</v>
      </c>
      <c r="AM158" s="298" t="s">
        <v>2293</v>
      </c>
      <c r="AN158" s="298" t="s">
        <v>2292</v>
      </c>
      <c r="AO158" s="298"/>
      <c r="AP158" s="298" t="s">
        <v>2294</v>
      </c>
      <c r="AQ158" s="216">
        <v>49760</v>
      </c>
      <c r="AR158" s="221">
        <v>20.82</v>
      </c>
      <c r="AS158" s="27">
        <f t="shared" si="66"/>
        <v>46.891891891891895</v>
      </c>
      <c r="AT158" s="228" t="s">
        <v>2289</v>
      </c>
      <c r="AU158" s="228" t="s">
        <v>2290</v>
      </c>
      <c r="AV158" s="293">
        <v>12.2</v>
      </c>
      <c r="AW158" s="293">
        <v>7.34</v>
      </c>
      <c r="AX158" s="293">
        <v>2.0499999999999998</v>
      </c>
      <c r="AY158" s="293"/>
      <c r="AZ158" s="293"/>
      <c r="BA158" s="224"/>
      <c r="BB158" s="202">
        <f>7.75+0.036</f>
        <v>7.7859999999999996</v>
      </c>
      <c r="BC158" s="202">
        <f>2.5+0.036</f>
        <v>2.536</v>
      </c>
      <c r="BD158" s="202">
        <f>12.75+0.072</f>
        <v>12.821999999999999</v>
      </c>
      <c r="BE158" s="291">
        <f>(BB158*BC158*BD158)/1728</f>
        <v>0.14651283872222221</v>
      </c>
      <c r="BF158" s="227">
        <f>0.76+0.22</f>
        <v>0.98</v>
      </c>
      <c r="BG158" s="103">
        <f>15.38+0.25</f>
        <v>15.63</v>
      </c>
      <c r="BH158" s="103">
        <v>13.5</v>
      </c>
      <c r="BI158" s="103">
        <v>8.5</v>
      </c>
      <c r="BJ158" s="103">
        <f>(BG158*BH158*BI158)/1728</f>
        <v>1.0379296875000001</v>
      </c>
      <c r="BK158" s="103">
        <v>0.92</v>
      </c>
      <c r="BL158" s="103"/>
      <c r="BM158" s="103"/>
      <c r="BN158" s="68" t="s">
        <v>64</v>
      </c>
      <c r="BO158" s="209">
        <v>6</v>
      </c>
      <c r="BP158" s="209">
        <v>6</v>
      </c>
      <c r="BQ158" s="209">
        <v>5</v>
      </c>
      <c r="BR158" s="32">
        <f t="shared" ref="BR158:BR204" si="67">BO158*BP158*BQ158</f>
        <v>180</v>
      </c>
      <c r="BS158" s="32">
        <f>(((BF158*BO158)+BK158)*BP158*BQ158)+50</f>
        <v>254</v>
      </c>
      <c r="BT158" s="209" t="s">
        <v>182</v>
      </c>
      <c r="BU158" s="229" t="s">
        <v>67</v>
      </c>
      <c r="BV158" s="191"/>
      <c r="BW158" s="191"/>
      <c r="BX158" s="43"/>
    </row>
    <row r="159" spans="1:80" s="1" customFormat="1" x14ac:dyDescent="0.25">
      <c r="A159" s="241">
        <v>42395</v>
      </c>
      <c r="B159" s="206" t="s">
        <v>14</v>
      </c>
      <c r="C159" s="206" t="s">
        <v>2174</v>
      </c>
      <c r="D159" s="206" t="s">
        <v>240</v>
      </c>
      <c r="E159" s="206" t="s">
        <v>2110</v>
      </c>
      <c r="F159" s="102" t="s">
        <v>2191</v>
      </c>
      <c r="G159" s="26" t="s">
        <v>72</v>
      </c>
      <c r="H159" s="59" t="s">
        <v>2190</v>
      </c>
      <c r="I159" s="298"/>
      <c r="J159" s="298"/>
      <c r="K159" s="29"/>
      <c r="L159" s="30"/>
      <c r="M159" s="30"/>
      <c r="N159" s="30"/>
      <c r="O159" s="42"/>
      <c r="P159" s="42"/>
      <c r="Q159" s="42"/>
      <c r="R159" s="42"/>
      <c r="S159" s="42"/>
      <c r="T159" s="42"/>
      <c r="U159" s="29"/>
      <c r="V159" s="41"/>
      <c r="W159" s="29"/>
      <c r="X159" s="41"/>
      <c r="Y159" s="37"/>
      <c r="Z159" s="41"/>
      <c r="AA159" s="29"/>
      <c r="AB159" s="26"/>
      <c r="AC159" s="26"/>
      <c r="AD159" s="59"/>
      <c r="AE159" s="298"/>
      <c r="AF159" s="298"/>
      <c r="AG159" s="298"/>
      <c r="AH159" s="298"/>
      <c r="AI159" s="298"/>
      <c r="AJ159" s="298"/>
      <c r="AK159" s="298"/>
      <c r="AL159" s="26"/>
      <c r="AM159" s="298"/>
      <c r="AN159" s="298"/>
      <c r="AO159" s="298"/>
      <c r="AP159" s="298"/>
      <c r="AQ159" s="219"/>
      <c r="AR159" s="112">
        <v>20.99</v>
      </c>
      <c r="AS159" s="27">
        <f t="shared" si="66"/>
        <v>47.27477477477477</v>
      </c>
      <c r="AT159" s="214" t="s">
        <v>2178</v>
      </c>
      <c r="AU159" s="214" t="s">
        <v>2179</v>
      </c>
      <c r="AV159" s="213">
        <v>9.4499999999999993</v>
      </c>
      <c r="AW159" s="213">
        <v>7.48</v>
      </c>
      <c r="AX159" s="213">
        <v>0.98</v>
      </c>
      <c r="AY159" s="44"/>
      <c r="AZ159" s="44"/>
      <c r="BA159" s="222">
        <v>0.1</v>
      </c>
      <c r="BB159" s="53">
        <f>9.25+0.018+0.018</f>
        <v>9.2860000000000014</v>
      </c>
      <c r="BC159" s="209">
        <f>1.31+0.018+0.018</f>
        <v>1.3460000000000001</v>
      </c>
      <c r="BD159" s="209">
        <f>9.47+(0.018*4)</f>
        <v>9.5419999999999998</v>
      </c>
      <c r="BE159" s="291">
        <f t="shared" ref="BE159:BE199" si="68">(BD159*BC159*BB159)/1728</f>
        <v>6.9019119300925941E-2</v>
      </c>
      <c r="BF159" s="224">
        <v>0.12</v>
      </c>
      <c r="BG159" s="294">
        <v>10.5</v>
      </c>
      <c r="BH159" s="294">
        <v>8.75</v>
      </c>
      <c r="BI159" s="294">
        <v>9.75</v>
      </c>
      <c r="BJ159" s="291">
        <f t="shared" ref="BJ159:BJ174" si="69">(BI159*BH159*BG159)/1728</f>
        <v>0.51839192708333337</v>
      </c>
      <c r="BK159" s="223">
        <v>0.28000000000000003</v>
      </c>
      <c r="BL159" s="223"/>
      <c r="BM159" s="223"/>
      <c r="BN159" s="39" t="s">
        <v>64</v>
      </c>
      <c r="BO159" s="205">
        <v>6</v>
      </c>
      <c r="BP159" s="205">
        <v>18</v>
      </c>
      <c r="BQ159" s="205">
        <v>4</v>
      </c>
      <c r="BR159" s="32">
        <f t="shared" si="67"/>
        <v>432</v>
      </c>
      <c r="BS159" s="32">
        <f t="shared" ref="BS159:BS172" si="70">((((BA159+BF159)*BO159)+BK159)*BP159*BQ159)+50</f>
        <v>165.2</v>
      </c>
      <c r="BT159" s="205" t="s">
        <v>69</v>
      </c>
      <c r="BU159" s="225" t="s">
        <v>67</v>
      </c>
      <c r="BV159" s="191"/>
      <c r="BW159" s="191"/>
      <c r="BX159" s="191"/>
    </row>
    <row r="160" spans="1:80" s="1" customFormat="1" x14ac:dyDescent="0.25">
      <c r="A160" s="241">
        <v>42395</v>
      </c>
      <c r="B160" s="206" t="s">
        <v>14</v>
      </c>
      <c r="C160" s="206" t="s">
        <v>2175</v>
      </c>
      <c r="D160" s="206" t="s">
        <v>240</v>
      </c>
      <c r="E160" s="206" t="s">
        <v>2110</v>
      </c>
      <c r="F160" s="230" t="s">
        <v>2193</v>
      </c>
      <c r="G160" s="216" t="s">
        <v>51</v>
      </c>
      <c r="H160" s="37" t="s">
        <v>2192</v>
      </c>
      <c r="I160" s="298"/>
      <c r="J160" s="298"/>
      <c r="K160" s="29"/>
      <c r="L160" s="30"/>
      <c r="M160" s="30"/>
      <c r="N160" s="30"/>
      <c r="O160" s="42"/>
      <c r="P160" s="42"/>
      <c r="Q160" s="42"/>
      <c r="R160" s="42"/>
      <c r="S160" s="42"/>
      <c r="T160" s="42"/>
      <c r="U160" s="29" t="s">
        <v>2205</v>
      </c>
      <c r="V160" s="41"/>
      <c r="W160" s="29"/>
      <c r="X160" s="41"/>
      <c r="Y160" s="37"/>
      <c r="Z160" s="41"/>
      <c r="AA160" s="29"/>
      <c r="AB160" s="216"/>
      <c r="AC160" s="216"/>
      <c r="AD160" s="59"/>
      <c r="AE160" s="298"/>
      <c r="AF160" s="298"/>
      <c r="AG160" s="298"/>
      <c r="AH160" s="298"/>
      <c r="AI160" s="298"/>
      <c r="AJ160" s="298"/>
      <c r="AK160" s="298"/>
      <c r="AL160" s="216"/>
      <c r="AM160" s="298"/>
      <c r="AN160" s="298"/>
      <c r="AO160" s="298"/>
      <c r="AP160" s="298"/>
      <c r="AQ160" s="216" t="s">
        <v>2206</v>
      </c>
      <c r="AR160" s="221">
        <v>12.65</v>
      </c>
      <c r="AS160" s="27">
        <f t="shared" si="66"/>
        <v>28.490990990990991</v>
      </c>
      <c r="AT160" s="214" t="s">
        <v>2180</v>
      </c>
      <c r="AU160" s="214" t="s">
        <v>2181</v>
      </c>
      <c r="AV160" s="213">
        <v>10.8</v>
      </c>
      <c r="AW160" s="213">
        <v>8.75</v>
      </c>
      <c r="AX160" s="213">
        <v>0.75</v>
      </c>
      <c r="AY160" s="44"/>
      <c r="AZ160" s="44"/>
      <c r="BA160" s="222">
        <f>0.08</f>
        <v>0.08</v>
      </c>
      <c r="BB160" s="209">
        <f>9.46+0.036</f>
        <v>9.4960000000000004</v>
      </c>
      <c r="BC160" s="209">
        <f>1.156+0.036</f>
        <v>1.1919999999999999</v>
      </c>
      <c r="BD160" s="209">
        <f>10.843+0.072</f>
        <v>10.914999999999999</v>
      </c>
      <c r="BE160" s="291">
        <f t="shared" si="68"/>
        <v>7.1498505370370377E-2</v>
      </c>
      <c r="BF160" s="224">
        <f>0.15</f>
        <v>0.15</v>
      </c>
      <c r="BG160" s="294">
        <v>11.25</v>
      </c>
      <c r="BH160" s="294">
        <v>8</v>
      </c>
      <c r="BI160" s="294">
        <v>11.5</v>
      </c>
      <c r="BJ160" s="291">
        <f t="shared" si="69"/>
        <v>0.59895833333333337</v>
      </c>
      <c r="BK160" s="223">
        <v>0.53</v>
      </c>
      <c r="BL160" s="223"/>
      <c r="BM160" s="223"/>
      <c r="BN160" s="39" t="s">
        <v>64</v>
      </c>
      <c r="BO160" s="205">
        <v>6</v>
      </c>
      <c r="BP160" s="205">
        <v>20</v>
      </c>
      <c r="BQ160" s="205">
        <v>3</v>
      </c>
      <c r="BR160" s="32">
        <f t="shared" si="67"/>
        <v>360</v>
      </c>
      <c r="BS160" s="32">
        <f t="shared" si="70"/>
        <v>164.6</v>
      </c>
      <c r="BT160" s="205" t="s">
        <v>62</v>
      </c>
      <c r="BU160" s="225" t="s">
        <v>67</v>
      </c>
      <c r="BV160" s="191"/>
      <c r="BW160" s="191"/>
      <c r="BX160" s="191"/>
      <c r="BY160" s="191"/>
      <c r="BZ160" s="191"/>
    </row>
    <row r="161" spans="1:80" s="1" customFormat="1" x14ac:dyDescent="0.25">
      <c r="A161" s="241">
        <v>42395</v>
      </c>
      <c r="B161" s="205" t="s">
        <v>36</v>
      </c>
      <c r="C161" s="205" t="s">
        <v>2176</v>
      </c>
      <c r="D161" s="206" t="s">
        <v>240</v>
      </c>
      <c r="E161" s="206" t="s">
        <v>2110</v>
      </c>
      <c r="F161" s="102" t="s">
        <v>2194</v>
      </c>
      <c r="G161" s="216" t="s">
        <v>187</v>
      </c>
      <c r="H161" s="59">
        <v>22808781</v>
      </c>
      <c r="I161" s="298"/>
      <c r="J161" s="298"/>
      <c r="K161" s="29"/>
      <c r="L161" s="30"/>
      <c r="M161" s="30"/>
      <c r="N161" s="30"/>
      <c r="O161" s="42"/>
      <c r="P161" s="42"/>
      <c r="Q161" s="42"/>
      <c r="R161" s="42"/>
      <c r="S161" s="42"/>
      <c r="T161" s="42"/>
      <c r="U161" s="29" t="s">
        <v>2204</v>
      </c>
      <c r="V161" s="41"/>
      <c r="W161" s="29"/>
      <c r="X161" s="41"/>
      <c r="Y161" s="37"/>
      <c r="Z161" s="41"/>
      <c r="AA161" s="29"/>
      <c r="AB161" s="216"/>
      <c r="AC161" s="26"/>
      <c r="AD161" s="59"/>
      <c r="AE161" s="298"/>
      <c r="AF161" s="298"/>
      <c r="AG161" s="298"/>
      <c r="AH161" s="298"/>
      <c r="AI161" s="298"/>
      <c r="AJ161" s="298"/>
      <c r="AK161" s="298"/>
      <c r="AL161" s="26"/>
      <c r="AM161" s="298"/>
      <c r="AN161" s="298"/>
      <c r="AO161" s="298"/>
      <c r="AP161" s="298"/>
      <c r="AQ161" s="216" t="s">
        <v>2203</v>
      </c>
      <c r="AR161" s="221">
        <v>22.14</v>
      </c>
      <c r="AS161" s="27">
        <f t="shared" si="66"/>
        <v>49.864864864864863</v>
      </c>
      <c r="AT161" s="98" t="s">
        <v>2182</v>
      </c>
      <c r="AU161" s="98" t="s">
        <v>2183</v>
      </c>
      <c r="AV161" s="213">
        <v>9.17</v>
      </c>
      <c r="AW161" s="213">
        <v>9.8000000000000007</v>
      </c>
      <c r="AX161" s="213">
        <v>1.18</v>
      </c>
      <c r="AY161" s="44"/>
      <c r="AZ161" s="44"/>
      <c r="BA161" s="226">
        <f>0.35</f>
        <v>0.35</v>
      </c>
      <c r="BB161" s="202">
        <f>10.031+0.018+0.018</f>
        <v>10.067000000000002</v>
      </c>
      <c r="BC161" s="202">
        <f>1.61+0.018+0.018</f>
        <v>1.6460000000000001</v>
      </c>
      <c r="BD161" s="202">
        <f>10.625+(4*0.018)</f>
        <v>10.696999999999999</v>
      </c>
      <c r="BE161" s="291">
        <f t="shared" si="68"/>
        <v>0.10257656629282409</v>
      </c>
      <c r="BF161" s="227">
        <f>0.15</f>
        <v>0.15</v>
      </c>
      <c r="BG161" s="202">
        <v>11.38</v>
      </c>
      <c r="BH161" s="202">
        <v>10.5</v>
      </c>
      <c r="BI161" s="202">
        <v>6.13</v>
      </c>
      <c r="BJ161" s="291">
        <f t="shared" si="69"/>
        <v>0.42388524305555558</v>
      </c>
      <c r="BK161" s="223">
        <v>0.48</v>
      </c>
      <c r="BL161" s="223"/>
      <c r="BM161" s="223"/>
      <c r="BN161" s="205" t="s">
        <v>64</v>
      </c>
      <c r="BO161" s="205">
        <v>3</v>
      </c>
      <c r="BP161" s="205">
        <v>12</v>
      </c>
      <c r="BQ161" s="205">
        <v>7</v>
      </c>
      <c r="BR161" s="32">
        <f t="shared" si="67"/>
        <v>252</v>
      </c>
      <c r="BS161" s="32">
        <f t="shared" si="70"/>
        <v>216.32</v>
      </c>
      <c r="BT161" s="32" t="s">
        <v>69</v>
      </c>
      <c r="BU161" s="225" t="s">
        <v>2173</v>
      </c>
      <c r="BV161" s="191"/>
      <c r="BW161" s="43"/>
      <c r="BX161" s="43"/>
      <c r="BY161" s="191"/>
      <c r="BZ161" s="191"/>
      <c r="CA161" s="191"/>
      <c r="CB161" s="191"/>
    </row>
    <row r="162" spans="1:80" s="1" customFormat="1" x14ac:dyDescent="0.25">
      <c r="A162" s="241">
        <v>42395</v>
      </c>
      <c r="B162" s="205" t="s">
        <v>14</v>
      </c>
      <c r="C162" s="205" t="s">
        <v>2176</v>
      </c>
      <c r="D162" s="206" t="s">
        <v>240</v>
      </c>
      <c r="E162" s="206" t="s">
        <v>2110</v>
      </c>
      <c r="F162" s="102" t="s">
        <v>2194</v>
      </c>
      <c r="G162" s="216" t="s">
        <v>187</v>
      </c>
      <c r="H162" s="59">
        <v>22808781</v>
      </c>
      <c r="I162" s="298"/>
      <c r="J162" s="298"/>
      <c r="K162" s="29"/>
      <c r="L162" s="30"/>
      <c r="M162" s="30"/>
      <c r="N162" s="30"/>
      <c r="O162" s="42"/>
      <c r="P162" s="42"/>
      <c r="Q162" s="42"/>
      <c r="R162" s="42"/>
      <c r="S162" s="42"/>
      <c r="T162" s="42"/>
      <c r="U162" s="29" t="s">
        <v>2204</v>
      </c>
      <c r="V162" s="41"/>
      <c r="W162" s="29"/>
      <c r="X162" s="41"/>
      <c r="Y162" s="37"/>
      <c r="Z162" s="41"/>
      <c r="AA162" s="29"/>
      <c r="AB162" s="216"/>
      <c r="AC162" s="298"/>
      <c r="AD162" s="59"/>
      <c r="AE162" s="298"/>
      <c r="AF162" s="298"/>
      <c r="AG162" s="298"/>
      <c r="AH162" s="298"/>
      <c r="AI162" s="298"/>
      <c r="AJ162" s="216"/>
      <c r="AK162" s="298"/>
      <c r="AL162" s="216"/>
      <c r="AM162" s="298"/>
      <c r="AN162" s="298"/>
      <c r="AO162" s="298"/>
      <c r="AP162" s="298"/>
      <c r="AQ162" s="216" t="s">
        <v>2203</v>
      </c>
      <c r="AR162" s="221">
        <v>22.14</v>
      </c>
      <c r="AS162" s="27">
        <f t="shared" si="66"/>
        <v>49.864864864864863</v>
      </c>
      <c r="AT162" s="98" t="s">
        <v>2184</v>
      </c>
      <c r="AU162" s="98" t="s">
        <v>2185</v>
      </c>
      <c r="AV162" s="213">
        <v>9.17</v>
      </c>
      <c r="AW162" s="213">
        <v>9.8000000000000007</v>
      </c>
      <c r="AX162" s="213">
        <v>1.18</v>
      </c>
      <c r="AY162" s="44"/>
      <c r="AZ162" s="44"/>
      <c r="BA162" s="226">
        <f>0.35</f>
        <v>0.35</v>
      </c>
      <c r="BB162" s="202">
        <f>10.031+0.018+0.018</f>
        <v>10.067000000000002</v>
      </c>
      <c r="BC162" s="202">
        <f>1.61+0.018+0.018</f>
        <v>1.6460000000000001</v>
      </c>
      <c r="BD162" s="202">
        <f>10.625+(4*0.018)</f>
        <v>10.696999999999999</v>
      </c>
      <c r="BE162" s="291">
        <f t="shared" si="68"/>
        <v>0.10257656629282409</v>
      </c>
      <c r="BF162" s="227">
        <f>0.15</f>
        <v>0.15</v>
      </c>
      <c r="BG162" s="202">
        <v>12</v>
      </c>
      <c r="BH162" s="202">
        <v>10.37</v>
      </c>
      <c r="BI162" s="202">
        <v>10.62</v>
      </c>
      <c r="BJ162" s="291">
        <f t="shared" si="69"/>
        <v>0.76478749999999995</v>
      </c>
      <c r="BK162" s="223">
        <v>0.66</v>
      </c>
      <c r="BL162" s="223"/>
      <c r="BM162" s="223"/>
      <c r="BN162" s="205" t="s">
        <v>64</v>
      </c>
      <c r="BO162" s="205">
        <v>6</v>
      </c>
      <c r="BP162" s="205">
        <v>12</v>
      </c>
      <c r="BQ162" s="205">
        <v>4</v>
      </c>
      <c r="BR162" s="32">
        <f t="shared" si="67"/>
        <v>288</v>
      </c>
      <c r="BS162" s="32">
        <f t="shared" si="70"/>
        <v>225.68</v>
      </c>
      <c r="BT162" s="32" t="s">
        <v>69</v>
      </c>
      <c r="BU162" s="225" t="s">
        <v>2173</v>
      </c>
      <c r="BV162" s="191"/>
      <c r="BW162" s="191"/>
      <c r="BX162" s="43"/>
    </row>
    <row r="163" spans="1:80" s="1" customFormat="1" x14ac:dyDescent="0.25">
      <c r="A163" s="241">
        <v>42395</v>
      </c>
      <c r="B163" s="209" t="s">
        <v>14</v>
      </c>
      <c r="C163" s="206" t="s">
        <v>2250</v>
      </c>
      <c r="D163" s="206" t="s">
        <v>240</v>
      </c>
      <c r="E163" s="206" t="s">
        <v>2110</v>
      </c>
      <c r="F163" s="257" t="s">
        <v>2282</v>
      </c>
      <c r="G163" s="59" t="s">
        <v>2285</v>
      </c>
      <c r="H163" s="231" t="s">
        <v>2283</v>
      </c>
      <c r="I163" s="298"/>
      <c r="J163" s="298"/>
      <c r="K163" s="29"/>
      <c r="L163" s="30"/>
      <c r="M163" s="30"/>
      <c r="N163" s="30"/>
      <c r="O163" s="42"/>
      <c r="P163" s="42"/>
      <c r="Q163" s="42"/>
      <c r="R163" s="42"/>
      <c r="S163" s="42"/>
      <c r="T163" s="42"/>
      <c r="U163" s="29"/>
      <c r="V163" s="41"/>
      <c r="W163" s="29"/>
      <c r="X163" s="41"/>
      <c r="Y163" s="37"/>
      <c r="Z163" s="41"/>
      <c r="AA163" s="29"/>
      <c r="AB163" s="216"/>
      <c r="AC163" s="298"/>
      <c r="AD163" s="59"/>
      <c r="AE163" s="298"/>
      <c r="AF163" s="298"/>
      <c r="AG163" s="298"/>
      <c r="AH163" s="298"/>
      <c r="AI163" s="298"/>
      <c r="AJ163" s="298"/>
      <c r="AK163" s="298"/>
      <c r="AL163" s="37"/>
      <c r="AM163" s="298"/>
      <c r="AN163" s="298"/>
      <c r="AO163" s="298"/>
      <c r="AP163" s="298"/>
      <c r="AQ163" s="216">
        <v>49525</v>
      </c>
      <c r="AR163" s="221">
        <v>28.77</v>
      </c>
      <c r="AS163" s="27">
        <f t="shared" si="66"/>
        <v>64.797297297297291</v>
      </c>
      <c r="AT163" s="98" t="s">
        <v>2253</v>
      </c>
      <c r="AU163" s="98" t="s">
        <v>2254</v>
      </c>
      <c r="AV163" s="213">
        <v>7.76</v>
      </c>
      <c r="AW163" s="213">
        <v>7.56</v>
      </c>
      <c r="AX163" s="213">
        <v>1.18</v>
      </c>
      <c r="AY163" s="44"/>
      <c r="AZ163" s="44"/>
      <c r="BA163" s="222">
        <v>0.3</v>
      </c>
      <c r="BB163" s="291">
        <f>8.063+0.036</f>
        <v>8.0990000000000002</v>
      </c>
      <c r="BC163" s="291">
        <f>1.375+0.036</f>
        <v>1.411</v>
      </c>
      <c r="BD163" s="291">
        <f>9.063+0.072</f>
        <v>9.1349999999999998</v>
      </c>
      <c r="BE163" s="291">
        <f t="shared" si="68"/>
        <v>6.0412001744791673E-2</v>
      </c>
      <c r="BF163" s="224">
        <v>0.12</v>
      </c>
      <c r="BG163" s="294">
        <v>11</v>
      </c>
      <c r="BH163" s="294">
        <v>9</v>
      </c>
      <c r="BI163" s="294">
        <v>9.25</v>
      </c>
      <c r="BJ163" s="291">
        <f t="shared" si="69"/>
        <v>0.52994791666666663</v>
      </c>
      <c r="BK163" s="223">
        <v>0.51</v>
      </c>
      <c r="BL163" s="223"/>
      <c r="BM163" s="223"/>
      <c r="BN163" s="39" t="s">
        <v>64</v>
      </c>
      <c r="BO163" s="32">
        <v>6</v>
      </c>
      <c r="BP163" s="32">
        <v>18</v>
      </c>
      <c r="BQ163" s="32">
        <v>4</v>
      </c>
      <c r="BR163" s="32">
        <f t="shared" si="67"/>
        <v>432</v>
      </c>
      <c r="BS163" s="32">
        <f t="shared" si="70"/>
        <v>268.16000000000003</v>
      </c>
      <c r="BT163" s="32" t="s">
        <v>69</v>
      </c>
      <c r="BU163" s="245" t="s">
        <v>2173</v>
      </c>
      <c r="BV163" s="191"/>
      <c r="BW163" s="191"/>
      <c r="BX163" s="43"/>
    </row>
    <row r="164" spans="1:80" s="1" customFormat="1" x14ac:dyDescent="0.25">
      <c r="A164" s="241">
        <v>42395</v>
      </c>
      <c r="B164" s="206" t="s">
        <v>14</v>
      </c>
      <c r="C164" s="206" t="s">
        <v>2251</v>
      </c>
      <c r="D164" s="206" t="s">
        <v>240</v>
      </c>
      <c r="E164" s="206" t="s">
        <v>2110</v>
      </c>
      <c r="F164" s="230" t="s">
        <v>2273</v>
      </c>
      <c r="G164" s="59" t="s">
        <v>957</v>
      </c>
      <c r="H164" s="231" t="s">
        <v>2272</v>
      </c>
      <c r="I164" s="298"/>
      <c r="J164" s="298"/>
      <c r="K164" s="29"/>
      <c r="L164" s="30"/>
      <c r="M164" s="30"/>
      <c r="N164" s="30"/>
      <c r="O164" s="42"/>
      <c r="P164" s="42"/>
      <c r="Q164" s="42"/>
      <c r="R164" s="42"/>
      <c r="S164" s="42"/>
      <c r="T164" s="42"/>
      <c r="U164" s="29"/>
      <c r="V164" s="41"/>
      <c r="W164" s="29"/>
      <c r="X164" s="41"/>
      <c r="Y164" s="37"/>
      <c r="Z164" s="41"/>
      <c r="AA164" s="29"/>
      <c r="AB164" s="216" t="s">
        <v>2299</v>
      </c>
      <c r="AC164" s="298"/>
      <c r="AD164" s="59"/>
      <c r="AE164" s="298"/>
      <c r="AF164" s="298"/>
      <c r="AG164" s="298"/>
      <c r="AH164" s="298"/>
      <c r="AI164" s="298"/>
      <c r="AJ164" s="298"/>
      <c r="AK164" s="298"/>
      <c r="AL164" s="37"/>
      <c r="AM164" s="298"/>
      <c r="AN164" s="298" t="s">
        <v>2300</v>
      </c>
      <c r="AO164" s="298"/>
      <c r="AP164" s="298" t="s">
        <v>2301</v>
      </c>
      <c r="AQ164" s="216">
        <v>24270</v>
      </c>
      <c r="AR164" s="221">
        <v>18.77</v>
      </c>
      <c r="AS164" s="27">
        <f t="shared" si="66"/>
        <v>42.274774774774777</v>
      </c>
      <c r="AT164" s="98" t="s">
        <v>2255</v>
      </c>
      <c r="AU164" s="98" t="s">
        <v>2256</v>
      </c>
      <c r="AV164" s="213">
        <v>9.7799999999999994</v>
      </c>
      <c r="AW164" s="213">
        <v>6.75</v>
      </c>
      <c r="AX164" s="213">
        <v>0.77</v>
      </c>
      <c r="AY164" s="44"/>
      <c r="AZ164" s="44"/>
      <c r="BA164" s="222">
        <v>0.35</v>
      </c>
      <c r="BB164" s="291">
        <f>6.75+0.036</f>
        <v>6.7859999999999996</v>
      </c>
      <c r="BC164" s="291">
        <f>1.75+0.036</f>
        <v>1.786</v>
      </c>
      <c r="BD164" s="291">
        <v>10.071999999999999</v>
      </c>
      <c r="BE164" s="291">
        <f t="shared" si="68"/>
        <v>7.0642699833333322E-2</v>
      </c>
      <c r="BF164" s="224">
        <v>0.13</v>
      </c>
      <c r="BG164" s="294">
        <v>11.75</v>
      </c>
      <c r="BH164" s="294">
        <v>10.5</v>
      </c>
      <c r="BI164" s="294">
        <f>6.875+0.5</f>
        <v>7.375</v>
      </c>
      <c r="BJ164" s="291">
        <f t="shared" si="69"/>
        <v>0.52655707465277779</v>
      </c>
      <c r="BK164" s="223">
        <v>0.56000000000000005</v>
      </c>
      <c r="BL164" s="223"/>
      <c r="BM164" s="223"/>
      <c r="BN164" s="39" t="s">
        <v>64</v>
      </c>
      <c r="BO164" s="205">
        <v>6</v>
      </c>
      <c r="BP164" s="205">
        <v>12</v>
      </c>
      <c r="BQ164" s="205">
        <v>6</v>
      </c>
      <c r="BR164" s="32">
        <f t="shared" si="67"/>
        <v>432</v>
      </c>
      <c r="BS164" s="32">
        <f t="shared" si="70"/>
        <v>297.68</v>
      </c>
      <c r="BT164" s="32" t="s">
        <v>69</v>
      </c>
      <c r="BU164" s="245" t="s">
        <v>2173</v>
      </c>
      <c r="BV164" s="191"/>
      <c r="BW164" s="191"/>
      <c r="BX164" s="43"/>
    </row>
    <row r="165" spans="1:80" s="1" customFormat="1" x14ac:dyDescent="0.25">
      <c r="A165" s="241">
        <v>42395</v>
      </c>
      <c r="B165" s="206" t="s">
        <v>14</v>
      </c>
      <c r="C165" s="206" t="s">
        <v>2252</v>
      </c>
      <c r="D165" s="206" t="s">
        <v>240</v>
      </c>
      <c r="E165" s="206" t="s">
        <v>2110</v>
      </c>
      <c r="F165" s="230" t="s">
        <v>2286</v>
      </c>
      <c r="G165" s="59" t="s">
        <v>1009</v>
      </c>
      <c r="H165" s="231" t="s">
        <v>2284</v>
      </c>
      <c r="I165" s="298"/>
      <c r="J165" s="298"/>
      <c r="K165" s="29"/>
      <c r="L165" s="30"/>
      <c r="M165" s="30"/>
      <c r="N165" s="30"/>
      <c r="O165" s="42"/>
      <c r="P165" s="42"/>
      <c r="Q165" s="42"/>
      <c r="R165" s="42"/>
      <c r="S165" s="42"/>
      <c r="T165" s="42"/>
      <c r="U165" s="29"/>
      <c r="V165" s="41"/>
      <c r="W165" s="29"/>
      <c r="X165" s="41"/>
      <c r="Y165" s="37"/>
      <c r="Z165" s="41"/>
      <c r="AA165" s="29"/>
      <c r="AB165" s="216"/>
      <c r="AC165" s="298"/>
      <c r="AD165" s="59"/>
      <c r="AE165" s="298"/>
      <c r="AF165" s="298"/>
      <c r="AG165" s="298"/>
      <c r="AH165" s="298"/>
      <c r="AI165" s="298"/>
      <c r="AJ165" s="298"/>
      <c r="AK165" s="298"/>
      <c r="AL165" s="37" t="s">
        <v>2302</v>
      </c>
      <c r="AM165" s="298"/>
      <c r="AN165" s="298"/>
      <c r="AO165" s="298"/>
      <c r="AP165" s="298"/>
      <c r="AQ165" s="216">
        <v>49361</v>
      </c>
      <c r="AR165" s="221">
        <v>82.48</v>
      </c>
      <c r="AS165" s="27">
        <f t="shared" si="66"/>
        <v>185.76576576576576</v>
      </c>
      <c r="AT165" s="214" t="s">
        <v>2257</v>
      </c>
      <c r="AU165" s="214" t="s">
        <v>2258</v>
      </c>
      <c r="AV165" s="213">
        <v>15.94</v>
      </c>
      <c r="AW165" s="213">
        <v>8.35</v>
      </c>
      <c r="AX165" s="213">
        <v>2.2799999999999998</v>
      </c>
      <c r="AY165" s="44"/>
      <c r="AZ165" s="44"/>
      <c r="BA165" s="222">
        <v>1.19</v>
      </c>
      <c r="BB165" s="291">
        <f>9.75+0.036</f>
        <v>9.7859999999999996</v>
      </c>
      <c r="BC165" s="291">
        <f>3.75+0.036</f>
        <v>3.786</v>
      </c>
      <c r="BD165" s="291">
        <f>20.072</f>
        <v>20.071999999999999</v>
      </c>
      <c r="BE165" s="291">
        <f t="shared" si="68"/>
        <v>0.43036082483333332</v>
      </c>
      <c r="BF165" s="224">
        <v>0.4</v>
      </c>
      <c r="BG165" s="294">
        <v>23.5</v>
      </c>
      <c r="BH165" s="294">
        <v>10.5</v>
      </c>
      <c r="BI165" s="294">
        <v>20.62</v>
      </c>
      <c r="BJ165" s="291">
        <f t="shared" si="69"/>
        <v>2.9444357638888894</v>
      </c>
      <c r="BK165" s="223">
        <v>1.52</v>
      </c>
      <c r="BL165" s="223"/>
      <c r="BM165" s="223"/>
      <c r="BN165" s="39" t="s">
        <v>64</v>
      </c>
      <c r="BO165" s="205">
        <v>6</v>
      </c>
      <c r="BP165" s="205">
        <v>6</v>
      </c>
      <c r="BQ165" s="205">
        <v>2</v>
      </c>
      <c r="BR165" s="32">
        <f t="shared" si="67"/>
        <v>72</v>
      </c>
      <c r="BS165" s="32">
        <f t="shared" si="70"/>
        <v>182.71999999999997</v>
      </c>
      <c r="BT165" s="32" t="s">
        <v>69</v>
      </c>
      <c r="BU165" s="245" t="s">
        <v>2173</v>
      </c>
      <c r="BV165" s="191"/>
      <c r="BW165" s="191"/>
      <c r="BX165" s="43"/>
    </row>
    <row r="166" spans="1:80" s="1" customFormat="1" ht="15" customHeight="1" x14ac:dyDescent="0.25">
      <c r="A166" s="241">
        <v>42395</v>
      </c>
      <c r="B166" s="209" t="s">
        <v>14</v>
      </c>
      <c r="C166" s="206" t="s">
        <v>2261</v>
      </c>
      <c r="D166" s="206" t="s">
        <v>240</v>
      </c>
      <c r="E166" s="206" t="s">
        <v>2110</v>
      </c>
      <c r="F166" s="230" t="s">
        <v>2277</v>
      </c>
      <c r="G166" s="59" t="s">
        <v>957</v>
      </c>
      <c r="H166" s="231" t="s">
        <v>2276</v>
      </c>
      <c r="I166" s="298"/>
      <c r="J166" s="298"/>
      <c r="K166" s="29"/>
      <c r="L166" s="30"/>
      <c r="M166" s="30"/>
      <c r="N166" s="30"/>
      <c r="O166" s="42"/>
      <c r="P166" s="42"/>
      <c r="Q166" s="42"/>
      <c r="R166" s="42"/>
      <c r="S166" s="42"/>
      <c r="T166" s="42"/>
      <c r="U166" s="29"/>
      <c r="V166" s="41"/>
      <c r="W166" s="29"/>
      <c r="X166" s="41"/>
      <c r="Y166" s="37"/>
      <c r="Z166" s="41"/>
      <c r="AA166" s="29"/>
      <c r="AB166" s="216" t="s">
        <v>2303</v>
      </c>
      <c r="AC166" s="298"/>
      <c r="AD166" s="59"/>
      <c r="AE166" s="298"/>
      <c r="AF166" s="298"/>
      <c r="AG166" s="298"/>
      <c r="AH166" s="298"/>
      <c r="AI166" s="298" t="s">
        <v>2261</v>
      </c>
      <c r="AJ166" s="298"/>
      <c r="AK166" s="298"/>
      <c r="AL166" s="37" t="s">
        <v>2304</v>
      </c>
      <c r="AM166" s="298" t="s">
        <v>2261</v>
      </c>
      <c r="AN166" s="298" t="s">
        <v>2304</v>
      </c>
      <c r="AO166" s="298"/>
      <c r="AP166" s="298" t="s">
        <v>2305</v>
      </c>
      <c r="AQ166" s="216">
        <v>24015</v>
      </c>
      <c r="AR166" s="221">
        <v>21.48</v>
      </c>
      <c r="AS166" s="27">
        <f t="shared" si="66"/>
        <v>48.378378378378379</v>
      </c>
      <c r="AT166" s="98" t="s">
        <v>2265</v>
      </c>
      <c r="AU166" s="98" t="s">
        <v>2266</v>
      </c>
      <c r="AV166" s="213">
        <v>8.94</v>
      </c>
      <c r="AW166" s="213">
        <v>10.31</v>
      </c>
      <c r="AX166" s="213">
        <v>1.34</v>
      </c>
      <c r="AY166" s="44"/>
      <c r="AZ166" s="44"/>
      <c r="BA166" s="222">
        <v>0.21</v>
      </c>
      <c r="BB166" s="209">
        <v>9.0359999999999996</v>
      </c>
      <c r="BC166" s="209">
        <v>2.036</v>
      </c>
      <c r="BD166" s="209">
        <v>11.571999999999999</v>
      </c>
      <c r="BE166" s="291">
        <v>0.12320226233333333</v>
      </c>
      <c r="BF166" s="224">
        <v>0.21</v>
      </c>
      <c r="BG166" s="262">
        <v>13</v>
      </c>
      <c r="BH166" s="263">
        <v>9.75</v>
      </c>
      <c r="BI166" s="263">
        <v>12.12</v>
      </c>
      <c r="BJ166" s="264">
        <v>0.88901041666666658</v>
      </c>
      <c r="BK166" s="265">
        <v>0.81</v>
      </c>
      <c r="BL166" s="265"/>
      <c r="BM166" s="265"/>
      <c r="BN166" s="39" t="s">
        <v>64</v>
      </c>
      <c r="BO166" s="205">
        <v>6</v>
      </c>
      <c r="BP166" s="205">
        <v>14</v>
      </c>
      <c r="BQ166" s="205">
        <v>3</v>
      </c>
      <c r="BR166" s="32">
        <v>252</v>
      </c>
      <c r="BS166" s="32">
        <v>189.86</v>
      </c>
      <c r="BT166" s="205" t="s">
        <v>69</v>
      </c>
      <c r="BU166" s="245" t="s">
        <v>2173</v>
      </c>
      <c r="BV166" s="191"/>
      <c r="BW166" s="191"/>
      <c r="BX166" s="43"/>
    </row>
    <row r="167" spans="1:80" s="1" customFormat="1" x14ac:dyDescent="0.25">
      <c r="A167" s="241">
        <v>42395</v>
      </c>
      <c r="B167" s="209" t="s">
        <v>14</v>
      </c>
      <c r="C167" s="205" t="s">
        <v>2262</v>
      </c>
      <c r="D167" s="206" t="s">
        <v>240</v>
      </c>
      <c r="E167" s="206" t="s">
        <v>2110</v>
      </c>
      <c r="F167" s="230" t="s">
        <v>2288</v>
      </c>
      <c r="G167" s="59" t="s">
        <v>1374</v>
      </c>
      <c r="H167" s="231" t="s">
        <v>2287</v>
      </c>
      <c r="I167" s="298"/>
      <c r="J167" s="298"/>
      <c r="K167" s="29"/>
      <c r="L167" s="30"/>
      <c r="M167" s="30"/>
      <c r="N167" s="30"/>
      <c r="O167" s="42"/>
      <c r="P167" s="42"/>
      <c r="Q167" s="42"/>
      <c r="R167" s="42"/>
      <c r="S167" s="42"/>
      <c r="T167" s="42"/>
      <c r="U167" s="29" t="s">
        <v>2306</v>
      </c>
      <c r="V167" s="41"/>
      <c r="W167" s="29"/>
      <c r="X167" s="41"/>
      <c r="Y167" s="37"/>
      <c r="Z167" s="41"/>
      <c r="AA167" s="29"/>
      <c r="AB167" s="216"/>
      <c r="AC167" s="298"/>
      <c r="AD167" s="59"/>
      <c r="AE167" s="298"/>
      <c r="AF167" s="298"/>
      <c r="AG167" s="298"/>
      <c r="AH167" s="298"/>
      <c r="AI167" s="298"/>
      <c r="AJ167" s="298"/>
      <c r="AK167" s="298"/>
      <c r="AL167" s="37" t="s">
        <v>2307</v>
      </c>
      <c r="AM167" s="298"/>
      <c r="AN167" s="298"/>
      <c r="AO167" s="298"/>
      <c r="AP167" s="298"/>
      <c r="AQ167" s="216">
        <v>24487</v>
      </c>
      <c r="AR167" s="221">
        <v>25.67</v>
      </c>
      <c r="AS167" s="27">
        <f t="shared" si="66"/>
        <v>57.815315315315317</v>
      </c>
      <c r="AT167" s="214" t="s">
        <v>2267</v>
      </c>
      <c r="AU167" s="98" t="s">
        <v>2268</v>
      </c>
      <c r="AV167" s="213">
        <v>5.05</v>
      </c>
      <c r="AW167" s="213">
        <v>8.83</v>
      </c>
      <c r="AX167" s="213">
        <v>0.86599999999999999</v>
      </c>
      <c r="AY167" s="44"/>
      <c r="AZ167" s="44"/>
      <c r="BA167" s="227">
        <f>0.29*2</f>
        <v>0.57999999999999996</v>
      </c>
      <c r="BB167" s="202">
        <f>5.59+0.036</f>
        <v>5.6259999999999994</v>
      </c>
      <c r="BC167" s="202">
        <v>2.036</v>
      </c>
      <c r="BD167" s="202">
        <f>9.62+0.036+0.036</f>
        <v>9.6919999999999984</v>
      </c>
      <c r="BE167" s="291">
        <f t="shared" si="68"/>
        <v>6.424615909259257E-2</v>
      </c>
      <c r="BF167" s="227">
        <v>0.09</v>
      </c>
      <c r="BG167" s="202">
        <v>13.25</v>
      </c>
      <c r="BH167" s="202">
        <v>10</v>
      </c>
      <c r="BI167" s="202">
        <v>6.25</v>
      </c>
      <c r="BJ167" s="291">
        <f t="shared" si="69"/>
        <v>0.47923900462962965</v>
      </c>
      <c r="BK167" s="223">
        <v>0.59</v>
      </c>
      <c r="BL167" s="223"/>
      <c r="BM167" s="223"/>
      <c r="BN167" s="205" t="s">
        <v>64</v>
      </c>
      <c r="BO167" s="205">
        <v>6</v>
      </c>
      <c r="BP167" s="205">
        <v>14</v>
      </c>
      <c r="BQ167" s="205">
        <v>7</v>
      </c>
      <c r="BR167" s="32">
        <f t="shared" si="67"/>
        <v>588</v>
      </c>
      <c r="BS167" s="32">
        <f t="shared" si="70"/>
        <v>501.78</v>
      </c>
      <c r="BT167" s="32" t="s">
        <v>69</v>
      </c>
      <c r="BU167" s="245" t="s">
        <v>2173</v>
      </c>
      <c r="BV167" s="191"/>
      <c r="BW167" s="191"/>
      <c r="BX167" s="43"/>
    </row>
    <row r="168" spans="1:80" s="1" customFormat="1" x14ac:dyDescent="0.25">
      <c r="A168" s="241">
        <v>42395</v>
      </c>
      <c r="B168" s="206" t="s">
        <v>14</v>
      </c>
      <c r="C168" s="206" t="s">
        <v>2249</v>
      </c>
      <c r="D168" s="206" t="s">
        <v>240</v>
      </c>
      <c r="E168" s="206" t="s">
        <v>2248</v>
      </c>
      <c r="F168" s="251" t="s">
        <v>2275</v>
      </c>
      <c r="G168" s="252" t="s">
        <v>1178</v>
      </c>
      <c r="H168" s="253" t="s">
        <v>2274</v>
      </c>
      <c r="I168" s="298"/>
      <c r="J168" s="298"/>
      <c r="K168" s="29"/>
      <c r="L168" s="30"/>
      <c r="M168" s="30"/>
      <c r="N168" s="30"/>
      <c r="O168" s="42"/>
      <c r="P168" s="42"/>
      <c r="Q168" s="42"/>
      <c r="R168" s="42"/>
      <c r="S168" s="42"/>
      <c r="T168" s="42"/>
      <c r="U168" s="29"/>
      <c r="V168" s="41"/>
      <c r="W168" s="29"/>
      <c r="X168" s="41"/>
      <c r="Y168" s="37"/>
      <c r="Z168" s="41"/>
      <c r="AA168" s="29"/>
      <c r="AB168" s="216" t="s">
        <v>2295</v>
      </c>
      <c r="AC168" s="298"/>
      <c r="AD168" s="59"/>
      <c r="AE168" s="298"/>
      <c r="AF168" s="298"/>
      <c r="AG168" s="298"/>
      <c r="AH168" s="298"/>
      <c r="AI168" s="298"/>
      <c r="AJ168" s="298"/>
      <c r="AK168" s="298"/>
      <c r="AL168" s="37" t="s">
        <v>2296</v>
      </c>
      <c r="AM168" s="298"/>
      <c r="AN168" s="298" t="s">
        <v>2297</v>
      </c>
      <c r="AO168" s="298"/>
      <c r="AP168" s="298" t="s">
        <v>2298</v>
      </c>
      <c r="AQ168" s="216">
        <v>49830</v>
      </c>
      <c r="AR168" s="254">
        <v>22.5</v>
      </c>
      <c r="AS168" s="27">
        <f t="shared" si="66"/>
        <v>50.675675675675677</v>
      </c>
      <c r="AT168" s="214" t="s">
        <v>2259</v>
      </c>
      <c r="AU168" s="214" t="s">
        <v>2260</v>
      </c>
      <c r="AV168" s="213">
        <v>12.32</v>
      </c>
      <c r="AW168" s="213">
        <v>10.98</v>
      </c>
      <c r="AX168" s="213">
        <v>1.67</v>
      </c>
      <c r="AY168" s="44"/>
      <c r="AZ168" s="44"/>
      <c r="BA168" s="222">
        <v>0.72</v>
      </c>
      <c r="BB168" s="246">
        <f>13.31+0.036</f>
        <v>13.346</v>
      </c>
      <c r="BC168" s="291">
        <f>2.87+0.036</f>
        <v>2.9060000000000001</v>
      </c>
      <c r="BD168" s="291">
        <f>13.31+0.072</f>
        <v>13.382</v>
      </c>
      <c r="BE168" s="291">
        <f t="shared" si="68"/>
        <v>0.30034749758796297</v>
      </c>
      <c r="BF168" s="224">
        <v>0.36</v>
      </c>
      <c r="BG168" s="294">
        <v>14.5</v>
      </c>
      <c r="BH168" s="294">
        <v>14.25</v>
      </c>
      <c r="BI168" s="294">
        <v>9.5</v>
      </c>
      <c r="BJ168" s="291">
        <f t="shared" si="69"/>
        <v>1.1359592013888888</v>
      </c>
      <c r="BK168" s="223">
        <v>0.99</v>
      </c>
      <c r="BL168" s="223"/>
      <c r="BM168" s="223"/>
      <c r="BN168" s="39" t="s">
        <v>64</v>
      </c>
      <c r="BO168" s="205">
        <v>3</v>
      </c>
      <c r="BP168" s="205">
        <v>6</v>
      </c>
      <c r="BQ168" s="205">
        <v>4</v>
      </c>
      <c r="BR168" s="32">
        <f t="shared" si="67"/>
        <v>72</v>
      </c>
      <c r="BS168" s="32">
        <f t="shared" si="70"/>
        <v>151.52000000000001</v>
      </c>
      <c r="BT168" s="205" t="s">
        <v>182</v>
      </c>
      <c r="BU168" s="225" t="s">
        <v>67</v>
      </c>
      <c r="BV168" s="191"/>
      <c r="BW168" s="191"/>
      <c r="BX168" s="43"/>
    </row>
    <row r="169" spans="1:80" s="1" customFormat="1" x14ac:dyDescent="0.25">
      <c r="A169" s="241">
        <v>42395</v>
      </c>
      <c r="B169" s="206" t="s">
        <v>14</v>
      </c>
      <c r="C169" s="205" t="s">
        <v>2177</v>
      </c>
      <c r="D169" s="206" t="s">
        <v>240</v>
      </c>
      <c r="E169" s="248" t="s">
        <v>2111</v>
      </c>
      <c r="F169" s="230" t="s">
        <v>2196</v>
      </c>
      <c r="G169" s="216" t="s">
        <v>1009</v>
      </c>
      <c r="H169" s="231" t="s">
        <v>2195</v>
      </c>
      <c r="I169" s="188"/>
      <c r="J169" s="298"/>
      <c r="K169" s="29"/>
      <c r="L169" s="30"/>
      <c r="M169" s="30"/>
      <c r="N169" s="30"/>
      <c r="O169" s="42"/>
      <c r="P169" s="42"/>
      <c r="Q169" s="42"/>
      <c r="R169" s="42"/>
      <c r="S169" s="42"/>
      <c r="T169" s="42"/>
      <c r="U169" s="29"/>
      <c r="V169" s="41"/>
      <c r="W169" s="29"/>
      <c r="X169" s="41"/>
      <c r="Y169" s="37"/>
      <c r="Z169" s="41"/>
      <c r="AA169" s="29" t="s">
        <v>2202</v>
      </c>
      <c r="AB169" s="216"/>
      <c r="AC169" s="298"/>
      <c r="AD169" s="59"/>
      <c r="AE169" s="298"/>
      <c r="AF169" s="298"/>
      <c r="AG169" s="298"/>
      <c r="AH169" s="298"/>
      <c r="AI169" s="298"/>
      <c r="AJ169" s="216"/>
      <c r="AK169" s="298"/>
      <c r="AL169" s="26"/>
      <c r="AM169" s="298"/>
      <c r="AN169" s="298"/>
      <c r="AO169" s="298"/>
      <c r="AP169" s="298"/>
      <c r="AQ169" s="249">
        <v>57161</v>
      </c>
      <c r="AR169" s="221">
        <v>25.72</v>
      </c>
      <c r="AS169" s="250">
        <f t="shared" si="66"/>
        <v>57.927927927927925</v>
      </c>
      <c r="AT169" s="98" t="s">
        <v>2186</v>
      </c>
      <c r="AU169" s="98" t="s">
        <v>2187</v>
      </c>
      <c r="AV169" s="44"/>
      <c r="AW169" s="44"/>
      <c r="AX169" s="44"/>
      <c r="AY169" s="215">
        <v>2.98</v>
      </c>
      <c r="AZ169" s="215">
        <v>7.87</v>
      </c>
      <c r="BA169" s="226">
        <f>0.28</f>
        <v>0.28000000000000003</v>
      </c>
      <c r="BB169" s="261">
        <f>3.81+0.036</f>
        <v>3.8460000000000001</v>
      </c>
      <c r="BC169" s="202">
        <f>3.81+0.036</f>
        <v>3.8460000000000001</v>
      </c>
      <c r="BD169" s="202">
        <f>8+(4*0.018)</f>
        <v>8.0719999999999992</v>
      </c>
      <c r="BE169" s="291">
        <f t="shared" si="68"/>
        <v>6.9096488166666664E-2</v>
      </c>
      <c r="BF169" s="227">
        <f>0.09</f>
        <v>0.09</v>
      </c>
      <c r="BG169" s="202">
        <f>15.56+0.25</f>
        <v>15.81</v>
      </c>
      <c r="BH169" s="202">
        <f>11.68+0.25</f>
        <v>11.93</v>
      </c>
      <c r="BI169" s="202">
        <v>8.6199999999999992</v>
      </c>
      <c r="BJ169" s="291">
        <f t="shared" si="69"/>
        <v>0.94088347569444442</v>
      </c>
      <c r="BK169" s="223">
        <v>0.87</v>
      </c>
      <c r="BL169" s="223"/>
      <c r="BM169" s="223"/>
      <c r="BN169" s="205" t="s">
        <v>64</v>
      </c>
      <c r="BO169" s="205">
        <v>12</v>
      </c>
      <c r="BP169" s="205">
        <v>10</v>
      </c>
      <c r="BQ169" s="205">
        <v>5</v>
      </c>
      <c r="BR169" s="32">
        <f t="shared" si="67"/>
        <v>600</v>
      </c>
      <c r="BS169" s="32">
        <f t="shared" si="70"/>
        <v>315.5</v>
      </c>
      <c r="BT169" s="32" t="s">
        <v>1011</v>
      </c>
      <c r="BU169" s="32" t="s">
        <v>1910</v>
      </c>
      <c r="BV169" s="191"/>
      <c r="BW169" s="191"/>
      <c r="BX169" s="43"/>
      <c r="BY169" s="191"/>
    </row>
    <row r="170" spans="1:80" s="1" customFormat="1" x14ac:dyDescent="0.25">
      <c r="A170" s="241">
        <v>42395</v>
      </c>
      <c r="B170" s="206" t="s">
        <v>14</v>
      </c>
      <c r="C170" s="206" t="s">
        <v>2230</v>
      </c>
      <c r="D170" s="206" t="s">
        <v>240</v>
      </c>
      <c r="E170" s="206" t="s">
        <v>2111</v>
      </c>
      <c r="F170" s="256" t="s">
        <v>2240</v>
      </c>
      <c r="G170" s="258" t="s">
        <v>260</v>
      </c>
      <c r="H170" s="259">
        <v>6511800309</v>
      </c>
      <c r="I170" s="298"/>
      <c r="J170" s="298"/>
      <c r="K170" s="29"/>
      <c r="L170" s="30"/>
      <c r="M170" s="30"/>
      <c r="N170" s="30"/>
      <c r="O170" s="42"/>
      <c r="P170" s="42"/>
      <c r="Q170" s="42"/>
      <c r="R170" s="42"/>
      <c r="S170" s="42"/>
      <c r="T170" s="42"/>
      <c r="U170" s="29"/>
      <c r="V170" s="41"/>
      <c r="W170" s="29"/>
      <c r="X170" s="41"/>
      <c r="Y170" s="37"/>
      <c r="Z170" s="41"/>
      <c r="AA170" s="29"/>
      <c r="AB170" s="216"/>
      <c r="AC170" s="298"/>
      <c r="AD170" s="59"/>
      <c r="AE170" s="298"/>
      <c r="AF170" s="298"/>
      <c r="AG170" s="298"/>
      <c r="AH170" s="298"/>
      <c r="AI170" s="298"/>
      <c r="AJ170" s="216"/>
      <c r="AK170" s="298"/>
      <c r="AL170" s="26"/>
      <c r="AM170" s="298"/>
      <c r="AN170" s="298"/>
      <c r="AO170" s="298"/>
      <c r="AP170" s="298"/>
      <c r="AQ170" s="216"/>
      <c r="AR170" s="255">
        <v>15.33</v>
      </c>
      <c r="AS170" s="27">
        <f t="shared" si="66"/>
        <v>34.527027027027025</v>
      </c>
      <c r="AT170" s="98" t="s">
        <v>2233</v>
      </c>
      <c r="AU170" s="98" t="s">
        <v>2234</v>
      </c>
      <c r="AV170" s="44"/>
      <c r="AW170" s="44"/>
      <c r="AX170" s="44"/>
      <c r="AY170" s="215">
        <v>2.56</v>
      </c>
      <c r="AZ170" s="215">
        <v>4.3499999999999996</v>
      </c>
      <c r="BA170" s="222">
        <f>0.18</f>
        <v>0.18</v>
      </c>
      <c r="BB170" s="260">
        <f>2.755+0.018+0.018</f>
        <v>2.7909999999999995</v>
      </c>
      <c r="BC170" s="209">
        <f>2.755+0.018+0.018</f>
        <v>2.7909999999999995</v>
      </c>
      <c r="BD170" s="209">
        <f>4.842+(0.018*4)</f>
        <v>4.9139999999999997</v>
      </c>
      <c r="BE170" s="291">
        <f t="shared" si="68"/>
        <v>2.2151905343749986E-2</v>
      </c>
      <c r="BF170" s="224">
        <f>0.1</f>
        <v>0.1</v>
      </c>
      <c r="BG170" s="243">
        <f>11.42+0.25</f>
        <v>11.67</v>
      </c>
      <c r="BH170" s="243">
        <f>8.66+0.25</f>
        <v>8.91</v>
      </c>
      <c r="BI170" s="243">
        <f>5.43+0.5</f>
        <v>5.93</v>
      </c>
      <c r="BJ170" s="291">
        <f t="shared" si="69"/>
        <v>0.35682848437499998</v>
      </c>
      <c r="BK170" s="53">
        <v>0.25</v>
      </c>
      <c r="BL170" s="53"/>
      <c r="BM170" s="53"/>
      <c r="BN170" s="39" t="s">
        <v>64</v>
      </c>
      <c r="BO170" s="205">
        <v>12</v>
      </c>
      <c r="BP170" s="205">
        <v>17</v>
      </c>
      <c r="BQ170" s="205">
        <v>7</v>
      </c>
      <c r="BR170" s="32">
        <f t="shared" si="67"/>
        <v>1428</v>
      </c>
      <c r="BS170" s="32">
        <f t="shared" si="70"/>
        <v>479.59000000000003</v>
      </c>
      <c r="BT170" s="32" t="s">
        <v>255</v>
      </c>
      <c r="BU170" s="32" t="s">
        <v>1910</v>
      </c>
      <c r="BV170" s="191"/>
      <c r="BW170" s="191"/>
      <c r="BX170" s="43"/>
      <c r="BY170" s="191"/>
    </row>
    <row r="171" spans="1:80" s="1" customFormat="1" x14ac:dyDescent="0.25">
      <c r="A171" s="241">
        <v>42395</v>
      </c>
      <c r="B171" s="206" t="s">
        <v>14</v>
      </c>
      <c r="C171" s="206" t="s">
        <v>2231</v>
      </c>
      <c r="D171" s="206" t="s">
        <v>240</v>
      </c>
      <c r="E171" s="248" t="s">
        <v>2111</v>
      </c>
      <c r="F171" s="26" t="s">
        <v>2241</v>
      </c>
      <c r="G171" s="216" t="s">
        <v>187</v>
      </c>
      <c r="H171" s="244">
        <v>55577033</v>
      </c>
      <c r="I171" s="188"/>
      <c r="J171" s="298"/>
      <c r="K171" s="29"/>
      <c r="L171" s="30"/>
      <c r="M171" s="30"/>
      <c r="N171" s="30"/>
      <c r="O171" s="42"/>
      <c r="P171" s="42"/>
      <c r="Q171" s="42"/>
      <c r="R171" s="42"/>
      <c r="S171" s="42"/>
      <c r="T171" s="42"/>
      <c r="U171" s="29"/>
      <c r="V171" s="41"/>
      <c r="W171" s="29"/>
      <c r="X171" s="41"/>
      <c r="Y171" s="37"/>
      <c r="Z171" s="41"/>
      <c r="AA171" s="29"/>
      <c r="AB171" s="216"/>
      <c r="AC171" s="298"/>
      <c r="AD171" s="59"/>
      <c r="AE171" s="298"/>
      <c r="AF171" s="298"/>
      <c r="AG171" s="298"/>
      <c r="AH171" s="298"/>
      <c r="AI171" s="298"/>
      <c r="AJ171" s="216"/>
      <c r="AK171" s="298"/>
      <c r="AL171" s="26"/>
      <c r="AM171" s="298"/>
      <c r="AN171" s="298"/>
      <c r="AO171" s="298"/>
      <c r="AP171" s="298"/>
      <c r="AQ171" s="249"/>
      <c r="AR171" s="221">
        <v>10.27</v>
      </c>
      <c r="AS171" s="250">
        <f t="shared" si="66"/>
        <v>23.13063063063063</v>
      </c>
      <c r="AT171" s="98" t="s">
        <v>2235</v>
      </c>
      <c r="AU171" s="98" t="s">
        <v>2236</v>
      </c>
      <c r="AV171" s="44"/>
      <c r="AW171" s="44"/>
      <c r="AX171" s="44"/>
      <c r="AY171" s="215">
        <v>2.5870000000000002</v>
      </c>
      <c r="AZ171" s="215">
        <v>4.1340000000000003</v>
      </c>
      <c r="BA171" s="222">
        <f>0.13</f>
        <v>0.13</v>
      </c>
      <c r="BB171" s="260">
        <f>2.755+0.018+0.018</f>
        <v>2.7909999999999995</v>
      </c>
      <c r="BC171" s="209">
        <f>2.755+0.018+0.018</f>
        <v>2.7909999999999995</v>
      </c>
      <c r="BD171" s="209">
        <f>4.33+(0.018*4)</f>
        <v>4.4020000000000001</v>
      </c>
      <c r="BE171" s="291">
        <f t="shared" si="68"/>
        <v>1.9843851714120366E-2</v>
      </c>
      <c r="BF171" s="224">
        <f>0.1</f>
        <v>0.1</v>
      </c>
      <c r="BG171" s="243">
        <f>11.417+0.25</f>
        <v>11.667</v>
      </c>
      <c r="BH171" s="243">
        <f>8.582+0.25</f>
        <v>8.8320000000000007</v>
      </c>
      <c r="BI171" s="243">
        <f>4.803+0.5</f>
        <v>5.3029999999999999</v>
      </c>
      <c r="BJ171" s="291">
        <f t="shared" si="69"/>
        <v>0.31622496066666667</v>
      </c>
      <c r="BK171" s="223">
        <v>0.25</v>
      </c>
      <c r="BL171" s="223"/>
      <c r="BM171" s="223"/>
      <c r="BN171" s="39" t="s">
        <v>64</v>
      </c>
      <c r="BO171" s="205">
        <v>12</v>
      </c>
      <c r="BP171" s="205">
        <v>17</v>
      </c>
      <c r="BQ171" s="205">
        <v>8</v>
      </c>
      <c r="BR171" s="32">
        <f t="shared" si="67"/>
        <v>1632</v>
      </c>
      <c r="BS171" s="32">
        <f t="shared" si="70"/>
        <v>459.36</v>
      </c>
      <c r="BT171" s="205" t="s">
        <v>69</v>
      </c>
      <c r="BU171" s="32" t="s">
        <v>1910</v>
      </c>
      <c r="BV171" s="191"/>
      <c r="BW171" s="191"/>
      <c r="BX171" s="43"/>
      <c r="BY171" s="191"/>
    </row>
    <row r="172" spans="1:80" s="1" customFormat="1" x14ac:dyDescent="0.25">
      <c r="A172" s="241">
        <v>42395</v>
      </c>
      <c r="B172" s="206" t="s">
        <v>14</v>
      </c>
      <c r="C172" s="206" t="s">
        <v>2232</v>
      </c>
      <c r="D172" s="206" t="s">
        <v>240</v>
      </c>
      <c r="E172" s="206" t="s">
        <v>2111</v>
      </c>
      <c r="F172" s="230" t="s">
        <v>2242</v>
      </c>
      <c r="G172" s="216" t="s">
        <v>1009</v>
      </c>
      <c r="H172" s="210" t="s">
        <v>2239</v>
      </c>
      <c r="I172" s="298"/>
      <c r="J172" s="298"/>
      <c r="K172" s="29"/>
      <c r="L172" s="30"/>
      <c r="M172" s="30"/>
      <c r="N172" s="30"/>
      <c r="O172" s="42"/>
      <c r="P172" s="42"/>
      <c r="Q172" s="42"/>
      <c r="R172" s="42"/>
      <c r="S172" s="42"/>
      <c r="T172" s="42"/>
      <c r="U172" s="29"/>
      <c r="V172" s="41"/>
      <c r="W172" s="29"/>
      <c r="X172" s="41"/>
      <c r="Y172" s="37"/>
      <c r="Z172" s="41"/>
      <c r="AA172" s="29"/>
      <c r="AB172" s="216"/>
      <c r="AC172" s="298"/>
      <c r="AD172" s="59"/>
      <c r="AE172" s="298"/>
      <c r="AF172" s="298"/>
      <c r="AG172" s="298"/>
      <c r="AH172" s="298"/>
      <c r="AI172" s="298"/>
      <c r="AJ172" s="216"/>
      <c r="AK172" s="298"/>
      <c r="AL172" s="26"/>
      <c r="AM172" s="298"/>
      <c r="AN172" s="298"/>
      <c r="AO172" s="298"/>
      <c r="AP172" s="298"/>
      <c r="AQ172" s="216"/>
      <c r="AR172" s="221">
        <v>10.45</v>
      </c>
      <c r="AS172" s="242">
        <f t="shared" si="66"/>
        <v>23.536036036036034</v>
      </c>
      <c r="AT172" s="98" t="s">
        <v>2237</v>
      </c>
      <c r="AU172" s="98" t="s">
        <v>2238</v>
      </c>
      <c r="AV172" s="44"/>
      <c r="AW172" s="44"/>
      <c r="AX172" s="44"/>
      <c r="AY172" s="215">
        <v>2.677</v>
      </c>
      <c r="AZ172" s="215">
        <v>4.6849999999999996</v>
      </c>
      <c r="BA172" s="226">
        <f>0.2</f>
        <v>0.2</v>
      </c>
      <c r="BB172" s="209">
        <f>2.755+0.036</f>
        <v>2.7909999999999999</v>
      </c>
      <c r="BC172" s="209">
        <f>2.755+0.036</f>
        <v>2.7909999999999999</v>
      </c>
      <c r="BD172" s="209">
        <f>4.724+0.072</f>
        <v>4.7960000000000003</v>
      </c>
      <c r="BE172" s="291">
        <f t="shared" si="68"/>
        <v>2.1619971108796297E-2</v>
      </c>
      <c r="BF172" s="227">
        <f>0.1</f>
        <v>0.1</v>
      </c>
      <c r="BG172" s="243">
        <f>11.417+0.25</f>
        <v>11.667</v>
      </c>
      <c r="BH172" s="243">
        <f>8.582+0.25</f>
        <v>8.8320000000000007</v>
      </c>
      <c r="BI172" s="243">
        <f>5.196+0.5</f>
        <v>5.6959999999999997</v>
      </c>
      <c r="BJ172" s="291">
        <f t="shared" si="69"/>
        <v>0.3396600746666667</v>
      </c>
      <c r="BK172" s="53">
        <f>0.25</f>
        <v>0.25</v>
      </c>
      <c r="BL172" s="53"/>
      <c r="BM172" s="53"/>
      <c r="BN172" s="39" t="s">
        <v>64</v>
      </c>
      <c r="BO172" s="32">
        <v>12</v>
      </c>
      <c r="BP172" s="32">
        <v>17</v>
      </c>
      <c r="BQ172" s="32">
        <v>8</v>
      </c>
      <c r="BR172" s="32">
        <f t="shared" si="67"/>
        <v>1632</v>
      </c>
      <c r="BS172" s="32">
        <f t="shared" si="70"/>
        <v>573.6</v>
      </c>
      <c r="BT172" s="32" t="s">
        <v>69</v>
      </c>
      <c r="BU172" s="32" t="s">
        <v>1910</v>
      </c>
      <c r="BV172" s="191"/>
      <c r="BW172" s="191"/>
      <c r="BX172" s="43"/>
      <c r="BY172" s="191"/>
    </row>
    <row r="173" spans="1:80" s="1" customFormat="1" x14ac:dyDescent="0.25">
      <c r="A173" s="241">
        <v>42395</v>
      </c>
      <c r="B173" s="209" t="s">
        <v>14</v>
      </c>
      <c r="C173" s="206" t="s">
        <v>2263</v>
      </c>
      <c r="D173" s="206" t="s">
        <v>240</v>
      </c>
      <c r="E173" s="248" t="s">
        <v>2111</v>
      </c>
      <c r="F173" s="230" t="s">
        <v>2279</v>
      </c>
      <c r="G173" s="59" t="s">
        <v>223</v>
      </c>
      <c r="H173" s="231" t="s">
        <v>2278</v>
      </c>
      <c r="I173" s="298"/>
      <c r="J173" s="298"/>
      <c r="K173" s="29"/>
      <c r="L173" s="30"/>
      <c r="M173" s="30"/>
      <c r="N173" s="30"/>
      <c r="O173" s="42"/>
      <c r="P173" s="42"/>
      <c r="Q173" s="42"/>
      <c r="R173" s="42"/>
      <c r="S173" s="42"/>
      <c r="T173" s="42"/>
      <c r="U173" s="29" t="s">
        <v>2308</v>
      </c>
      <c r="V173" s="41"/>
      <c r="W173" s="29"/>
      <c r="X173" s="41"/>
      <c r="Y173" s="37"/>
      <c r="Z173" s="41" t="s">
        <v>2263</v>
      </c>
      <c r="AA173" s="29"/>
      <c r="AB173" s="216" t="s">
        <v>2309</v>
      </c>
      <c r="AC173" s="298"/>
      <c r="AD173" s="59"/>
      <c r="AE173" s="298"/>
      <c r="AF173" s="298"/>
      <c r="AG173" s="298" t="s">
        <v>2263</v>
      </c>
      <c r="AH173" s="298"/>
      <c r="AI173" s="298"/>
      <c r="AJ173" s="298"/>
      <c r="AK173" s="298"/>
      <c r="AL173" s="37" t="s">
        <v>2310</v>
      </c>
      <c r="AM173" s="298"/>
      <c r="AN173" s="298" t="s">
        <v>2311</v>
      </c>
      <c r="AO173" s="298"/>
      <c r="AP173" s="298" t="s">
        <v>2311</v>
      </c>
      <c r="AQ173" s="216"/>
      <c r="AR173" s="221">
        <v>16.7</v>
      </c>
      <c r="AS173" s="250">
        <f t="shared" si="66"/>
        <v>37.612612612612608</v>
      </c>
      <c r="AT173" s="98" t="s">
        <v>2269</v>
      </c>
      <c r="AU173" s="98" t="s">
        <v>2270</v>
      </c>
      <c r="AV173" s="44"/>
      <c r="AW173" s="44"/>
      <c r="AX173" s="44"/>
      <c r="AY173" s="215">
        <v>2.6</v>
      </c>
      <c r="AZ173" s="215">
        <v>4.88</v>
      </c>
      <c r="BA173" s="222">
        <v>0.215</v>
      </c>
      <c r="BB173" s="209">
        <f>2.755+0.036</f>
        <v>2.7909999999999999</v>
      </c>
      <c r="BC173" s="209">
        <f>2.755+0.036</f>
        <v>2.7909999999999999</v>
      </c>
      <c r="BD173" s="209">
        <f>4.921+0.072</f>
        <v>4.9930000000000003</v>
      </c>
      <c r="BE173" s="291">
        <f t="shared" si="68"/>
        <v>2.2508030806134258E-2</v>
      </c>
      <c r="BF173" s="224">
        <v>5.0000000000000001E-3</v>
      </c>
      <c r="BG173" s="294">
        <f>11.417+0.25</f>
        <v>11.667</v>
      </c>
      <c r="BH173" s="294">
        <f>8.661+0.25</f>
        <v>8.9109999999999996</v>
      </c>
      <c r="BI173" s="294">
        <f>5.118+0.5</f>
        <v>5.6180000000000003</v>
      </c>
      <c r="BJ173" s="291">
        <f t="shared" si="69"/>
        <v>0.33800539969097226</v>
      </c>
      <c r="BK173" s="223">
        <v>2.1999999999999999E-2</v>
      </c>
      <c r="BL173" s="223"/>
      <c r="BM173" s="223"/>
      <c r="BN173" s="39" t="s">
        <v>64</v>
      </c>
      <c r="BO173" s="205">
        <v>12</v>
      </c>
      <c r="BP173" s="205">
        <v>17</v>
      </c>
      <c r="BQ173" s="205">
        <v>8</v>
      </c>
      <c r="BR173" s="32">
        <f t="shared" si="67"/>
        <v>1632</v>
      </c>
      <c r="BS173" s="32">
        <v>395</v>
      </c>
      <c r="BT173" s="32" t="s">
        <v>1412</v>
      </c>
      <c r="BU173" s="32" t="s">
        <v>1910</v>
      </c>
      <c r="BV173" s="191"/>
      <c r="BW173" s="191"/>
      <c r="BX173" s="43"/>
    </row>
    <row r="174" spans="1:80" s="1" customFormat="1" x14ac:dyDescent="0.25">
      <c r="A174" s="241">
        <v>42395</v>
      </c>
      <c r="B174" s="209" t="s">
        <v>14</v>
      </c>
      <c r="C174" s="206" t="s">
        <v>2264</v>
      </c>
      <c r="D174" s="206" t="s">
        <v>240</v>
      </c>
      <c r="E174" s="206" t="s">
        <v>2111</v>
      </c>
      <c r="F174" s="230" t="s">
        <v>2281</v>
      </c>
      <c r="G174" s="59" t="s">
        <v>957</v>
      </c>
      <c r="H174" s="231" t="s">
        <v>2280</v>
      </c>
      <c r="I174" s="298"/>
      <c r="J174" s="298"/>
      <c r="K174" s="29"/>
      <c r="L174" s="30"/>
      <c r="M174" s="30"/>
      <c r="N174" s="30"/>
      <c r="O174" s="42"/>
      <c r="P174" s="42"/>
      <c r="Q174" s="42"/>
      <c r="R174" s="42"/>
      <c r="S174" s="42"/>
      <c r="T174" s="42"/>
      <c r="U174" s="29"/>
      <c r="V174" s="41"/>
      <c r="W174" s="29"/>
      <c r="X174" s="41"/>
      <c r="Y174" s="37"/>
      <c r="Z174" s="41"/>
      <c r="AA174" s="29"/>
      <c r="AB174" s="216"/>
      <c r="AC174" s="298"/>
      <c r="AD174" s="59"/>
      <c r="AE174" s="298"/>
      <c r="AF174" s="298"/>
      <c r="AG174" s="298"/>
      <c r="AH174" s="298"/>
      <c r="AI174" s="298" t="s">
        <v>2264</v>
      </c>
      <c r="AJ174" s="298"/>
      <c r="AK174" s="298"/>
      <c r="AL174" s="37"/>
      <c r="AM174" s="298"/>
      <c r="AN174" s="298" t="s">
        <v>2312</v>
      </c>
      <c r="AO174" s="298"/>
      <c r="AP174" s="298" t="s">
        <v>2312</v>
      </c>
      <c r="AQ174" s="216" t="s">
        <v>2313</v>
      </c>
      <c r="AR174" s="221">
        <v>16.93</v>
      </c>
      <c r="AS174" s="250">
        <f t="shared" si="66"/>
        <v>38.130630630630627</v>
      </c>
      <c r="AT174" s="98" t="s">
        <v>2265</v>
      </c>
      <c r="AU174" s="98" t="s">
        <v>2271</v>
      </c>
      <c r="AV174" s="44"/>
      <c r="AW174" s="44"/>
      <c r="AX174" s="44"/>
      <c r="AY174" s="215">
        <v>3.25</v>
      </c>
      <c r="AZ174" s="215">
        <v>2.83</v>
      </c>
      <c r="BA174" s="247">
        <v>0.15</v>
      </c>
      <c r="BB174" s="202">
        <f>3.346+0.036</f>
        <v>3.3820000000000001</v>
      </c>
      <c r="BC174" s="202">
        <f>3.346+0.036</f>
        <v>3.3820000000000001</v>
      </c>
      <c r="BD174" s="202">
        <f>3.07+0.072</f>
        <v>3.1419999999999999</v>
      </c>
      <c r="BE174" s="291">
        <f t="shared" si="68"/>
        <v>2.0797428939814816E-2</v>
      </c>
      <c r="BF174" s="224">
        <v>0.1</v>
      </c>
      <c r="BG174" s="294">
        <f>13.78+0.25</f>
        <v>14.03</v>
      </c>
      <c r="BH174" s="294">
        <f>10.43+0.25</f>
        <v>10.68</v>
      </c>
      <c r="BI174" s="294">
        <f>3.58+0.5</f>
        <v>4.08</v>
      </c>
      <c r="BJ174" s="291">
        <f t="shared" si="69"/>
        <v>0.3537898333333333</v>
      </c>
      <c r="BK174" s="223">
        <v>0.25</v>
      </c>
      <c r="BL174" s="223"/>
      <c r="BM174" s="223"/>
      <c r="BN174" s="39" t="s">
        <v>64</v>
      </c>
      <c r="BO174" s="32">
        <v>12</v>
      </c>
      <c r="BP174" s="32">
        <v>11</v>
      </c>
      <c r="BQ174" s="32">
        <v>11</v>
      </c>
      <c r="BR174" s="32">
        <f t="shared" si="67"/>
        <v>1452</v>
      </c>
      <c r="BS174" s="32">
        <v>447.21600000000001</v>
      </c>
      <c r="BT174" s="205" t="s">
        <v>255</v>
      </c>
      <c r="BU174" s="225" t="s">
        <v>1910</v>
      </c>
      <c r="BV174" s="191"/>
      <c r="BW174" s="191"/>
      <c r="BX174" s="43"/>
    </row>
    <row r="175" spans="1:80" s="1" customFormat="1" x14ac:dyDescent="0.25">
      <c r="A175" s="241">
        <v>42395</v>
      </c>
      <c r="B175" s="206" t="s">
        <v>14</v>
      </c>
      <c r="C175" s="206" t="s">
        <v>2188</v>
      </c>
      <c r="D175" s="206" t="s">
        <v>73</v>
      </c>
      <c r="E175" s="218" t="s">
        <v>2189</v>
      </c>
      <c r="F175" s="230" t="s">
        <v>2198</v>
      </c>
      <c r="G175" s="59" t="s">
        <v>66</v>
      </c>
      <c r="H175" s="231" t="s">
        <v>2197</v>
      </c>
      <c r="I175" s="298"/>
      <c r="J175" s="298"/>
      <c r="K175" s="29"/>
      <c r="L175" s="30"/>
      <c r="M175" s="30"/>
      <c r="N175" s="30"/>
      <c r="O175" s="42"/>
      <c r="P175" s="42"/>
      <c r="Q175" s="42"/>
      <c r="R175" s="42"/>
      <c r="S175" s="42"/>
      <c r="T175" s="42"/>
      <c r="U175" s="29"/>
      <c r="V175" s="41"/>
      <c r="W175" s="29"/>
      <c r="X175" s="41"/>
      <c r="Y175" s="37" t="s">
        <v>2201</v>
      </c>
      <c r="Z175" s="41"/>
      <c r="AA175" s="29"/>
      <c r="AB175" s="216"/>
      <c r="AC175" s="298"/>
      <c r="AD175" s="59"/>
      <c r="AE175" s="298"/>
      <c r="AF175" s="298"/>
      <c r="AG175" s="298"/>
      <c r="AH175" s="298"/>
      <c r="AI175" s="298"/>
      <c r="AJ175" s="298"/>
      <c r="AK175" s="298"/>
      <c r="AL175" s="37"/>
      <c r="AM175" s="298"/>
      <c r="AN175" s="298"/>
      <c r="AO175" s="298"/>
      <c r="AP175" s="298"/>
      <c r="AQ175" s="216"/>
      <c r="AR175" s="221">
        <v>43.11</v>
      </c>
      <c r="AS175" s="27">
        <f t="shared" si="66"/>
        <v>97.094594594594597</v>
      </c>
      <c r="AT175" s="228" t="s">
        <v>2199</v>
      </c>
      <c r="AU175" s="228" t="s">
        <v>2200</v>
      </c>
      <c r="AV175" s="293"/>
      <c r="AW175" s="293"/>
      <c r="AX175" s="293"/>
      <c r="AY175" s="293">
        <v>3.9089999999999998</v>
      </c>
      <c r="AZ175" s="293">
        <v>5.9450000000000003</v>
      </c>
      <c r="BA175" s="224">
        <v>1.5</v>
      </c>
      <c r="BB175" s="202">
        <v>4.25</v>
      </c>
      <c r="BC175" s="202">
        <v>4.25</v>
      </c>
      <c r="BD175" s="202">
        <v>7</v>
      </c>
      <c r="BE175" s="291">
        <f t="shared" si="68"/>
        <v>7.3169849537037035E-2</v>
      </c>
      <c r="BF175" s="227">
        <v>1.5</v>
      </c>
      <c r="BG175" s="444" t="s">
        <v>80</v>
      </c>
      <c r="BH175" s="445"/>
      <c r="BI175" s="445"/>
      <c r="BJ175" s="445"/>
      <c r="BK175" s="446"/>
      <c r="BL175" s="347"/>
      <c r="BM175" s="347"/>
      <c r="BN175" s="68" t="s">
        <v>64</v>
      </c>
      <c r="BO175" s="209">
        <v>1</v>
      </c>
      <c r="BP175" s="209">
        <v>48</v>
      </c>
      <c r="BQ175" s="209">
        <v>3</v>
      </c>
      <c r="BR175" s="32">
        <f t="shared" si="67"/>
        <v>144</v>
      </c>
      <c r="BS175" s="32">
        <f>((((BA175+BF175)*BO175)+BK175)*BP175*BQ175)+50</f>
        <v>482</v>
      </c>
      <c r="BT175" s="209" t="s">
        <v>182</v>
      </c>
      <c r="BU175" s="229" t="s">
        <v>1910</v>
      </c>
      <c r="BV175" s="266"/>
      <c r="BW175" s="266"/>
      <c r="BX175" s="43"/>
    </row>
    <row r="176" spans="1:80" s="1" customFormat="1" x14ac:dyDescent="0.25">
      <c r="A176" s="57">
        <v>42341</v>
      </c>
      <c r="B176" s="206" t="s">
        <v>36</v>
      </c>
      <c r="C176" s="206" t="s">
        <v>964</v>
      </c>
      <c r="D176" s="298" t="s">
        <v>240</v>
      </c>
      <c r="E176" s="206" t="s">
        <v>2109</v>
      </c>
      <c r="F176" s="207" t="s">
        <v>2112</v>
      </c>
      <c r="G176" s="209" t="s">
        <v>995</v>
      </c>
      <c r="H176" s="59" t="s">
        <v>2119</v>
      </c>
      <c r="I176" s="298"/>
      <c r="J176" s="298"/>
      <c r="K176" s="29"/>
      <c r="L176" s="30"/>
      <c r="M176" s="30"/>
      <c r="N176" s="30"/>
      <c r="O176" s="42"/>
      <c r="P176" s="42"/>
      <c r="Q176" s="42"/>
      <c r="R176" s="42"/>
      <c r="S176" s="42"/>
      <c r="T176" s="42"/>
      <c r="U176" s="29"/>
      <c r="V176" s="41"/>
      <c r="W176" s="29"/>
      <c r="X176" s="41"/>
      <c r="Y176" s="37"/>
      <c r="Z176" s="41"/>
      <c r="AA176" s="29"/>
      <c r="AB176" s="209" t="s">
        <v>2126</v>
      </c>
      <c r="AC176" s="209" t="s">
        <v>2130</v>
      </c>
      <c r="AD176" s="59"/>
      <c r="AE176" s="298"/>
      <c r="AF176" s="298"/>
      <c r="AG176" s="298"/>
      <c r="AH176" s="298"/>
      <c r="AI176" s="298"/>
      <c r="AJ176" s="298"/>
      <c r="AK176" s="298"/>
      <c r="AL176" s="209" t="s">
        <v>2133</v>
      </c>
      <c r="AM176" s="298"/>
      <c r="AN176" s="298"/>
      <c r="AO176" s="298"/>
      <c r="AP176" s="298"/>
      <c r="AQ176" s="211">
        <v>49073</v>
      </c>
      <c r="AR176" s="212">
        <v>14.99</v>
      </c>
      <c r="AS176" s="27">
        <f t="shared" si="66"/>
        <v>33.761261261261261</v>
      </c>
      <c r="AT176" s="98" t="s">
        <v>2135</v>
      </c>
      <c r="AU176" s="98" t="s">
        <v>2136</v>
      </c>
      <c r="AV176" s="213">
        <v>11.38</v>
      </c>
      <c r="AW176" s="213">
        <v>11.5</v>
      </c>
      <c r="AX176" s="213">
        <v>1.08</v>
      </c>
      <c r="AY176" s="44"/>
      <c r="AZ176" s="44"/>
      <c r="BA176" s="189"/>
      <c r="BB176" s="103">
        <f>11.5+0.018+0.018</f>
        <v>11.536000000000001</v>
      </c>
      <c r="BC176" s="103">
        <f>2+0.018+0.018</f>
        <v>2.0359999999999996</v>
      </c>
      <c r="BD176" s="103">
        <f>11.5+(4*0.018)</f>
        <v>11.571999999999999</v>
      </c>
      <c r="BE176" s="103">
        <f t="shared" si="68"/>
        <v>0.15728876696296293</v>
      </c>
      <c r="BF176" s="267">
        <f>0.25+0.661</f>
        <v>0.91100000000000003</v>
      </c>
      <c r="BG176" s="297">
        <v>16.37</v>
      </c>
      <c r="BH176" s="297">
        <v>12.5</v>
      </c>
      <c r="BI176" s="297">
        <v>12.75</v>
      </c>
      <c r="BJ176" s="103">
        <f t="shared" ref="BJ176:BJ189" si="71">(BI176*BH176*BG176)/1728</f>
        <v>1.5098198784722223</v>
      </c>
      <c r="BK176" s="220">
        <v>1.04</v>
      </c>
      <c r="BL176" s="220"/>
      <c r="BM176" s="220"/>
      <c r="BN176" s="268" t="s">
        <v>64</v>
      </c>
      <c r="BO176" s="105">
        <v>6</v>
      </c>
      <c r="BP176" s="105">
        <v>12</v>
      </c>
      <c r="BQ176" s="105">
        <v>3</v>
      </c>
      <c r="BR176" s="105">
        <f t="shared" si="67"/>
        <v>216</v>
      </c>
      <c r="BS176" s="32">
        <f t="shared" ref="BS176" si="72">((((BA176+BF176)*BO176)+BJ176)*BP176*BQ176)+50</f>
        <v>301.12951562500001</v>
      </c>
      <c r="BT176" s="32" t="s">
        <v>69</v>
      </c>
      <c r="BU176" s="26" t="s">
        <v>67</v>
      </c>
      <c r="BV176" s="266"/>
      <c r="BW176" s="266"/>
      <c r="BX176" s="191"/>
    </row>
    <row r="177" spans="1:80" s="1" customFormat="1" x14ac:dyDescent="0.25">
      <c r="A177" s="57">
        <v>42341</v>
      </c>
      <c r="B177" s="205" t="s">
        <v>36</v>
      </c>
      <c r="C177" s="205" t="s">
        <v>2108</v>
      </c>
      <c r="D177" s="298" t="s">
        <v>240</v>
      </c>
      <c r="E177" s="206" t="s">
        <v>2111</v>
      </c>
      <c r="F177" s="208" t="s">
        <v>2115</v>
      </c>
      <c r="G177" s="205" t="s">
        <v>2118</v>
      </c>
      <c r="H177" s="37">
        <v>2761800009</v>
      </c>
      <c r="I177" s="298"/>
      <c r="J177" s="298"/>
      <c r="K177" s="29"/>
      <c r="L177" s="30"/>
      <c r="M177" s="30"/>
      <c r="N177" s="30"/>
      <c r="O177" s="42"/>
      <c r="P177" s="42"/>
      <c r="Q177" s="42"/>
      <c r="R177" s="42"/>
      <c r="S177" s="42"/>
      <c r="T177" s="42"/>
      <c r="U177" s="29"/>
      <c r="V177" s="41"/>
      <c r="W177" s="29"/>
      <c r="X177" s="41"/>
      <c r="Y177" s="37"/>
      <c r="Z177" s="41"/>
      <c r="AA177" s="29"/>
      <c r="AB177" s="205" t="s">
        <v>2129</v>
      </c>
      <c r="AC177" s="205"/>
      <c r="AD177" s="59"/>
      <c r="AE177" s="298"/>
      <c r="AF177" s="298"/>
      <c r="AG177" s="298"/>
      <c r="AH177" s="298"/>
      <c r="AI177" s="298"/>
      <c r="AJ177" s="298"/>
      <c r="AK177" s="298"/>
      <c r="AL177" s="205"/>
      <c r="AM177" s="298"/>
      <c r="AN177" s="298"/>
      <c r="AO177" s="298"/>
      <c r="AP177" s="298"/>
      <c r="AQ177" s="205"/>
      <c r="AR177" s="55">
        <v>29.88</v>
      </c>
      <c r="AS177" s="27">
        <f t="shared" si="66"/>
        <v>67.297297297297291</v>
      </c>
      <c r="AT177" s="98" t="s">
        <v>2137</v>
      </c>
      <c r="AU177" s="98" t="s">
        <v>2138</v>
      </c>
      <c r="AV177" s="44"/>
      <c r="AW177" s="44"/>
      <c r="AX177" s="44"/>
      <c r="AY177" s="293">
        <v>2.56</v>
      </c>
      <c r="AZ177" s="293">
        <v>6.59</v>
      </c>
      <c r="BA177" s="189"/>
      <c r="BB177" s="269">
        <f>2.87+0.018+0.018</f>
        <v>2.9059999999999997</v>
      </c>
      <c r="BC177" s="269">
        <f>2.87+0.018+0.018</f>
        <v>2.9059999999999997</v>
      </c>
      <c r="BD177" s="269">
        <f>6.62+(4*0.018)</f>
        <v>6.6920000000000002</v>
      </c>
      <c r="BE177" s="103">
        <f t="shared" si="68"/>
        <v>3.2704191268518513E-2</v>
      </c>
      <c r="BF177" s="220">
        <f>0.08+0.5</f>
        <v>0.57999999999999996</v>
      </c>
      <c r="BG177" s="269">
        <v>13.5</v>
      </c>
      <c r="BH177" s="269">
        <v>9.25</v>
      </c>
      <c r="BI177" s="269">
        <v>7.25</v>
      </c>
      <c r="BJ177" s="103">
        <f t="shared" si="71"/>
        <v>0.52392578125</v>
      </c>
      <c r="BK177" s="220">
        <v>0.56999999999999995</v>
      </c>
      <c r="BL177" s="220"/>
      <c r="BM177" s="220"/>
      <c r="BN177" s="26" t="s">
        <v>64</v>
      </c>
      <c r="BO177" s="26">
        <v>12</v>
      </c>
      <c r="BP177" s="26">
        <v>13</v>
      </c>
      <c r="BQ177" s="26">
        <v>6</v>
      </c>
      <c r="BR177" s="105">
        <f t="shared" si="67"/>
        <v>936</v>
      </c>
      <c r="BS177" s="32">
        <f>((((BA177+BF177)*BO177)+BJ177)*BP177*BQ177)+50</f>
        <v>633.74621093749988</v>
      </c>
      <c r="BT177" s="105" t="s">
        <v>2157</v>
      </c>
      <c r="BU177" s="105" t="s">
        <v>67</v>
      </c>
      <c r="BV177" s="266"/>
      <c r="BW177" s="266"/>
      <c r="BX177" s="191"/>
      <c r="BY177" s="191"/>
      <c r="BZ177" s="191"/>
    </row>
    <row r="178" spans="1:80" s="1" customFormat="1" x14ac:dyDescent="0.25">
      <c r="A178" s="57">
        <v>42341</v>
      </c>
      <c r="B178" s="206" t="s">
        <v>14</v>
      </c>
      <c r="C178" s="206" t="s">
        <v>964</v>
      </c>
      <c r="D178" s="298" t="s">
        <v>240</v>
      </c>
      <c r="E178" s="206" t="s">
        <v>2109</v>
      </c>
      <c r="F178" s="207" t="s">
        <v>2112</v>
      </c>
      <c r="G178" s="205" t="s">
        <v>995</v>
      </c>
      <c r="H178" s="59" t="s">
        <v>2119</v>
      </c>
      <c r="I178" s="298"/>
      <c r="J178" s="298"/>
      <c r="K178" s="29"/>
      <c r="L178" s="30"/>
      <c r="M178" s="30"/>
      <c r="N178" s="30"/>
      <c r="O178" s="42"/>
      <c r="P178" s="42"/>
      <c r="Q178" s="42"/>
      <c r="R178" s="42"/>
      <c r="S178" s="42"/>
      <c r="T178" s="42"/>
      <c r="U178" s="29"/>
      <c r="V178" s="41"/>
      <c r="W178" s="29"/>
      <c r="X178" s="41"/>
      <c r="Y178" s="37"/>
      <c r="Z178" s="41"/>
      <c r="AA178" s="29"/>
      <c r="AB178" s="205" t="s">
        <v>2126</v>
      </c>
      <c r="AC178" s="209" t="s">
        <v>2130</v>
      </c>
      <c r="AD178" s="59"/>
      <c r="AE178" s="298"/>
      <c r="AF178" s="298"/>
      <c r="AG178" s="298"/>
      <c r="AH178" s="298"/>
      <c r="AI178" s="298"/>
      <c r="AJ178" s="298"/>
      <c r="AK178" s="298"/>
      <c r="AL178" s="209" t="s">
        <v>2133</v>
      </c>
      <c r="AM178" s="298"/>
      <c r="AN178" s="298"/>
      <c r="AO178" s="298"/>
      <c r="AP178" s="298"/>
      <c r="AQ178" s="211">
        <v>49073</v>
      </c>
      <c r="AR178" s="55">
        <v>14.99</v>
      </c>
      <c r="AS178" s="27">
        <f t="shared" si="66"/>
        <v>33.761261261261261</v>
      </c>
      <c r="AT178" s="98" t="s">
        <v>2139</v>
      </c>
      <c r="AU178" s="98" t="s">
        <v>2140</v>
      </c>
      <c r="AV178" s="213">
        <v>11.38</v>
      </c>
      <c r="AW178" s="213">
        <v>11.5</v>
      </c>
      <c r="AX178" s="213">
        <v>1.08</v>
      </c>
      <c r="AY178" s="44"/>
      <c r="AZ178" s="44"/>
      <c r="BA178" s="189"/>
      <c r="BB178" s="103">
        <f>11.5+0.018+0.018</f>
        <v>11.536000000000001</v>
      </c>
      <c r="BC178" s="103">
        <f>2+0.018+0.018</f>
        <v>2.0359999999999996</v>
      </c>
      <c r="BD178" s="103">
        <f>11.5+(4*0.018)</f>
        <v>11.571999999999999</v>
      </c>
      <c r="BE178" s="103">
        <f t="shared" si="68"/>
        <v>0.15728876696296293</v>
      </c>
      <c r="BF178" s="267">
        <f>0.25+0.661</f>
        <v>0.91100000000000003</v>
      </c>
      <c r="BG178" s="297">
        <v>16.37</v>
      </c>
      <c r="BH178" s="297">
        <v>12.5</v>
      </c>
      <c r="BI178" s="297">
        <v>12.75</v>
      </c>
      <c r="BJ178" s="103">
        <f t="shared" si="71"/>
        <v>1.5098198784722223</v>
      </c>
      <c r="BK178" s="220">
        <v>1.04</v>
      </c>
      <c r="BL178" s="220"/>
      <c r="BM178" s="220"/>
      <c r="BN178" s="268" t="s">
        <v>64</v>
      </c>
      <c r="BO178" s="26">
        <v>6</v>
      </c>
      <c r="BP178" s="26">
        <v>12</v>
      </c>
      <c r="BQ178" s="26">
        <v>3</v>
      </c>
      <c r="BR178" s="105">
        <f t="shared" si="67"/>
        <v>216</v>
      </c>
      <c r="BS178" s="32">
        <f t="shared" ref="BS178:BS179" si="73">((((BA178+BF178)*BO178)+BJ178)*BP178*BQ178)+50</f>
        <v>301.12951562500001</v>
      </c>
      <c r="BT178" s="32" t="s">
        <v>69</v>
      </c>
      <c r="BU178" s="26" t="s">
        <v>67</v>
      </c>
      <c r="BV178" s="266"/>
      <c r="BW178" s="43"/>
      <c r="BX178" s="43"/>
      <c r="BY178" s="191"/>
      <c r="BZ178" s="191"/>
      <c r="CA178" s="191"/>
      <c r="CB178" s="191"/>
    </row>
    <row r="179" spans="1:80" s="1" customFormat="1" x14ac:dyDescent="0.25">
      <c r="A179" s="57">
        <v>42341</v>
      </c>
      <c r="B179" s="205" t="s">
        <v>14</v>
      </c>
      <c r="C179" s="205" t="s">
        <v>2102</v>
      </c>
      <c r="D179" s="298" t="s">
        <v>240</v>
      </c>
      <c r="E179" s="206" t="s">
        <v>2109</v>
      </c>
      <c r="F179" s="207" t="s">
        <v>2113</v>
      </c>
      <c r="G179" s="205" t="s">
        <v>957</v>
      </c>
      <c r="H179" s="59" t="s">
        <v>2120</v>
      </c>
      <c r="I179" s="298"/>
      <c r="J179" s="298"/>
      <c r="K179" s="29"/>
      <c r="L179" s="30"/>
      <c r="M179" s="30"/>
      <c r="N179" s="30"/>
      <c r="O179" s="42"/>
      <c r="P179" s="42"/>
      <c r="Q179" s="42"/>
      <c r="R179" s="42"/>
      <c r="S179" s="42"/>
      <c r="T179" s="42"/>
      <c r="U179" s="29" t="s">
        <v>3092</v>
      </c>
      <c r="V179" s="41"/>
      <c r="W179" s="29">
        <v>83670</v>
      </c>
      <c r="X179" s="41"/>
      <c r="Y179" s="37"/>
      <c r="Z179" s="41"/>
      <c r="AA179" s="29"/>
      <c r="AB179" s="205" t="s">
        <v>2127</v>
      </c>
      <c r="AC179" s="348" t="s">
        <v>3093</v>
      </c>
      <c r="AD179" s="59"/>
      <c r="AE179" s="348" t="s">
        <v>3094</v>
      </c>
      <c r="AF179" s="348"/>
      <c r="AG179" s="348" t="s">
        <v>2102</v>
      </c>
      <c r="AH179" s="348" t="s">
        <v>3095</v>
      </c>
      <c r="AI179" s="348" t="s">
        <v>2102</v>
      </c>
      <c r="AJ179" s="216"/>
      <c r="AK179" s="348">
        <v>9670</v>
      </c>
      <c r="AL179" s="205" t="s">
        <v>3096</v>
      </c>
      <c r="AM179" s="348" t="s">
        <v>3097</v>
      </c>
      <c r="AN179" s="348" t="s">
        <v>3098</v>
      </c>
      <c r="AO179" s="348" t="s">
        <v>3099</v>
      </c>
      <c r="AP179" s="348"/>
      <c r="AQ179" s="205">
        <v>49670</v>
      </c>
      <c r="AR179" s="55">
        <v>14.91</v>
      </c>
      <c r="AS179" s="27">
        <f t="shared" si="66"/>
        <v>33.581081081081081</v>
      </c>
      <c r="AT179" s="98" t="s">
        <v>2141</v>
      </c>
      <c r="AU179" s="98" t="s">
        <v>2142</v>
      </c>
      <c r="AV179" s="213">
        <v>11.77</v>
      </c>
      <c r="AW179" s="213">
        <v>8.92</v>
      </c>
      <c r="AX179" s="213">
        <v>1.48</v>
      </c>
      <c r="AY179" s="44"/>
      <c r="AZ179" s="44"/>
      <c r="BA179" s="189"/>
      <c r="BB179" s="269">
        <f>10+0.018+0.018</f>
        <v>10.036000000000001</v>
      </c>
      <c r="BC179" s="269">
        <f>2.5+0.018+0.018</f>
        <v>2.5359999999999996</v>
      </c>
      <c r="BD179" s="269">
        <f>12.5+(4*0.018)</f>
        <v>12.571999999999999</v>
      </c>
      <c r="BE179" s="103">
        <f t="shared" si="68"/>
        <v>0.18516996140740738</v>
      </c>
      <c r="BF179" s="270">
        <f>0.22+0.688</f>
        <v>0.90799999999999992</v>
      </c>
      <c r="BG179" s="269">
        <v>15.75</v>
      </c>
      <c r="BH179" s="269">
        <v>13.25</v>
      </c>
      <c r="BI179" s="269">
        <v>11</v>
      </c>
      <c r="BJ179" s="103">
        <f t="shared" si="71"/>
        <v>1.3284505208333333</v>
      </c>
      <c r="BK179" s="220">
        <v>1.08</v>
      </c>
      <c r="BL179" s="220"/>
      <c r="BM179" s="220"/>
      <c r="BN179" s="26" t="s">
        <v>64</v>
      </c>
      <c r="BO179" s="26">
        <v>6</v>
      </c>
      <c r="BP179" s="26">
        <v>9</v>
      </c>
      <c r="BQ179" s="26">
        <v>4</v>
      </c>
      <c r="BR179" s="105">
        <f t="shared" si="67"/>
        <v>216</v>
      </c>
      <c r="BS179" s="32">
        <f t="shared" si="73"/>
        <v>293.95221874999999</v>
      </c>
      <c r="BT179" s="32" t="s">
        <v>69</v>
      </c>
      <c r="BU179" s="26" t="s">
        <v>67</v>
      </c>
      <c r="BV179" s="266"/>
      <c r="BW179" s="266"/>
      <c r="BX179" s="43"/>
    </row>
    <row r="180" spans="1:80" s="1" customFormat="1" x14ac:dyDescent="0.25">
      <c r="A180" s="57">
        <v>42341</v>
      </c>
      <c r="B180" s="216" t="s">
        <v>14</v>
      </c>
      <c r="C180" s="216" t="s">
        <v>2166</v>
      </c>
      <c r="D180" s="298" t="s">
        <v>240</v>
      </c>
      <c r="E180" s="218" t="s">
        <v>2110</v>
      </c>
      <c r="F180" s="207" t="s">
        <v>2168</v>
      </c>
      <c r="G180" s="216" t="s">
        <v>1317</v>
      </c>
      <c r="H180" s="59" t="s">
        <v>2167</v>
      </c>
      <c r="I180" s="298"/>
      <c r="J180" s="298"/>
      <c r="K180" s="29"/>
      <c r="L180" s="30"/>
      <c r="M180" s="30"/>
      <c r="N180" s="30"/>
      <c r="O180" s="42"/>
      <c r="P180" s="42"/>
      <c r="Q180" s="42"/>
      <c r="R180" s="42"/>
      <c r="S180" s="42"/>
      <c r="T180" s="42"/>
      <c r="U180" s="29"/>
      <c r="V180" s="41"/>
      <c r="W180" s="29"/>
      <c r="X180" s="41"/>
      <c r="Y180" s="37"/>
      <c r="Z180" s="41"/>
      <c r="AA180" s="29"/>
      <c r="AB180" s="216"/>
      <c r="AC180" s="298"/>
      <c r="AD180" s="59"/>
      <c r="AE180" s="298"/>
      <c r="AF180" s="298"/>
      <c r="AG180" s="298"/>
      <c r="AH180" s="298"/>
      <c r="AI180" s="298"/>
      <c r="AJ180" s="216"/>
      <c r="AK180" s="298"/>
      <c r="AL180" s="216" t="s">
        <v>2169</v>
      </c>
      <c r="AM180" s="298"/>
      <c r="AN180" s="216" t="s">
        <v>2169</v>
      </c>
      <c r="AO180" s="298"/>
      <c r="AP180" s="298" t="s">
        <v>2170</v>
      </c>
      <c r="AQ180" s="216">
        <v>24053</v>
      </c>
      <c r="AR180" s="221">
        <v>15.95</v>
      </c>
      <c r="AS180" s="27">
        <f t="shared" si="66"/>
        <v>35.923423423423422</v>
      </c>
      <c r="AT180" s="214" t="s">
        <v>2171</v>
      </c>
      <c r="AU180" s="214" t="s">
        <v>2172</v>
      </c>
      <c r="AV180" s="213">
        <v>7.6</v>
      </c>
      <c r="AW180" s="213">
        <v>7.4</v>
      </c>
      <c r="AX180" s="213">
        <v>1.18</v>
      </c>
      <c r="AY180" s="44"/>
      <c r="AZ180" s="44"/>
      <c r="BA180" s="222">
        <v>0.2</v>
      </c>
      <c r="BB180" s="53">
        <f>8.87+0.018+0.018</f>
        <v>8.9060000000000006</v>
      </c>
      <c r="BC180" s="209">
        <f>1.31+0.018+0.018</f>
        <v>1.3460000000000001</v>
      </c>
      <c r="BD180" s="209">
        <f>8.87+(0.018*4)</f>
        <v>8.9419999999999984</v>
      </c>
      <c r="BE180" s="291">
        <f t="shared" si="68"/>
        <v>6.2032413421296298E-2</v>
      </c>
      <c r="BF180" s="224">
        <v>0.12</v>
      </c>
      <c r="BG180" s="294">
        <v>10.5</v>
      </c>
      <c r="BH180" s="294">
        <v>8.75</v>
      </c>
      <c r="BI180" s="294">
        <v>9.75</v>
      </c>
      <c r="BJ180" s="291">
        <f t="shared" si="71"/>
        <v>0.51839192708333337</v>
      </c>
      <c r="BK180" s="223">
        <v>0.28000000000000003</v>
      </c>
      <c r="BL180" s="223"/>
      <c r="BM180" s="223"/>
      <c r="BN180" s="68" t="s">
        <v>64</v>
      </c>
      <c r="BO180" s="209">
        <v>6</v>
      </c>
      <c r="BP180" s="209">
        <v>18</v>
      </c>
      <c r="BQ180" s="209">
        <v>4</v>
      </c>
      <c r="BR180" s="32">
        <f t="shared" si="67"/>
        <v>432</v>
      </c>
      <c r="BS180" s="32">
        <f>((BA180+BF180+BK180)*BP180*BQ180)+50</f>
        <v>93.2</v>
      </c>
      <c r="BT180" s="209" t="s">
        <v>69</v>
      </c>
      <c r="BU180" s="32" t="s">
        <v>67</v>
      </c>
      <c r="BV180" s="266"/>
      <c r="BW180" s="266"/>
      <c r="BX180" s="43"/>
    </row>
    <row r="181" spans="1:80" s="1" customFormat="1" x14ac:dyDescent="0.25">
      <c r="A181" s="57">
        <v>42341</v>
      </c>
      <c r="B181" s="205" t="s">
        <v>14</v>
      </c>
      <c r="C181" s="205" t="s">
        <v>2103</v>
      </c>
      <c r="D181" s="298" t="s">
        <v>240</v>
      </c>
      <c r="E181" s="206" t="s">
        <v>2110</v>
      </c>
      <c r="F181" s="208" t="s">
        <v>2114</v>
      </c>
      <c r="G181" s="205" t="s">
        <v>72</v>
      </c>
      <c r="H181" s="231" t="s">
        <v>2121</v>
      </c>
      <c r="I181" s="298"/>
      <c r="J181" s="298"/>
      <c r="K181" s="29"/>
      <c r="L181" s="30"/>
      <c r="M181" s="30"/>
      <c r="N181" s="30"/>
      <c r="O181" s="42"/>
      <c r="P181" s="42"/>
      <c r="Q181" s="42"/>
      <c r="R181" s="42"/>
      <c r="S181" s="42"/>
      <c r="T181" s="42"/>
      <c r="U181" s="29"/>
      <c r="V181" s="41"/>
      <c r="W181" s="29"/>
      <c r="X181" s="41"/>
      <c r="Y181" s="37"/>
      <c r="Z181" s="41"/>
      <c r="AA181" s="29"/>
      <c r="AB181" s="205" t="s">
        <v>2128</v>
      </c>
      <c r="AC181" s="298"/>
      <c r="AD181" s="59"/>
      <c r="AE181" s="298"/>
      <c r="AF181" s="298"/>
      <c r="AG181" s="298"/>
      <c r="AH181" s="298"/>
      <c r="AI181" s="298"/>
      <c r="AJ181" s="216" t="s">
        <v>2132</v>
      </c>
      <c r="AK181" s="298"/>
      <c r="AL181" s="26" t="s">
        <v>2134</v>
      </c>
      <c r="AM181" s="298"/>
      <c r="AN181" s="298"/>
      <c r="AO181" s="298"/>
      <c r="AP181" s="298"/>
      <c r="AQ181" s="205">
        <v>24419</v>
      </c>
      <c r="AR181" s="55">
        <v>19.45</v>
      </c>
      <c r="AS181" s="27">
        <f t="shared" si="66"/>
        <v>43.806306306306304</v>
      </c>
      <c r="AT181" s="98" t="s">
        <v>2143</v>
      </c>
      <c r="AU181" s="98" t="s">
        <v>2144</v>
      </c>
      <c r="AV181" s="213">
        <v>10.119999999999999</v>
      </c>
      <c r="AW181" s="213">
        <v>7.99</v>
      </c>
      <c r="AX181" s="213">
        <v>1.38</v>
      </c>
      <c r="AY181" s="44"/>
      <c r="AZ181" s="44"/>
      <c r="BA181" s="189"/>
      <c r="BB181" s="269">
        <f>10.75+0.018+0.018</f>
        <v>10.786000000000001</v>
      </c>
      <c r="BC181" s="269">
        <f>1.313+0.018+0.018</f>
        <v>1.349</v>
      </c>
      <c r="BD181" s="269">
        <f>11.906+(4*0.018)</f>
        <v>11.978</v>
      </c>
      <c r="BE181" s="103">
        <f t="shared" si="68"/>
        <v>0.10085860016898149</v>
      </c>
      <c r="BF181" s="220">
        <f>0.18+0.36</f>
        <v>0.54</v>
      </c>
      <c r="BG181" s="269">
        <v>13.25</v>
      </c>
      <c r="BH181" s="269">
        <v>11</v>
      </c>
      <c r="BI181" s="269">
        <v>9</v>
      </c>
      <c r="BJ181" s="103">
        <f t="shared" si="71"/>
        <v>0.75911458333333337</v>
      </c>
      <c r="BK181" s="220">
        <v>0.69</v>
      </c>
      <c r="BL181" s="220"/>
      <c r="BM181" s="220"/>
      <c r="BN181" s="26" t="s">
        <v>64</v>
      </c>
      <c r="BO181" s="26">
        <v>6</v>
      </c>
      <c r="BP181" s="26">
        <v>12</v>
      </c>
      <c r="BQ181" s="26">
        <v>4</v>
      </c>
      <c r="BR181" s="105">
        <f t="shared" si="67"/>
        <v>288</v>
      </c>
      <c r="BS181" s="32">
        <f t="shared" ref="BS181:BS185" si="74">((((BA181+BF181)*BO181)+BJ181)*BP181*BQ181)+50</f>
        <v>241.95750000000001</v>
      </c>
      <c r="BT181" s="105" t="s">
        <v>69</v>
      </c>
      <c r="BU181" s="105" t="s">
        <v>67</v>
      </c>
      <c r="BV181" s="266"/>
      <c r="BW181" s="266"/>
      <c r="BX181" s="43"/>
      <c r="BY181" s="191"/>
    </row>
    <row r="182" spans="1:80" s="1" customFormat="1" x14ac:dyDescent="0.25">
      <c r="A182" s="57">
        <v>42341</v>
      </c>
      <c r="B182" s="205" t="s">
        <v>14</v>
      </c>
      <c r="C182" s="205" t="s">
        <v>2104</v>
      </c>
      <c r="D182" s="298" t="s">
        <v>240</v>
      </c>
      <c r="E182" s="206" t="s">
        <v>2110</v>
      </c>
      <c r="F182" s="208" t="s">
        <v>3414</v>
      </c>
      <c r="G182" s="59" t="s">
        <v>2116</v>
      </c>
      <c r="H182" s="231" t="s">
        <v>2122</v>
      </c>
      <c r="I182" s="298"/>
      <c r="J182" s="298"/>
      <c r="K182" s="29"/>
      <c r="L182" s="30"/>
      <c r="M182" s="30"/>
      <c r="N182" s="30"/>
      <c r="O182" s="42"/>
      <c r="P182" s="42"/>
      <c r="Q182" s="42"/>
      <c r="R182" s="42"/>
      <c r="S182" s="42"/>
      <c r="T182" s="42"/>
      <c r="U182" s="186"/>
      <c r="V182" s="41"/>
      <c r="W182" s="29"/>
      <c r="X182" s="41"/>
      <c r="Y182" s="37"/>
      <c r="Z182" s="41"/>
      <c r="AA182" s="29"/>
      <c r="AB182" s="216"/>
      <c r="AC182" s="298"/>
      <c r="AD182" s="59"/>
      <c r="AE182" s="298"/>
      <c r="AF182" s="298"/>
      <c r="AG182" s="298"/>
      <c r="AH182" s="298"/>
      <c r="AI182" s="298"/>
      <c r="AJ182" s="298"/>
      <c r="AK182" s="298"/>
      <c r="AL182" s="37"/>
      <c r="AM182" s="298"/>
      <c r="AN182" s="298"/>
      <c r="AO182" s="298"/>
      <c r="AP182" s="298"/>
      <c r="AQ182" s="205">
        <v>24021</v>
      </c>
      <c r="AR182" s="55">
        <v>45.27</v>
      </c>
      <c r="AS182" s="27">
        <f t="shared" si="66"/>
        <v>101.95945945945947</v>
      </c>
      <c r="AT182" s="98" t="s">
        <v>2145</v>
      </c>
      <c r="AU182" s="98" t="s">
        <v>2146</v>
      </c>
      <c r="AV182" s="213">
        <v>8.4600000000000009</v>
      </c>
      <c r="AW182" s="213">
        <v>8.4600000000000009</v>
      </c>
      <c r="AX182" s="213">
        <v>1.1599999999999999</v>
      </c>
      <c r="AY182" s="44"/>
      <c r="AZ182" s="44"/>
      <c r="BA182" s="189"/>
      <c r="BB182" s="269">
        <f>9.06+0.018+0.018</f>
        <v>9.0960000000000019</v>
      </c>
      <c r="BC182" s="269">
        <f>1.37+0.018+0.018</f>
        <v>1.4060000000000001</v>
      </c>
      <c r="BD182" s="269">
        <f>9.25+(4*0.018)</f>
        <v>9.3219999999999992</v>
      </c>
      <c r="BE182" s="103">
        <f t="shared" si="68"/>
        <v>6.8992380944444473E-2</v>
      </c>
      <c r="BF182" s="220">
        <f>0.12+0.32</f>
        <v>0.44</v>
      </c>
      <c r="BG182" s="269">
        <v>10.5</v>
      </c>
      <c r="BH182" s="269">
        <v>8.75</v>
      </c>
      <c r="BI182" s="269">
        <v>9.75</v>
      </c>
      <c r="BJ182" s="103">
        <f t="shared" si="71"/>
        <v>0.51839192708333337</v>
      </c>
      <c r="BK182" s="220">
        <v>0.28000000000000003</v>
      </c>
      <c r="BL182" s="220"/>
      <c r="BM182" s="220"/>
      <c r="BN182" s="26" t="s">
        <v>64</v>
      </c>
      <c r="BO182" s="26">
        <v>6</v>
      </c>
      <c r="BP182" s="26">
        <v>18</v>
      </c>
      <c r="BQ182" s="26">
        <v>4</v>
      </c>
      <c r="BR182" s="105">
        <f t="shared" si="67"/>
        <v>432</v>
      </c>
      <c r="BS182" s="32">
        <f t="shared" si="74"/>
        <v>277.40421875000004</v>
      </c>
      <c r="BT182" s="32" t="s">
        <v>69</v>
      </c>
      <c r="BU182" s="26" t="s">
        <v>2173</v>
      </c>
      <c r="BV182" s="266"/>
      <c r="BW182" s="266"/>
      <c r="BX182" s="43"/>
    </row>
    <row r="183" spans="1:80" s="1" customFormat="1" x14ac:dyDescent="0.25">
      <c r="A183" s="57">
        <v>42341</v>
      </c>
      <c r="B183" s="205" t="s">
        <v>14</v>
      </c>
      <c r="C183" s="205" t="s">
        <v>2036</v>
      </c>
      <c r="D183" s="298" t="s">
        <v>240</v>
      </c>
      <c r="E183" s="206" t="s">
        <v>2110</v>
      </c>
      <c r="F183" s="361" t="s">
        <v>3415</v>
      </c>
      <c r="G183" s="205" t="s">
        <v>1399</v>
      </c>
      <c r="H183" s="237" t="s">
        <v>2047</v>
      </c>
      <c r="I183" s="298"/>
      <c r="J183" s="298"/>
      <c r="K183" s="29"/>
      <c r="L183" s="30"/>
      <c r="M183" s="30"/>
      <c r="N183" s="30"/>
      <c r="O183" s="42"/>
      <c r="P183" s="42"/>
      <c r="Q183" s="42"/>
      <c r="R183" s="42"/>
      <c r="S183" s="42"/>
      <c r="T183" s="42"/>
      <c r="U183" s="29"/>
      <c r="V183" s="41"/>
      <c r="W183" s="29"/>
      <c r="X183" s="41"/>
      <c r="Y183" s="37"/>
      <c r="Z183" s="41"/>
      <c r="AA183" s="29"/>
      <c r="AB183" s="216"/>
      <c r="AC183" s="298"/>
      <c r="AD183" s="59"/>
      <c r="AE183" s="298"/>
      <c r="AF183" s="298"/>
      <c r="AG183" s="298"/>
      <c r="AH183" s="298"/>
      <c r="AI183" s="298"/>
      <c r="AJ183" s="298"/>
      <c r="AK183" s="298"/>
      <c r="AL183" s="37"/>
      <c r="AM183" s="298"/>
      <c r="AN183" s="298"/>
      <c r="AO183" s="298"/>
      <c r="AP183" s="298"/>
      <c r="AQ183" s="205" t="s">
        <v>2080</v>
      </c>
      <c r="AR183" s="55">
        <v>41.96</v>
      </c>
      <c r="AS183" s="27">
        <f t="shared" si="66"/>
        <v>94.50450450450451</v>
      </c>
      <c r="AT183" s="98" t="s">
        <v>2095</v>
      </c>
      <c r="AU183" s="98" t="s">
        <v>2147</v>
      </c>
      <c r="AV183" s="213">
        <v>10.75</v>
      </c>
      <c r="AW183" s="213">
        <v>7.76</v>
      </c>
      <c r="AX183" s="213">
        <v>0.4</v>
      </c>
      <c r="AY183" s="44"/>
      <c r="AZ183" s="44"/>
      <c r="BA183" s="189"/>
      <c r="BB183" s="269">
        <f>8.281+0.018+0.018</f>
        <v>8.3170000000000019</v>
      </c>
      <c r="BC183" s="269">
        <f>1.375+0.018+0.018</f>
        <v>1.411</v>
      </c>
      <c r="BD183" s="269">
        <f>11.25+(4*0.018)</f>
        <v>11.321999999999999</v>
      </c>
      <c r="BE183" s="103">
        <f t="shared" si="68"/>
        <v>7.6890578364583351E-2</v>
      </c>
      <c r="BF183" s="220">
        <f>0.12+0.27</f>
        <v>0.39</v>
      </c>
      <c r="BG183" s="269">
        <f>11.62+0.25</f>
        <v>11.87</v>
      </c>
      <c r="BH183" s="269">
        <v>9</v>
      </c>
      <c r="BI183" s="269">
        <v>9</v>
      </c>
      <c r="BJ183" s="103">
        <f t="shared" si="71"/>
        <v>0.55640624999999999</v>
      </c>
      <c r="BK183" s="220">
        <v>0.53</v>
      </c>
      <c r="BL183" s="220"/>
      <c r="BM183" s="220"/>
      <c r="BN183" s="26" t="s">
        <v>64</v>
      </c>
      <c r="BO183" s="26">
        <v>6</v>
      </c>
      <c r="BP183" s="26">
        <v>17</v>
      </c>
      <c r="BQ183" s="26">
        <v>5</v>
      </c>
      <c r="BR183" s="105">
        <f t="shared" si="67"/>
        <v>510</v>
      </c>
      <c r="BS183" s="32">
        <f t="shared" si="74"/>
        <v>296.19453125000001</v>
      </c>
      <c r="BT183" s="32" t="s">
        <v>69</v>
      </c>
      <c r="BU183" s="26" t="s">
        <v>2173</v>
      </c>
      <c r="BV183" s="43"/>
      <c r="BW183" s="43"/>
      <c r="BX183" s="43"/>
    </row>
    <row r="184" spans="1:80" s="1" customFormat="1" ht="30" x14ac:dyDescent="0.25">
      <c r="A184" s="57">
        <v>42341</v>
      </c>
      <c r="B184" s="205" t="s">
        <v>14</v>
      </c>
      <c r="C184" s="205" t="s">
        <v>2105</v>
      </c>
      <c r="D184" s="298" t="s">
        <v>240</v>
      </c>
      <c r="E184" s="206" t="s">
        <v>2110</v>
      </c>
      <c r="F184" s="207" t="s">
        <v>3416</v>
      </c>
      <c r="G184" s="205" t="s">
        <v>2117</v>
      </c>
      <c r="H184" s="102" t="s">
        <v>2123</v>
      </c>
      <c r="I184" s="298"/>
      <c r="J184" s="298"/>
      <c r="K184" s="29"/>
      <c r="L184" s="30"/>
      <c r="M184" s="30"/>
      <c r="N184" s="30"/>
      <c r="O184" s="42"/>
      <c r="P184" s="42"/>
      <c r="Q184" s="42"/>
      <c r="R184" s="42"/>
      <c r="S184" s="42"/>
      <c r="T184" s="42"/>
      <c r="U184" s="29"/>
      <c r="V184" s="41"/>
      <c r="W184" s="29"/>
      <c r="X184" s="41"/>
      <c r="Y184" s="37"/>
      <c r="Z184" s="41"/>
      <c r="AA184" s="29"/>
      <c r="AB184" s="216"/>
      <c r="AC184" s="298"/>
      <c r="AD184" s="59"/>
      <c r="AE184" s="298"/>
      <c r="AF184" s="298"/>
      <c r="AG184" s="298"/>
      <c r="AH184" s="298"/>
      <c r="AI184" s="298"/>
      <c r="AJ184" s="298"/>
      <c r="AK184" s="298"/>
      <c r="AL184" s="37"/>
      <c r="AM184" s="298"/>
      <c r="AN184" s="298"/>
      <c r="AO184" s="298"/>
      <c r="AP184" s="298"/>
      <c r="AQ184" s="205">
        <v>24439</v>
      </c>
      <c r="AR184" s="55">
        <v>39.36</v>
      </c>
      <c r="AS184" s="27">
        <f t="shared" si="66"/>
        <v>88.648648648648646</v>
      </c>
      <c r="AT184" s="98" t="s">
        <v>2148</v>
      </c>
      <c r="AU184" s="98" t="s">
        <v>2149</v>
      </c>
      <c r="AV184" s="213">
        <v>9.9600000000000009</v>
      </c>
      <c r="AW184" s="213">
        <v>10.08</v>
      </c>
      <c r="AX184" s="213">
        <v>1.38</v>
      </c>
      <c r="AY184" s="44"/>
      <c r="AZ184" s="44"/>
      <c r="BA184" s="189"/>
      <c r="BB184" s="269">
        <f>10.031+0.018+0.018</f>
        <v>10.067000000000002</v>
      </c>
      <c r="BC184" s="269">
        <f>1.61+0.018+0.018</f>
        <v>1.6460000000000001</v>
      </c>
      <c r="BD184" s="269">
        <f>10.625+(4*0.018)</f>
        <v>10.696999999999999</v>
      </c>
      <c r="BE184" s="103">
        <f t="shared" si="68"/>
        <v>0.10257656629282409</v>
      </c>
      <c r="BF184" s="220">
        <f>0.15+0.23</f>
        <v>0.38</v>
      </c>
      <c r="BG184" s="269">
        <v>12</v>
      </c>
      <c r="BH184" s="269">
        <v>10.37</v>
      </c>
      <c r="BI184" s="269">
        <v>10.62</v>
      </c>
      <c r="BJ184" s="103">
        <f t="shared" si="71"/>
        <v>0.76478749999999995</v>
      </c>
      <c r="BK184" s="220">
        <v>0.66</v>
      </c>
      <c r="BL184" s="220"/>
      <c r="BM184" s="220"/>
      <c r="BN184" s="26" t="s">
        <v>64</v>
      </c>
      <c r="BO184" s="26">
        <v>6</v>
      </c>
      <c r="BP184" s="26">
        <v>12</v>
      </c>
      <c r="BQ184" s="26">
        <v>4</v>
      </c>
      <c r="BR184" s="105">
        <f t="shared" si="67"/>
        <v>288</v>
      </c>
      <c r="BS184" s="32">
        <f t="shared" si="74"/>
        <v>196.1498</v>
      </c>
      <c r="BT184" s="32" t="s">
        <v>69</v>
      </c>
      <c r="BU184" s="26" t="s">
        <v>2173</v>
      </c>
      <c r="BV184" s="43"/>
      <c r="BW184" s="43"/>
      <c r="BX184" s="43"/>
    </row>
    <row r="185" spans="1:80" s="1" customFormat="1" x14ac:dyDescent="0.25">
      <c r="A185" s="57">
        <v>42341</v>
      </c>
      <c r="B185" s="205" t="s">
        <v>14</v>
      </c>
      <c r="C185" s="205" t="s">
        <v>2106</v>
      </c>
      <c r="D185" s="298" t="s">
        <v>240</v>
      </c>
      <c r="E185" s="206" t="s">
        <v>2110</v>
      </c>
      <c r="F185" s="362" t="s">
        <v>3417</v>
      </c>
      <c r="G185" s="205" t="s">
        <v>1278</v>
      </c>
      <c r="H185" s="191" t="s">
        <v>2124</v>
      </c>
      <c r="I185" s="298"/>
      <c r="J185" s="298"/>
      <c r="K185" s="29"/>
      <c r="L185" s="30"/>
      <c r="M185" s="30"/>
      <c r="N185" s="30"/>
      <c r="O185" s="42"/>
      <c r="P185" s="42"/>
      <c r="Q185" s="42"/>
      <c r="R185" s="42"/>
      <c r="S185" s="42"/>
      <c r="T185" s="42"/>
      <c r="U185" s="29"/>
      <c r="V185" s="41"/>
      <c r="W185" s="29"/>
      <c r="X185" s="41"/>
      <c r="Y185" s="37"/>
      <c r="Z185" s="41"/>
      <c r="AA185" s="29"/>
      <c r="AB185" s="216"/>
      <c r="AC185" s="298"/>
      <c r="AD185" s="59"/>
      <c r="AE185" s="298"/>
      <c r="AF185" s="298"/>
      <c r="AG185" s="298"/>
      <c r="AH185" s="298"/>
      <c r="AI185" s="298"/>
      <c r="AJ185" s="298"/>
      <c r="AK185" s="298"/>
      <c r="AL185" s="37"/>
      <c r="AM185" s="298"/>
      <c r="AN185" s="298"/>
      <c r="AO185" s="298"/>
      <c r="AP185" s="298"/>
      <c r="AQ185" s="29"/>
      <c r="AR185" s="55">
        <v>43.87</v>
      </c>
      <c r="AS185" s="27">
        <f t="shared" si="66"/>
        <v>98.806306306306297</v>
      </c>
      <c r="AT185" s="98" t="s">
        <v>2150</v>
      </c>
      <c r="AU185" s="98" t="s">
        <v>2151</v>
      </c>
      <c r="AV185" s="213">
        <v>9.67</v>
      </c>
      <c r="AW185" s="213">
        <v>8.5</v>
      </c>
      <c r="AX185" s="213">
        <v>0.8</v>
      </c>
      <c r="AY185" s="44"/>
      <c r="AZ185" s="44"/>
      <c r="BA185" s="189"/>
      <c r="BB185" s="269">
        <f>8.93+0.018+0.018</f>
        <v>8.9660000000000011</v>
      </c>
      <c r="BC185" s="269">
        <f>1.31+0.018+0.018</f>
        <v>1.3460000000000001</v>
      </c>
      <c r="BD185" s="269">
        <f>9.75+(4*0.018)</f>
        <v>9.8219999999999992</v>
      </c>
      <c r="BE185" s="103">
        <f t="shared" si="68"/>
        <v>6.8596188652777779E-2</v>
      </c>
      <c r="BF185" s="220">
        <f>0.12+0.47</f>
        <v>0.59</v>
      </c>
      <c r="BG185" s="269">
        <v>10.5</v>
      </c>
      <c r="BH185" s="269">
        <v>8.75</v>
      </c>
      <c r="BI185" s="269">
        <v>9.75</v>
      </c>
      <c r="BJ185" s="103">
        <f t="shared" si="71"/>
        <v>0.51839192708333337</v>
      </c>
      <c r="BK185" s="220">
        <v>0.28000000000000003</v>
      </c>
      <c r="BL185" s="220"/>
      <c r="BM185" s="220"/>
      <c r="BN185" s="26" t="s">
        <v>64</v>
      </c>
      <c r="BO185" s="26">
        <v>6</v>
      </c>
      <c r="BP185" s="26">
        <v>18</v>
      </c>
      <c r="BQ185" s="26">
        <v>4</v>
      </c>
      <c r="BR185" s="105">
        <f t="shared" si="67"/>
        <v>432</v>
      </c>
      <c r="BS185" s="32">
        <f t="shared" si="74"/>
        <v>342.20421875</v>
      </c>
      <c r="BT185" s="32" t="s">
        <v>69</v>
      </c>
      <c r="BU185" s="26" t="s">
        <v>2173</v>
      </c>
      <c r="BV185" s="43"/>
      <c r="BW185" s="43"/>
      <c r="BX185" s="43"/>
    </row>
    <row r="186" spans="1:80" s="1" customFormat="1" x14ac:dyDescent="0.25">
      <c r="A186" s="57">
        <v>42341</v>
      </c>
      <c r="B186" s="205" t="s">
        <v>14</v>
      </c>
      <c r="C186" s="205" t="s">
        <v>2107</v>
      </c>
      <c r="D186" s="298" t="s">
        <v>240</v>
      </c>
      <c r="E186" s="206" t="s">
        <v>2110</v>
      </c>
      <c r="F186" s="363" t="s">
        <v>3418</v>
      </c>
      <c r="G186" s="205" t="s">
        <v>993</v>
      </c>
      <c r="H186" s="116" t="s">
        <v>2125</v>
      </c>
      <c r="I186" s="298"/>
      <c r="J186" s="298"/>
      <c r="K186" s="29"/>
      <c r="L186" s="30"/>
      <c r="M186" s="30"/>
      <c r="N186" s="30"/>
      <c r="O186" s="42"/>
      <c r="P186" s="42"/>
      <c r="Q186" s="42"/>
      <c r="R186" s="42"/>
      <c r="S186" s="42"/>
      <c r="T186" s="42"/>
      <c r="U186" s="29"/>
      <c r="V186" s="41"/>
      <c r="W186" s="29"/>
      <c r="X186" s="41"/>
      <c r="Y186" s="37"/>
      <c r="Z186" s="41"/>
      <c r="AA186" s="29"/>
      <c r="AB186" s="216"/>
      <c r="AC186" s="298"/>
      <c r="AD186" s="216"/>
      <c r="AE186" s="298"/>
      <c r="AF186" s="298"/>
      <c r="AG186" s="298"/>
      <c r="AH186" s="216"/>
      <c r="AI186" s="298"/>
      <c r="AJ186" s="298"/>
      <c r="AK186" s="298"/>
      <c r="AL186" s="37"/>
      <c r="AM186" s="298"/>
      <c r="AN186" s="298"/>
      <c r="AO186" s="298"/>
      <c r="AP186" s="298"/>
      <c r="AQ186" s="29"/>
      <c r="AR186" s="55">
        <v>18.940000000000001</v>
      </c>
      <c r="AS186" s="27">
        <f t="shared" si="66"/>
        <v>42.657657657657658</v>
      </c>
      <c r="AT186" s="98" t="s">
        <v>2152</v>
      </c>
      <c r="AU186" s="98" t="s">
        <v>2153</v>
      </c>
      <c r="AV186" s="213">
        <v>9.5299999999999994</v>
      </c>
      <c r="AW186" s="213">
        <v>8.74</v>
      </c>
      <c r="AX186" s="213">
        <v>2.91</v>
      </c>
      <c r="AY186" s="44"/>
      <c r="AZ186" s="44"/>
      <c r="BA186" s="189"/>
      <c r="BB186" s="202">
        <v>10.346</v>
      </c>
      <c r="BC186" s="202">
        <v>2.9660000000000002</v>
      </c>
      <c r="BD186" s="202">
        <v>10.382</v>
      </c>
      <c r="BE186" s="291">
        <v>0.18436603133796298</v>
      </c>
      <c r="BF186" s="271">
        <v>0.26</v>
      </c>
      <c r="BG186" s="202">
        <v>18.62</v>
      </c>
      <c r="BH186" s="202">
        <v>10.75</v>
      </c>
      <c r="BI186" s="202">
        <v>11</v>
      </c>
      <c r="BJ186" s="291">
        <v>1.2741984953703704</v>
      </c>
      <c r="BK186" s="271">
        <v>0.91</v>
      </c>
      <c r="BL186" s="271"/>
      <c r="BM186" s="271"/>
      <c r="BN186" s="209" t="s">
        <v>64</v>
      </c>
      <c r="BO186" s="209">
        <v>6</v>
      </c>
      <c r="BP186" s="209">
        <v>8</v>
      </c>
      <c r="BQ186" s="209">
        <v>4</v>
      </c>
      <c r="BR186" s="32">
        <v>192</v>
      </c>
      <c r="BS186" s="32">
        <v>190.61435185185186</v>
      </c>
      <c r="BT186" s="32" t="s">
        <v>69</v>
      </c>
      <c r="BU186" s="26" t="s">
        <v>2173</v>
      </c>
      <c r="BV186" s="266"/>
      <c r="BW186" s="43"/>
      <c r="BX186" s="43"/>
    </row>
    <row r="187" spans="1:80" s="1" customFormat="1" x14ac:dyDescent="0.25">
      <c r="A187" s="57">
        <v>42341</v>
      </c>
      <c r="B187" s="205" t="s">
        <v>14</v>
      </c>
      <c r="C187" s="205" t="s">
        <v>2040</v>
      </c>
      <c r="D187" s="298" t="s">
        <v>240</v>
      </c>
      <c r="E187" s="206" t="s">
        <v>2111</v>
      </c>
      <c r="F187" s="208" t="s">
        <v>3419</v>
      </c>
      <c r="G187" s="205" t="s">
        <v>2118</v>
      </c>
      <c r="H187" s="37">
        <v>1131840225</v>
      </c>
      <c r="I187" s="298"/>
      <c r="J187" s="298"/>
      <c r="K187" s="29"/>
      <c r="L187" s="30"/>
      <c r="M187" s="30"/>
      <c r="N187" s="30"/>
      <c r="O187" s="42"/>
      <c r="P187" s="42"/>
      <c r="Q187" s="42"/>
      <c r="R187" s="42"/>
      <c r="S187" s="42"/>
      <c r="T187" s="42"/>
      <c r="U187" s="29"/>
      <c r="V187" s="41"/>
      <c r="W187" s="29"/>
      <c r="X187" s="41"/>
      <c r="Y187" s="37"/>
      <c r="Z187" s="41"/>
      <c r="AA187" s="29"/>
      <c r="AB187" s="216"/>
      <c r="AC187" s="298"/>
      <c r="AD187" s="216"/>
      <c r="AE187" s="298"/>
      <c r="AF187" s="298"/>
      <c r="AG187" s="298"/>
      <c r="AH187" s="205" t="s">
        <v>2131</v>
      </c>
      <c r="AI187" s="298"/>
      <c r="AJ187" s="298"/>
      <c r="AK187" s="298"/>
      <c r="AL187" s="37"/>
      <c r="AM187" s="298"/>
      <c r="AN187" s="298"/>
      <c r="AO187" s="298"/>
      <c r="AP187" s="298"/>
      <c r="AQ187" s="29"/>
      <c r="AR187" s="55">
        <v>16.93</v>
      </c>
      <c r="AS187" s="27">
        <f t="shared" si="66"/>
        <v>38.130630630630627</v>
      </c>
      <c r="AT187" s="98" t="s">
        <v>2099</v>
      </c>
      <c r="AU187" s="98" t="s">
        <v>2154</v>
      </c>
      <c r="AV187" s="44"/>
      <c r="AW187" s="44"/>
      <c r="AX187" s="44"/>
      <c r="AY187" s="215">
        <v>2.5590000000000002</v>
      </c>
      <c r="AZ187" s="215">
        <v>4.0549999999999997</v>
      </c>
      <c r="BA187" s="192"/>
      <c r="BB187" s="269">
        <f>2.755+0.018+0.018</f>
        <v>2.7909999999999995</v>
      </c>
      <c r="BC187" s="269">
        <f>2.755+0.018+0.018</f>
        <v>2.7909999999999995</v>
      </c>
      <c r="BD187" s="269">
        <f>4.842+(4*0.018)</f>
        <v>4.9139999999999997</v>
      </c>
      <c r="BE187" s="103">
        <f t="shared" si="68"/>
        <v>2.2151905343749986E-2</v>
      </c>
      <c r="BF187" s="270">
        <f>0.1+0.25</f>
        <v>0.35</v>
      </c>
      <c r="BG187" s="269">
        <f>11.42+0.25</f>
        <v>11.67</v>
      </c>
      <c r="BH187" s="269">
        <f>8.66+0.25</f>
        <v>8.91</v>
      </c>
      <c r="BI187" s="269">
        <v>5.93</v>
      </c>
      <c r="BJ187" s="103">
        <f t="shared" si="71"/>
        <v>0.35682848437499998</v>
      </c>
      <c r="BK187" s="26">
        <v>0.25</v>
      </c>
      <c r="BL187" s="26"/>
      <c r="BM187" s="26"/>
      <c r="BN187" s="26" t="s">
        <v>64</v>
      </c>
      <c r="BO187" s="26">
        <v>12</v>
      </c>
      <c r="BP187" s="26">
        <v>17</v>
      </c>
      <c r="BQ187" s="26">
        <v>7</v>
      </c>
      <c r="BR187" s="105">
        <f t="shared" si="67"/>
        <v>1428</v>
      </c>
      <c r="BS187" s="32">
        <f>((((BA187+BF187)*BO187)+BJ187)*BP187*BQ187)+50</f>
        <v>592.26258964062492</v>
      </c>
      <c r="BT187" s="32" t="s">
        <v>255</v>
      </c>
      <c r="BU187" s="245" t="s">
        <v>1910</v>
      </c>
      <c r="BV187" s="266"/>
      <c r="BW187" s="266"/>
      <c r="BX187" s="191"/>
    </row>
    <row r="188" spans="1:80" s="1" customFormat="1" ht="30" x14ac:dyDescent="0.25">
      <c r="A188" s="57">
        <v>42341</v>
      </c>
      <c r="B188" s="205" t="s">
        <v>14</v>
      </c>
      <c r="C188" s="205" t="s">
        <v>3407</v>
      </c>
      <c r="D188" s="298" t="s">
        <v>240</v>
      </c>
      <c r="E188" s="206" t="s">
        <v>3408</v>
      </c>
      <c r="F188" s="208" t="s">
        <v>2115</v>
      </c>
      <c r="G188" s="205" t="s">
        <v>2118</v>
      </c>
      <c r="H188" s="37">
        <v>2761800009</v>
      </c>
      <c r="I188" s="298"/>
      <c r="J188" s="298"/>
      <c r="K188" s="29"/>
      <c r="L188" s="30"/>
      <c r="M188" s="30"/>
      <c r="N188" s="30"/>
      <c r="O188" s="42"/>
      <c r="P188" s="42"/>
      <c r="Q188" s="42"/>
      <c r="R188" s="42"/>
      <c r="S188" s="42"/>
      <c r="T188" s="42"/>
      <c r="U188" s="29"/>
      <c r="V188" s="41"/>
      <c r="W188" s="29"/>
      <c r="X188" s="41"/>
      <c r="Y188" s="37"/>
      <c r="Z188" s="41"/>
      <c r="AA188" s="29"/>
      <c r="AB188" s="205"/>
      <c r="AC188" s="298"/>
      <c r="AD188" s="59"/>
      <c r="AE188" s="298"/>
      <c r="AF188" s="298"/>
      <c r="AG188" s="298"/>
      <c r="AH188" s="298"/>
      <c r="AI188" s="298"/>
      <c r="AJ188" s="298"/>
      <c r="AK188" s="298"/>
      <c r="AL188" s="37"/>
      <c r="AM188" s="298"/>
      <c r="AN188" s="298"/>
      <c r="AO188" s="298"/>
      <c r="AP188" s="298"/>
      <c r="AQ188" s="29"/>
      <c r="AR188" s="55">
        <v>29.88</v>
      </c>
      <c r="AS188" s="27">
        <f t="shared" si="66"/>
        <v>67.297297297297291</v>
      </c>
      <c r="AT188" s="98" t="s">
        <v>2155</v>
      </c>
      <c r="AU188" s="98" t="s">
        <v>2156</v>
      </c>
      <c r="AV188" s="44"/>
      <c r="AW188" s="44"/>
      <c r="AX188" s="44"/>
      <c r="AY188" s="293">
        <v>2.56</v>
      </c>
      <c r="AZ188" s="293">
        <v>6.59</v>
      </c>
      <c r="BA188" s="192"/>
      <c r="BB188" s="272">
        <f>2.87+0.018+0.018</f>
        <v>2.9059999999999997</v>
      </c>
      <c r="BC188" s="273">
        <f>2.87+0.018+0.018</f>
        <v>2.9059999999999997</v>
      </c>
      <c r="BD188" s="273">
        <f>6.62+(4*0.018)</f>
        <v>6.6920000000000002</v>
      </c>
      <c r="BE188" s="292">
        <f t="shared" si="68"/>
        <v>3.2704191268518513E-2</v>
      </c>
      <c r="BF188" s="274">
        <f>0.08+0.5</f>
        <v>0.57999999999999996</v>
      </c>
      <c r="BG188" s="269">
        <v>13.5</v>
      </c>
      <c r="BH188" s="269">
        <v>9.25</v>
      </c>
      <c r="BI188" s="269">
        <v>7.25</v>
      </c>
      <c r="BJ188" s="103">
        <f t="shared" si="71"/>
        <v>0.52392578125</v>
      </c>
      <c r="BK188" s="220">
        <v>0.56999999999999995</v>
      </c>
      <c r="BL188" s="220"/>
      <c r="BM188" s="220"/>
      <c r="BN188" s="26" t="s">
        <v>64</v>
      </c>
      <c r="BO188" s="26">
        <v>12</v>
      </c>
      <c r="BP188" s="26">
        <v>13</v>
      </c>
      <c r="BQ188" s="26">
        <v>6</v>
      </c>
      <c r="BR188" s="105">
        <f t="shared" si="67"/>
        <v>936</v>
      </c>
      <c r="BS188" s="32">
        <f>((((BA188+BF188)*BO188)+BJ188)*BP188*BQ188)+50</f>
        <v>633.74621093749988</v>
      </c>
      <c r="BT188" s="32" t="s">
        <v>2157</v>
      </c>
      <c r="BU188" s="245" t="s">
        <v>1910</v>
      </c>
      <c r="BV188" s="43"/>
      <c r="BW188" s="43"/>
      <c r="BX188" s="43"/>
    </row>
    <row r="189" spans="1:80" s="1" customFormat="1" ht="30" x14ac:dyDescent="0.25">
      <c r="A189" s="57">
        <v>42341</v>
      </c>
      <c r="B189" s="216" t="s">
        <v>14</v>
      </c>
      <c r="C189" s="216" t="s">
        <v>2159</v>
      </c>
      <c r="D189" s="298" t="s">
        <v>73</v>
      </c>
      <c r="E189" s="218" t="s">
        <v>78</v>
      </c>
      <c r="F189" s="208" t="s">
        <v>3420</v>
      </c>
      <c r="G189" s="216" t="s">
        <v>187</v>
      </c>
      <c r="H189" s="37">
        <v>19256348</v>
      </c>
      <c r="I189" s="298"/>
      <c r="J189" s="298"/>
      <c r="K189" s="29"/>
      <c r="L189" s="30"/>
      <c r="M189" s="30"/>
      <c r="N189" s="30"/>
      <c r="O189" s="42"/>
      <c r="P189" s="42"/>
      <c r="Q189" s="42"/>
      <c r="R189" s="42"/>
      <c r="S189" s="42"/>
      <c r="T189" s="42"/>
      <c r="U189" s="29" t="s">
        <v>2160</v>
      </c>
      <c r="V189" s="41"/>
      <c r="W189" s="29"/>
      <c r="X189" s="41"/>
      <c r="Y189" s="37"/>
      <c r="Z189" s="41"/>
      <c r="AA189" s="29"/>
      <c r="AB189" s="216" t="s">
        <v>2161</v>
      </c>
      <c r="AC189" s="298"/>
      <c r="AD189" s="59"/>
      <c r="AE189" s="298"/>
      <c r="AF189" s="298"/>
      <c r="AG189" s="298"/>
      <c r="AH189" s="298"/>
      <c r="AI189" s="298"/>
      <c r="AJ189" s="298"/>
      <c r="AK189" s="298"/>
      <c r="AL189" s="37" t="s">
        <v>2162</v>
      </c>
      <c r="AM189" s="298"/>
      <c r="AN189" s="298" t="s">
        <v>2163</v>
      </c>
      <c r="AO189" s="298"/>
      <c r="AP189" s="298" t="s">
        <v>2163</v>
      </c>
      <c r="AQ189" s="29">
        <v>33837</v>
      </c>
      <c r="AR189" s="221">
        <v>173.32</v>
      </c>
      <c r="AS189" s="27">
        <f t="shared" si="66"/>
        <v>390.36036036036035</v>
      </c>
      <c r="AT189" s="98" t="s">
        <v>2164</v>
      </c>
      <c r="AU189" s="98" t="s">
        <v>2165</v>
      </c>
      <c r="AV189" s="44"/>
      <c r="AW189" s="44"/>
      <c r="AX189" s="44"/>
      <c r="AY189" s="215">
        <v>4.0199999999999996</v>
      </c>
      <c r="AZ189" s="215">
        <v>6.44</v>
      </c>
      <c r="BA189" s="222">
        <v>1.28</v>
      </c>
      <c r="BB189" s="209">
        <f>4.43+0.018+0.018</f>
        <v>4.4659999999999993</v>
      </c>
      <c r="BC189" s="209">
        <f>4.43+0.018+0.018</f>
        <v>4.4659999999999993</v>
      </c>
      <c r="BD189" s="209">
        <f>10.37+0.018+0.018+0.018+0.018</f>
        <v>10.442000000000002</v>
      </c>
      <c r="BE189" s="291">
        <f t="shared" si="68"/>
        <v>0.12052506883796293</v>
      </c>
      <c r="BF189" s="224">
        <v>0.27</v>
      </c>
      <c r="BG189" s="294">
        <v>14.5</v>
      </c>
      <c r="BH189" s="294">
        <f>9.37+0.25</f>
        <v>9.6199999999999992</v>
      </c>
      <c r="BI189" s="294">
        <v>11.56</v>
      </c>
      <c r="BJ189" s="291">
        <f t="shared" si="71"/>
        <v>0.93316226851851858</v>
      </c>
      <c r="BK189" s="223">
        <v>1.24</v>
      </c>
      <c r="BL189" s="223"/>
      <c r="BM189" s="223"/>
      <c r="BN189" s="68" t="s">
        <v>64</v>
      </c>
      <c r="BO189" s="209">
        <v>6</v>
      </c>
      <c r="BP189" s="209">
        <v>12</v>
      </c>
      <c r="BQ189" s="209">
        <v>3</v>
      </c>
      <c r="BR189" s="32">
        <f t="shared" si="67"/>
        <v>216</v>
      </c>
      <c r="BS189" s="32">
        <f>((BA189+BF189+BK189)*BP189*BQ189)+50</f>
        <v>150.44</v>
      </c>
      <c r="BT189" s="209" t="s">
        <v>62</v>
      </c>
      <c r="BU189" s="32" t="s">
        <v>67</v>
      </c>
      <c r="BV189" s="32" t="s">
        <v>67</v>
      </c>
      <c r="BW189" s="43"/>
      <c r="BX189" s="43"/>
    </row>
    <row r="190" spans="1:80" s="1" customFormat="1" ht="60" customHeight="1" x14ac:dyDescent="0.25">
      <c r="A190" s="57">
        <v>42264</v>
      </c>
      <c r="B190" s="298" t="s">
        <v>14</v>
      </c>
      <c r="C190" s="37" t="s">
        <v>2030</v>
      </c>
      <c r="D190" s="298" t="s">
        <v>240</v>
      </c>
      <c r="E190" s="107" t="s">
        <v>85</v>
      </c>
      <c r="F190" s="355" t="s">
        <v>3421</v>
      </c>
      <c r="G190" s="188" t="s">
        <v>995</v>
      </c>
      <c r="H190" s="298" t="s">
        <v>2044</v>
      </c>
      <c r="I190" s="298"/>
      <c r="J190" s="298"/>
      <c r="K190" s="29"/>
      <c r="L190" s="30"/>
      <c r="M190" s="30"/>
      <c r="N190" s="30"/>
      <c r="O190" s="42"/>
      <c r="P190" s="42"/>
      <c r="Q190" s="42"/>
      <c r="R190" s="42"/>
      <c r="S190" s="42"/>
      <c r="T190" s="42"/>
      <c r="U190" s="29"/>
      <c r="V190" s="41"/>
      <c r="W190" s="29"/>
      <c r="X190" s="41"/>
      <c r="Y190" s="37"/>
      <c r="Z190" s="41"/>
      <c r="AA190" s="29"/>
      <c r="AB190" s="59" t="s">
        <v>2075</v>
      </c>
      <c r="AC190" s="298"/>
      <c r="AD190" s="59"/>
      <c r="AE190" s="298" t="s">
        <v>2076</v>
      </c>
      <c r="AF190" s="298"/>
      <c r="AG190" s="298"/>
      <c r="AH190" s="298"/>
      <c r="AI190" s="298"/>
      <c r="AJ190" s="298"/>
      <c r="AK190" s="298"/>
      <c r="AL190" s="37"/>
      <c r="AM190" s="298" t="s">
        <v>2078</v>
      </c>
      <c r="AN190" s="298" t="s">
        <v>2077</v>
      </c>
      <c r="AO190" s="298"/>
      <c r="AP190" s="298" t="s">
        <v>2077</v>
      </c>
      <c r="AQ190" s="29"/>
      <c r="AR190" s="63">
        <v>69.95</v>
      </c>
      <c r="AS190" s="27">
        <f t="shared" si="66"/>
        <v>157.54504504504504</v>
      </c>
      <c r="AT190" s="46" t="s">
        <v>2089</v>
      </c>
      <c r="AU190" s="47">
        <v>10038568742459</v>
      </c>
      <c r="AV190" s="192">
        <v>12.42</v>
      </c>
      <c r="AW190" s="192">
        <v>13.27</v>
      </c>
      <c r="AX190" s="192">
        <v>1.34</v>
      </c>
      <c r="AY190" s="189"/>
      <c r="AZ190" s="189"/>
      <c r="BA190" s="189"/>
      <c r="BB190" s="297">
        <f>13.31+(0.018*2)</f>
        <v>13.346</v>
      </c>
      <c r="BC190" s="297">
        <f>2.87+(0.018*2)</f>
        <v>2.9060000000000001</v>
      </c>
      <c r="BD190" s="297">
        <f>13.31+(0.018*4)</f>
        <v>13.382</v>
      </c>
      <c r="BE190" s="103">
        <f t="shared" si="68"/>
        <v>0.30034749758796297</v>
      </c>
      <c r="BF190" s="190">
        <f>0.908+0.1</f>
        <v>1.008</v>
      </c>
      <c r="BG190" s="193">
        <f>14.25+(0.125*2)</f>
        <v>14.5</v>
      </c>
      <c r="BH190" s="193">
        <f>13.5+(0.125*2)</f>
        <v>13.75</v>
      </c>
      <c r="BI190" s="193">
        <f>9+(0.125*4)</f>
        <v>9.5</v>
      </c>
      <c r="BJ190" s="103">
        <f>(BI190*BH190*BG190)/1728</f>
        <v>1.0961009837962963</v>
      </c>
      <c r="BK190" s="190">
        <f>(BF190*3)+0.25</f>
        <v>3.274</v>
      </c>
      <c r="BL190" s="190"/>
      <c r="BM190" s="190"/>
      <c r="BN190" s="298" t="s">
        <v>68</v>
      </c>
      <c r="BO190" s="298">
        <v>3</v>
      </c>
      <c r="BP190" s="298">
        <v>6</v>
      </c>
      <c r="BQ190" s="298">
        <v>4</v>
      </c>
      <c r="BR190" s="105">
        <f t="shared" si="67"/>
        <v>72</v>
      </c>
      <c r="BS190" s="105">
        <f>(BK190*BP190*BQ190)+50</f>
        <v>128.57599999999999</v>
      </c>
      <c r="BT190" s="298" t="s">
        <v>255</v>
      </c>
      <c r="BU190" s="105" t="s">
        <v>67</v>
      </c>
      <c r="BV190" s="191"/>
      <c r="BW190" s="191"/>
      <c r="BX190" s="191"/>
    </row>
    <row r="191" spans="1:80" s="1" customFormat="1" ht="60" customHeight="1" x14ac:dyDescent="0.25">
      <c r="A191" s="57">
        <v>42264</v>
      </c>
      <c r="B191" s="298" t="s">
        <v>14</v>
      </c>
      <c r="C191" s="37" t="s">
        <v>2029</v>
      </c>
      <c r="D191" s="298" t="s">
        <v>73</v>
      </c>
      <c r="E191" s="96" t="s">
        <v>2041</v>
      </c>
      <c r="F191" s="96" t="s">
        <v>3422</v>
      </c>
      <c r="G191" s="188"/>
      <c r="H191" s="102"/>
      <c r="I191" s="298"/>
      <c r="J191" s="298"/>
      <c r="K191" s="29"/>
      <c r="L191" s="30"/>
      <c r="M191" s="30"/>
      <c r="N191" s="30"/>
      <c r="O191" s="42"/>
      <c r="P191" s="42"/>
      <c r="Q191" s="42"/>
      <c r="R191" s="42"/>
      <c r="S191" s="42"/>
      <c r="T191" s="42"/>
      <c r="U191" s="29" t="s">
        <v>2073</v>
      </c>
      <c r="V191" s="41"/>
      <c r="W191" s="29"/>
      <c r="X191" s="41"/>
      <c r="Y191" s="37"/>
      <c r="Z191" s="41"/>
      <c r="AA191" s="29" t="s">
        <v>2074</v>
      </c>
      <c r="AB191" s="59"/>
      <c r="AC191" s="298"/>
      <c r="AD191" s="59"/>
      <c r="AE191" s="298"/>
      <c r="AF191" s="298"/>
      <c r="AG191" s="298"/>
      <c r="AH191" s="298"/>
      <c r="AI191" s="298"/>
      <c r="AJ191" s="298"/>
      <c r="AK191" s="298"/>
      <c r="AL191" s="37"/>
      <c r="AM191" s="298"/>
      <c r="AN191" s="298"/>
      <c r="AO191" s="298"/>
      <c r="AP191" s="298"/>
      <c r="AQ191" s="29" t="s">
        <v>1005</v>
      </c>
      <c r="AR191" s="63">
        <v>69.989999999999995</v>
      </c>
      <c r="AS191" s="27">
        <f t="shared" si="66"/>
        <v>157.63513513513513</v>
      </c>
      <c r="AT191" s="46" t="s">
        <v>2088</v>
      </c>
      <c r="AU191" s="47">
        <v>10038568739817</v>
      </c>
      <c r="AV191" s="189"/>
      <c r="AW191" s="189"/>
      <c r="AX191" s="189"/>
      <c r="AY191" s="189"/>
      <c r="AZ191" s="189"/>
      <c r="BA191" s="189"/>
      <c r="BB191" s="297">
        <f>3.81+(0.125*2)</f>
        <v>4.0600000000000005</v>
      </c>
      <c r="BC191" s="297">
        <f>3.81+(0.125*2)</f>
        <v>4.0600000000000005</v>
      </c>
      <c r="BD191" s="297">
        <f>5.37+(0.125*4)</f>
        <v>5.87</v>
      </c>
      <c r="BE191" s="103">
        <f t="shared" si="68"/>
        <v>5.5994636574074087E-2</v>
      </c>
      <c r="BF191" s="190">
        <f>1.5+0.25</f>
        <v>1.75</v>
      </c>
      <c r="BG191" s="444" t="s">
        <v>80</v>
      </c>
      <c r="BH191" s="445"/>
      <c r="BI191" s="445"/>
      <c r="BJ191" s="445"/>
      <c r="BK191" s="446"/>
      <c r="BL191" s="347"/>
      <c r="BM191" s="347"/>
      <c r="BN191" s="298" t="s">
        <v>68</v>
      </c>
      <c r="BO191" s="298">
        <v>1</v>
      </c>
      <c r="BP191" s="298">
        <v>99</v>
      </c>
      <c r="BQ191" s="298">
        <v>6</v>
      </c>
      <c r="BR191" s="105">
        <f t="shared" si="67"/>
        <v>594</v>
      </c>
      <c r="BS191" s="105">
        <f>(BF191*BR191)+50</f>
        <v>1089.5</v>
      </c>
      <c r="BT191" s="298" t="s">
        <v>69</v>
      </c>
      <c r="BU191" s="105" t="s">
        <v>67</v>
      </c>
      <c r="BV191" s="191"/>
      <c r="BW191" s="191"/>
      <c r="BX191" s="191"/>
      <c r="BY191" s="191"/>
      <c r="BZ191" s="191"/>
    </row>
    <row r="192" spans="1:80" s="1" customFormat="1" x14ac:dyDescent="0.25">
      <c r="A192" s="57">
        <v>42264</v>
      </c>
      <c r="B192" s="298" t="s">
        <v>14</v>
      </c>
      <c r="C192" s="37" t="s">
        <v>2032</v>
      </c>
      <c r="D192" s="298" t="s">
        <v>240</v>
      </c>
      <c r="E192" s="107" t="s">
        <v>1288</v>
      </c>
      <c r="F192" s="355" t="s">
        <v>3423</v>
      </c>
      <c r="G192" s="188" t="s">
        <v>223</v>
      </c>
      <c r="H192" s="298" t="s">
        <v>2045</v>
      </c>
      <c r="I192" s="298"/>
      <c r="J192" s="298"/>
      <c r="K192" s="29"/>
      <c r="L192" s="30"/>
      <c r="M192" s="30"/>
      <c r="N192" s="30"/>
      <c r="O192" s="42"/>
      <c r="P192" s="42"/>
      <c r="Q192" s="42"/>
      <c r="R192" s="42"/>
      <c r="S192" s="42"/>
      <c r="T192" s="42"/>
      <c r="U192" s="29" t="s">
        <v>2079</v>
      </c>
      <c r="V192" s="41"/>
      <c r="W192" s="29"/>
      <c r="X192" s="41"/>
      <c r="Y192" s="37"/>
      <c r="Z192" s="41"/>
      <c r="AA192" s="29"/>
      <c r="AB192" s="29"/>
      <c r="AC192" s="298"/>
      <c r="AD192" s="59"/>
      <c r="AE192" s="298"/>
      <c r="AF192" s="298"/>
      <c r="AG192" s="298"/>
      <c r="AH192" s="298"/>
      <c r="AI192" s="298"/>
      <c r="AJ192" s="298"/>
      <c r="AK192" s="298"/>
      <c r="AL192" s="37"/>
      <c r="AM192" s="298"/>
      <c r="AN192" s="298"/>
      <c r="AO192" s="298"/>
      <c r="AP192" s="298"/>
      <c r="AQ192" s="29"/>
      <c r="AR192" s="63">
        <v>18.97</v>
      </c>
      <c r="AS192" s="27">
        <f t="shared" si="66"/>
        <v>42.725225225225223</v>
      </c>
      <c r="AT192" s="46" t="s">
        <v>2090</v>
      </c>
      <c r="AU192" s="47">
        <v>10038568743234</v>
      </c>
      <c r="AV192" s="192">
        <v>5.98</v>
      </c>
      <c r="AW192" s="192">
        <v>2.91</v>
      </c>
      <c r="AX192" s="192">
        <v>0.79</v>
      </c>
      <c r="AY192" s="189"/>
      <c r="AZ192" s="189"/>
      <c r="BA192" s="189"/>
      <c r="BB192" s="297">
        <f>3.15+(0.018*2)</f>
        <v>3.1859999999999999</v>
      </c>
      <c r="BC192" s="297">
        <f>3.15+(0.018*2)</f>
        <v>3.1859999999999999</v>
      </c>
      <c r="BD192" s="297">
        <f>6+(0.018*4)</f>
        <v>6.0720000000000001</v>
      </c>
      <c r="BE192" s="103">
        <f t="shared" si="68"/>
        <v>3.5668066499999998E-2</v>
      </c>
      <c r="BF192" s="190">
        <f>0.07+0.1</f>
        <v>0.17</v>
      </c>
      <c r="BG192" s="194">
        <f>9.75+(0.125*2)</f>
        <v>10</v>
      </c>
      <c r="BH192" s="195">
        <f>6.5+(0.125*2)</f>
        <v>6.75</v>
      </c>
      <c r="BI192" s="195">
        <f>6.12+(0.125*4)</f>
        <v>6.62</v>
      </c>
      <c r="BJ192" s="292">
        <f t="shared" ref="BJ192:BJ204" si="75">(BI192*BH192*BG192)/1728</f>
        <v>0.25859375000000001</v>
      </c>
      <c r="BK192" s="196">
        <f t="shared" ref="BK192:BK199" si="76">(BF192*6)+0.25</f>
        <v>1.27</v>
      </c>
      <c r="BL192" s="196"/>
      <c r="BM192" s="196"/>
      <c r="BN192" s="298" t="s">
        <v>68</v>
      </c>
      <c r="BO192" s="298">
        <v>6</v>
      </c>
      <c r="BP192" s="298">
        <v>26</v>
      </c>
      <c r="BQ192" s="298">
        <v>6</v>
      </c>
      <c r="BR192" s="105">
        <f t="shared" si="67"/>
        <v>936</v>
      </c>
      <c r="BS192" s="105">
        <f t="shared" ref="BS192:BS198" si="77">(BK192*BP192*BQ192)+50</f>
        <v>248.12</v>
      </c>
      <c r="BT192" s="298" t="s">
        <v>69</v>
      </c>
      <c r="BU192" s="105" t="s">
        <v>67</v>
      </c>
      <c r="BV192" s="191"/>
      <c r="BW192" s="43"/>
      <c r="BX192" s="43"/>
      <c r="BY192" s="191"/>
      <c r="BZ192" s="191"/>
      <c r="CA192" s="191"/>
      <c r="CB192" s="191"/>
    </row>
    <row r="193" spans="1:84" s="1" customFormat="1" x14ac:dyDescent="0.25">
      <c r="A193" s="57">
        <v>42264</v>
      </c>
      <c r="B193" s="298" t="s">
        <v>14</v>
      </c>
      <c r="C193" s="37" t="s">
        <v>2033</v>
      </c>
      <c r="D193" s="298" t="s">
        <v>240</v>
      </c>
      <c r="E193" s="107" t="s">
        <v>1288</v>
      </c>
      <c r="F193" s="355" t="s">
        <v>3424</v>
      </c>
      <c r="G193" s="188" t="s">
        <v>259</v>
      </c>
      <c r="H193" s="188">
        <v>64319159606</v>
      </c>
      <c r="I193" s="298"/>
      <c r="J193" s="298"/>
      <c r="K193" s="29"/>
      <c r="L193" s="30"/>
      <c r="M193" s="30"/>
      <c r="N193" s="30"/>
      <c r="O193" s="42"/>
      <c r="P193" s="42"/>
      <c r="Q193" s="42"/>
      <c r="R193" s="42"/>
      <c r="S193" s="42"/>
      <c r="T193" s="42"/>
      <c r="U193" s="29"/>
      <c r="V193" s="41"/>
      <c r="W193" s="29"/>
      <c r="X193" s="41"/>
      <c r="Y193" s="37"/>
      <c r="Z193" s="41"/>
      <c r="AA193" s="29"/>
      <c r="AB193" s="59"/>
      <c r="AC193" s="298"/>
      <c r="AD193" s="59"/>
      <c r="AE193" s="298"/>
      <c r="AF193" s="298"/>
      <c r="AG193" s="298"/>
      <c r="AH193" s="298"/>
      <c r="AI193" s="298"/>
      <c r="AJ193" s="298"/>
      <c r="AK193" s="298"/>
      <c r="AL193" s="37"/>
      <c r="AM193" s="298"/>
      <c r="AN193" s="298"/>
      <c r="AO193" s="298"/>
      <c r="AP193" s="298"/>
      <c r="AQ193" s="29"/>
      <c r="AR193" s="63">
        <v>74.28</v>
      </c>
      <c r="AS193" s="27">
        <f t="shared" si="66"/>
        <v>167.29729729729729</v>
      </c>
      <c r="AT193" s="46" t="s">
        <v>2092</v>
      </c>
      <c r="AU193" s="47">
        <v>10038568743456</v>
      </c>
      <c r="AV193" s="192">
        <v>8.6199999999999992</v>
      </c>
      <c r="AW193" s="192">
        <v>3.76</v>
      </c>
      <c r="AX193" s="192">
        <v>0.87</v>
      </c>
      <c r="AY193" s="189"/>
      <c r="AZ193" s="189"/>
      <c r="BA193" s="189"/>
      <c r="BB193" s="297">
        <f>5.59+(0.018*2)</f>
        <v>5.6259999999999994</v>
      </c>
      <c r="BC193" s="297">
        <f>2+(0.018*2)</f>
        <v>2.036</v>
      </c>
      <c r="BD193" s="297">
        <f>9.62+(0.018*4)</f>
        <v>9.6919999999999984</v>
      </c>
      <c r="BE193" s="103">
        <f t="shared" si="68"/>
        <v>6.424615909259257E-2</v>
      </c>
      <c r="BF193" s="190">
        <f>0.56+0.1</f>
        <v>0.66</v>
      </c>
      <c r="BG193" s="193">
        <f>13+(0.125*2)</f>
        <v>13.25</v>
      </c>
      <c r="BH193" s="193">
        <f>9.75+(0.125*2)</f>
        <v>10</v>
      </c>
      <c r="BI193" s="193">
        <f>5.75+(0.125*4)</f>
        <v>6.25</v>
      </c>
      <c r="BJ193" s="103">
        <f t="shared" si="75"/>
        <v>0.47923900462962965</v>
      </c>
      <c r="BK193" s="190">
        <f t="shared" si="76"/>
        <v>4.21</v>
      </c>
      <c r="BL193" s="190"/>
      <c r="BM193" s="190"/>
      <c r="BN193" s="298" t="s">
        <v>68</v>
      </c>
      <c r="BO193" s="298">
        <v>6</v>
      </c>
      <c r="BP193" s="298">
        <v>14</v>
      </c>
      <c r="BQ193" s="298">
        <v>7</v>
      </c>
      <c r="BR193" s="105">
        <f t="shared" si="67"/>
        <v>588</v>
      </c>
      <c r="BS193" s="105">
        <f t="shared" si="77"/>
        <v>462.58</v>
      </c>
      <c r="BT193" s="298" t="s">
        <v>69</v>
      </c>
      <c r="BU193" s="105" t="s">
        <v>67</v>
      </c>
      <c r="BV193" s="191"/>
      <c r="BW193" s="191"/>
      <c r="BX193" s="43"/>
    </row>
    <row r="194" spans="1:84" s="1" customFormat="1" ht="30" x14ac:dyDescent="0.25">
      <c r="A194" s="57">
        <v>42264</v>
      </c>
      <c r="B194" s="298" t="s">
        <v>14</v>
      </c>
      <c r="C194" s="37" t="s">
        <v>2034</v>
      </c>
      <c r="D194" s="298" t="s">
        <v>240</v>
      </c>
      <c r="E194" s="107" t="s">
        <v>1288</v>
      </c>
      <c r="F194" s="64" t="s">
        <v>3425</v>
      </c>
      <c r="G194" s="188" t="s">
        <v>2050</v>
      </c>
      <c r="H194" s="298">
        <v>1648300218</v>
      </c>
      <c r="I194" s="298"/>
      <c r="J194" s="298"/>
      <c r="K194" s="29"/>
      <c r="L194" s="30"/>
      <c r="M194" s="30"/>
      <c r="N194" s="30"/>
      <c r="O194" s="42"/>
      <c r="P194" s="42"/>
      <c r="Q194" s="42"/>
      <c r="R194" s="42"/>
      <c r="S194" s="42"/>
      <c r="T194" s="42"/>
      <c r="U194" s="29"/>
      <c r="V194" s="41"/>
      <c r="W194" s="29"/>
      <c r="X194" s="41"/>
      <c r="Y194" s="37"/>
      <c r="Z194" s="41"/>
      <c r="AA194" s="29"/>
      <c r="AB194" s="59"/>
      <c r="AC194" s="298"/>
      <c r="AD194" s="59"/>
      <c r="AE194" s="298"/>
      <c r="AF194" s="298"/>
      <c r="AG194" s="298"/>
      <c r="AH194" s="298"/>
      <c r="AI194" s="298"/>
      <c r="AJ194" s="298"/>
      <c r="AK194" s="298"/>
      <c r="AL194" s="37"/>
      <c r="AM194" s="298"/>
      <c r="AN194" s="298"/>
      <c r="AO194" s="298"/>
      <c r="AP194" s="298"/>
      <c r="AQ194" s="29"/>
      <c r="AR194" s="63">
        <v>45.78</v>
      </c>
      <c r="AS194" s="27">
        <f t="shared" si="66"/>
        <v>103.10810810810811</v>
      </c>
      <c r="AT194" s="46" t="s">
        <v>2093</v>
      </c>
      <c r="AU194" s="47">
        <v>10038568743548</v>
      </c>
      <c r="AV194" s="192">
        <v>10</v>
      </c>
      <c r="AW194" s="192">
        <v>5.27</v>
      </c>
      <c r="AX194" s="192">
        <v>1.57</v>
      </c>
      <c r="AY194" s="189"/>
      <c r="AZ194" s="189"/>
      <c r="BA194" s="189"/>
      <c r="BB194" s="197">
        <f>10+(0.018*2)</f>
        <v>10.036</v>
      </c>
      <c r="BC194" s="198">
        <f>2+(0.018*2)</f>
        <v>2.036</v>
      </c>
      <c r="BD194" s="198">
        <f>11.75+(0.018*4)</f>
        <v>11.821999999999999</v>
      </c>
      <c r="BE194" s="292">
        <f t="shared" si="68"/>
        <v>0.13979307020370368</v>
      </c>
      <c r="BF194" s="196">
        <f>0.32+0.1</f>
        <v>0.42000000000000004</v>
      </c>
      <c r="BG194" s="193">
        <f>12.5+(0.125*2)</f>
        <v>12.75</v>
      </c>
      <c r="BH194" s="193">
        <f>11.12+(0.125*2)</f>
        <v>11.37</v>
      </c>
      <c r="BI194" s="193">
        <f>12.5+(0.125*4)</f>
        <v>13</v>
      </c>
      <c r="BJ194" s="103">
        <f t="shared" si="75"/>
        <v>1.0906119791666666</v>
      </c>
      <c r="BK194" s="190">
        <f t="shared" si="76"/>
        <v>2.7700000000000005</v>
      </c>
      <c r="BL194" s="190"/>
      <c r="BM194" s="190"/>
      <c r="BN194" s="298" t="s">
        <v>68</v>
      </c>
      <c r="BO194" s="298">
        <v>6</v>
      </c>
      <c r="BP194" s="298">
        <v>12</v>
      </c>
      <c r="BQ194" s="298">
        <v>3</v>
      </c>
      <c r="BR194" s="105">
        <f t="shared" si="67"/>
        <v>216</v>
      </c>
      <c r="BS194" s="105">
        <f t="shared" si="77"/>
        <v>149.72000000000003</v>
      </c>
      <c r="BT194" s="298" t="s">
        <v>69</v>
      </c>
      <c r="BU194" s="105" t="s">
        <v>67</v>
      </c>
      <c r="BV194" s="191"/>
      <c r="BW194" s="191"/>
      <c r="BX194" s="43"/>
      <c r="BY194" s="191"/>
    </row>
    <row r="195" spans="1:84" s="1" customFormat="1" x14ac:dyDescent="0.25">
      <c r="A195" s="57">
        <v>42264</v>
      </c>
      <c r="B195" s="298" t="s">
        <v>14</v>
      </c>
      <c r="C195" s="37" t="s">
        <v>2035</v>
      </c>
      <c r="D195" s="298" t="s">
        <v>240</v>
      </c>
      <c r="E195" s="107" t="s">
        <v>1288</v>
      </c>
      <c r="F195" s="355" t="s">
        <v>3426</v>
      </c>
      <c r="G195" s="188" t="s">
        <v>1493</v>
      </c>
      <c r="H195" s="298" t="s">
        <v>2046</v>
      </c>
      <c r="I195" s="298"/>
      <c r="J195" s="298"/>
      <c r="K195" s="29"/>
      <c r="L195" s="30"/>
      <c r="M195" s="30"/>
      <c r="N195" s="30"/>
      <c r="O195" s="42"/>
      <c r="P195" s="42"/>
      <c r="Q195" s="42"/>
      <c r="R195" s="42"/>
      <c r="S195" s="42"/>
      <c r="T195" s="42"/>
      <c r="U195" s="186"/>
      <c r="V195" s="41"/>
      <c r="W195" s="29"/>
      <c r="X195" s="41"/>
      <c r="Y195" s="37"/>
      <c r="Z195" s="41"/>
      <c r="AA195" s="29"/>
      <c r="AB195" s="187"/>
      <c r="AC195" s="298"/>
      <c r="AD195" s="59"/>
      <c r="AE195" s="298"/>
      <c r="AF195" s="298"/>
      <c r="AG195" s="298"/>
      <c r="AH195" s="298"/>
      <c r="AI195" s="298"/>
      <c r="AJ195" s="298"/>
      <c r="AK195" s="298"/>
      <c r="AL195" s="37"/>
      <c r="AM195" s="298"/>
      <c r="AN195" s="298"/>
      <c r="AO195" s="298"/>
      <c r="AP195" s="298"/>
      <c r="AQ195" s="29"/>
      <c r="AR195" s="63">
        <v>27.95</v>
      </c>
      <c r="AS195" s="27">
        <f t="shared" si="66"/>
        <v>62.950450450450447</v>
      </c>
      <c r="AT195" s="46" t="s">
        <v>2094</v>
      </c>
      <c r="AU195" s="47">
        <v>10038568743203</v>
      </c>
      <c r="AV195" s="192">
        <v>6.57</v>
      </c>
      <c r="AW195" s="192">
        <v>6.38</v>
      </c>
      <c r="AX195" s="192">
        <v>0.79</v>
      </c>
      <c r="AY195" s="189"/>
      <c r="AZ195" s="189"/>
      <c r="BA195" s="189"/>
      <c r="BB195" s="297">
        <f>7.25+(0.018*2)</f>
        <v>7.2859999999999996</v>
      </c>
      <c r="BC195" s="297">
        <f>1.68+(0.018*2)</f>
        <v>1.716</v>
      </c>
      <c r="BD195" s="297">
        <f>8+(0.018*4)</f>
        <v>8.0719999999999992</v>
      </c>
      <c r="BE195" s="103">
        <f t="shared" si="68"/>
        <v>5.8404171222222211E-2</v>
      </c>
      <c r="BF195" s="190">
        <f>0.15+0.1</f>
        <v>0.25</v>
      </c>
      <c r="BG195" s="193">
        <f>10.75+(0.125*2)</f>
        <v>11</v>
      </c>
      <c r="BH195" s="193">
        <f>7.75+(0.125*2)</f>
        <v>8</v>
      </c>
      <c r="BI195" s="193">
        <f>8.12+(0.125*4)</f>
        <v>8.6199999999999992</v>
      </c>
      <c r="BJ195" s="103">
        <f t="shared" si="75"/>
        <v>0.43898148148148147</v>
      </c>
      <c r="BK195" s="190">
        <f t="shared" si="76"/>
        <v>1.75</v>
      </c>
      <c r="BL195" s="190"/>
      <c r="BM195" s="190"/>
      <c r="BN195" s="298" t="s">
        <v>68</v>
      </c>
      <c r="BO195" s="298">
        <v>6</v>
      </c>
      <c r="BP195" s="298">
        <v>20</v>
      </c>
      <c r="BQ195" s="298">
        <v>5</v>
      </c>
      <c r="BR195" s="105">
        <f t="shared" si="67"/>
        <v>600</v>
      </c>
      <c r="BS195" s="105">
        <f t="shared" si="77"/>
        <v>225</v>
      </c>
      <c r="BT195" s="298" t="s">
        <v>69</v>
      </c>
      <c r="BU195" s="105" t="s">
        <v>67</v>
      </c>
      <c r="BV195" s="191"/>
      <c r="BW195" s="191"/>
      <c r="BX195" s="43"/>
    </row>
    <row r="196" spans="1:84" s="1" customFormat="1" x14ac:dyDescent="0.25">
      <c r="A196" s="57">
        <v>42264</v>
      </c>
      <c r="B196" s="350" t="s">
        <v>14</v>
      </c>
      <c r="C196" s="37" t="s">
        <v>2036</v>
      </c>
      <c r="D196" s="298" t="s">
        <v>240</v>
      </c>
      <c r="E196" s="107" t="s">
        <v>1288</v>
      </c>
      <c r="F196" s="355" t="s">
        <v>2043</v>
      </c>
      <c r="G196" s="188" t="s">
        <v>2051</v>
      </c>
      <c r="H196" s="298" t="s">
        <v>2047</v>
      </c>
      <c r="I196" s="298"/>
      <c r="J196" s="298"/>
      <c r="K196" s="29"/>
      <c r="L196" s="30"/>
      <c r="M196" s="30"/>
      <c r="N196" s="30"/>
      <c r="O196" s="42"/>
      <c r="P196" s="42"/>
      <c r="Q196" s="42"/>
      <c r="R196" s="42"/>
      <c r="S196" s="42"/>
      <c r="T196" s="42"/>
      <c r="U196" s="29"/>
      <c r="V196" s="41"/>
      <c r="W196" s="29"/>
      <c r="X196" s="41"/>
      <c r="Y196" s="37"/>
      <c r="Z196" s="41"/>
      <c r="AA196" s="29"/>
      <c r="AB196" s="59"/>
      <c r="AC196" s="298"/>
      <c r="AD196" s="59"/>
      <c r="AE196" s="298"/>
      <c r="AF196" s="298"/>
      <c r="AG196" s="298"/>
      <c r="AH196" s="298"/>
      <c r="AI196" s="298"/>
      <c r="AJ196" s="298"/>
      <c r="AK196" s="298"/>
      <c r="AL196" s="37"/>
      <c r="AM196" s="298"/>
      <c r="AN196" s="298"/>
      <c r="AO196" s="298"/>
      <c r="AP196" s="298"/>
      <c r="AQ196" s="298" t="s">
        <v>2080</v>
      </c>
      <c r="AR196" s="63">
        <v>41.96</v>
      </c>
      <c r="AS196" s="27">
        <f t="shared" si="66"/>
        <v>94.50450450450451</v>
      </c>
      <c r="AT196" s="46" t="s">
        <v>2095</v>
      </c>
      <c r="AU196" s="47">
        <v>10038568743296</v>
      </c>
      <c r="AV196" s="192">
        <v>10.75</v>
      </c>
      <c r="AW196" s="192">
        <v>7.76</v>
      </c>
      <c r="AX196" s="192">
        <v>0.4</v>
      </c>
      <c r="AY196" s="189"/>
      <c r="AZ196" s="189"/>
      <c r="BA196" s="189"/>
      <c r="BB196" s="297">
        <f>8.281+(0.018*2)</f>
        <v>8.3170000000000002</v>
      </c>
      <c r="BC196" s="297">
        <f>1.375+(0.018*2)</f>
        <v>1.411</v>
      </c>
      <c r="BD196" s="297">
        <f>8.11+(0.018*4)</f>
        <v>8.1819999999999986</v>
      </c>
      <c r="BE196" s="103">
        <f t="shared" si="68"/>
        <v>5.5566040644675928E-2</v>
      </c>
      <c r="BF196" s="190">
        <f>0.27+0.1</f>
        <v>0.37</v>
      </c>
      <c r="BG196" s="193">
        <f>11.62+(0.125*2)</f>
        <v>11.87</v>
      </c>
      <c r="BH196" s="193">
        <f>8.75+(0.125*2)</f>
        <v>9</v>
      </c>
      <c r="BI196" s="193">
        <f>8.5+(0.125*4)</f>
        <v>9</v>
      </c>
      <c r="BJ196" s="103">
        <f t="shared" si="75"/>
        <v>0.55640624999999999</v>
      </c>
      <c r="BK196" s="190">
        <f t="shared" si="76"/>
        <v>2.4699999999999998</v>
      </c>
      <c r="BL196" s="190"/>
      <c r="BM196" s="190"/>
      <c r="BN196" s="298" t="s">
        <v>68</v>
      </c>
      <c r="BO196" s="298">
        <v>6</v>
      </c>
      <c r="BP196" s="298">
        <v>17</v>
      </c>
      <c r="BQ196" s="298">
        <v>5</v>
      </c>
      <c r="BR196" s="105">
        <f t="shared" si="67"/>
        <v>510</v>
      </c>
      <c r="BS196" s="105">
        <f t="shared" si="77"/>
        <v>259.95</v>
      </c>
      <c r="BT196" s="298" t="s">
        <v>69</v>
      </c>
      <c r="BU196" s="105" t="s">
        <v>67</v>
      </c>
      <c r="BV196" s="43"/>
      <c r="BW196" s="43"/>
      <c r="BX196" s="43"/>
    </row>
    <row r="197" spans="1:84" s="1" customFormat="1" ht="30" x14ac:dyDescent="0.25">
      <c r="A197" s="57">
        <v>42264</v>
      </c>
      <c r="B197" s="350" t="s">
        <v>14</v>
      </c>
      <c r="C197" s="37" t="s">
        <v>2037</v>
      </c>
      <c r="D197" s="298" t="s">
        <v>240</v>
      </c>
      <c r="E197" s="107" t="s">
        <v>1288</v>
      </c>
      <c r="F197" s="64" t="s">
        <v>3427</v>
      </c>
      <c r="G197" s="188" t="s">
        <v>2051</v>
      </c>
      <c r="H197" s="298" t="s">
        <v>2048</v>
      </c>
      <c r="I197" s="298"/>
      <c r="J197" s="298"/>
      <c r="K197" s="29"/>
      <c r="L197" s="30"/>
      <c r="M197" s="30"/>
      <c r="N197" s="30"/>
      <c r="O197" s="42"/>
      <c r="P197" s="42"/>
      <c r="Q197" s="42"/>
      <c r="R197" s="42"/>
      <c r="S197" s="42"/>
      <c r="T197" s="42"/>
      <c r="U197" s="29"/>
      <c r="V197" s="41"/>
      <c r="W197" s="29"/>
      <c r="X197" s="41"/>
      <c r="Y197" s="37"/>
      <c r="Z197" s="41"/>
      <c r="AA197" s="29"/>
      <c r="AB197" s="29" t="s">
        <v>2081</v>
      </c>
      <c r="AC197" s="298"/>
      <c r="AD197" s="59"/>
      <c r="AE197" s="298"/>
      <c r="AF197" s="298"/>
      <c r="AG197" s="298"/>
      <c r="AH197" s="298"/>
      <c r="AI197" s="298" t="s">
        <v>2037</v>
      </c>
      <c r="AJ197" s="298"/>
      <c r="AK197" s="298"/>
      <c r="AL197" s="37" t="s">
        <v>2084</v>
      </c>
      <c r="AM197" s="298"/>
      <c r="AN197" s="298" t="s">
        <v>2084</v>
      </c>
      <c r="AO197" s="298"/>
      <c r="AP197" s="298" t="s">
        <v>2085</v>
      </c>
      <c r="AQ197" s="298">
        <v>24048</v>
      </c>
      <c r="AR197" s="63">
        <v>25.95</v>
      </c>
      <c r="AS197" s="27">
        <f t="shared" si="66"/>
        <v>58.445945945945944</v>
      </c>
      <c r="AT197" s="46" t="s">
        <v>2096</v>
      </c>
      <c r="AU197" s="47">
        <v>10038568743555</v>
      </c>
      <c r="AV197" s="192">
        <v>10.94</v>
      </c>
      <c r="AW197" s="192">
        <v>7.83</v>
      </c>
      <c r="AX197" s="192">
        <v>1.18</v>
      </c>
      <c r="AY197" s="189"/>
      <c r="AZ197" s="189"/>
      <c r="BA197" s="189"/>
      <c r="BB197" s="297">
        <f>8.298+(0.018*2)</f>
        <v>8.3339999999999996</v>
      </c>
      <c r="BC197" s="297">
        <f>1.375+(0.018*2)</f>
        <v>1.411</v>
      </c>
      <c r="BD197" s="297">
        <f>8.11+(0.018*4)</f>
        <v>8.1819999999999986</v>
      </c>
      <c r="BE197" s="103">
        <f t="shared" si="68"/>
        <v>5.5679617979166658E-2</v>
      </c>
      <c r="BF197" s="190">
        <f>0.45+0.1</f>
        <v>0.55000000000000004</v>
      </c>
      <c r="BG197" s="193">
        <f>11.62+(0.125*2)</f>
        <v>11.87</v>
      </c>
      <c r="BH197" s="193">
        <f>8.75+(0.125*2)</f>
        <v>9</v>
      </c>
      <c r="BI197" s="193">
        <f>8.5+(0.125*4)</f>
        <v>9</v>
      </c>
      <c r="BJ197" s="103">
        <f t="shared" si="75"/>
        <v>0.55640624999999999</v>
      </c>
      <c r="BK197" s="190">
        <f t="shared" si="76"/>
        <v>3.5500000000000003</v>
      </c>
      <c r="BL197" s="190"/>
      <c r="BM197" s="190"/>
      <c r="BN197" s="298" t="s">
        <v>68</v>
      </c>
      <c r="BO197" s="298">
        <v>6</v>
      </c>
      <c r="BP197" s="298">
        <v>17</v>
      </c>
      <c r="BQ197" s="298">
        <v>5</v>
      </c>
      <c r="BR197" s="105">
        <f t="shared" si="67"/>
        <v>510</v>
      </c>
      <c r="BS197" s="105">
        <f t="shared" si="77"/>
        <v>351.75</v>
      </c>
      <c r="BT197" s="298" t="s">
        <v>69</v>
      </c>
      <c r="BU197" s="105" t="s">
        <v>67</v>
      </c>
      <c r="BV197" s="43"/>
      <c r="BW197" s="43"/>
      <c r="BX197" s="43"/>
    </row>
    <row r="198" spans="1:84" s="1" customFormat="1" x14ac:dyDescent="0.25">
      <c r="A198" s="57">
        <v>42264</v>
      </c>
      <c r="B198" s="350" t="s">
        <v>14</v>
      </c>
      <c r="C198" s="37" t="s">
        <v>2038</v>
      </c>
      <c r="D198" s="298" t="s">
        <v>240</v>
      </c>
      <c r="E198" s="107" t="s">
        <v>1288</v>
      </c>
      <c r="F198" s="355" t="s">
        <v>3428</v>
      </c>
      <c r="G198" s="188" t="s">
        <v>2051</v>
      </c>
      <c r="H198" s="298">
        <v>5335955</v>
      </c>
      <c r="I198" s="298"/>
      <c r="J198" s="298"/>
      <c r="K198" s="29"/>
      <c r="L198" s="30"/>
      <c r="M198" s="30"/>
      <c r="N198" s="30"/>
      <c r="O198" s="42"/>
      <c r="P198" s="42"/>
      <c r="Q198" s="42"/>
      <c r="R198" s="42"/>
      <c r="S198" s="42"/>
      <c r="T198" s="42"/>
      <c r="U198" s="29"/>
      <c r="V198" s="41"/>
      <c r="W198" s="29"/>
      <c r="X198" s="41"/>
      <c r="Y198" s="37"/>
      <c r="Z198" s="41"/>
      <c r="AA198" s="29"/>
      <c r="AB198" s="59"/>
      <c r="AC198" s="298"/>
      <c r="AD198" s="59"/>
      <c r="AE198" s="298"/>
      <c r="AF198" s="298"/>
      <c r="AG198" s="298"/>
      <c r="AH198" s="298"/>
      <c r="AI198" s="298" t="s">
        <v>2082</v>
      </c>
      <c r="AJ198" s="298"/>
      <c r="AK198" s="298"/>
      <c r="AL198" s="37" t="s">
        <v>2083</v>
      </c>
      <c r="AM198" s="298" t="s">
        <v>2082</v>
      </c>
      <c r="AN198" s="298"/>
      <c r="AO198" s="298"/>
      <c r="AP198" s="298"/>
      <c r="AQ198" s="29">
        <v>49370</v>
      </c>
      <c r="AR198" s="63">
        <v>41.23</v>
      </c>
      <c r="AS198" s="27">
        <f t="shared" si="66"/>
        <v>92.860360360360346</v>
      </c>
      <c r="AT198" s="46" t="s">
        <v>2097</v>
      </c>
      <c r="AU198" s="47">
        <v>10038568743418</v>
      </c>
      <c r="AV198" s="192">
        <v>12.95</v>
      </c>
      <c r="AW198" s="192">
        <v>8.07</v>
      </c>
      <c r="AX198" s="192">
        <v>2.15</v>
      </c>
      <c r="AY198" s="189"/>
      <c r="AZ198" s="189"/>
      <c r="BA198" s="189"/>
      <c r="BB198" s="297">
        <f>8.62+(0.018*2)</f>
        <v>8.6559999999999988</v>
      </c>
      <c r="BC198" s="297">
        <f>2.25+(0.018*2)</f>
        <v>2.286</v>
      </c>
      <c r="BD198" s="297">
        <f>13.87+(0.018*4)</f>
        <v>13.941999999999998</v>
      </c>
      <c r="BE198" s="103">
        <f t="shared" si="68"/>
        <v>0.15965216566666662</v>
      </c>
      <c r="BF198" s="190">
        <f>0.85+0.1</f>
        <v>0.95</v>
      </c>
      <c r="BG198" s="193">
        <f>14.25+(0.125*2)</f>
        <v>14.5</v>
      </c>
      <c r="BH198" s="193">
        <f>14+(0.125*2)</f>
        <v>14.25</v>
      </c>
      <c r="BI198" s="193">
        <f>9+(0.125*4)</f>
        <v>9.5</v>
      </c>
      <c r="BJ198" s="103">
        <f t="shared" si="75"/>
        <v>1.1359592013888888</v>
      </c>
      <c r="BK198" s="190">
        <f t="shared" si="76"/>
        <v>5.9499999999999993</v>
      </c>
      <c r="BL198" s="190"/>
      <c r="BM198" s="190"/>
      <c r="BN198" s="298" t="s">
        <v>68</v>
      </c>
      <c r="BO198" s="298">
        <v>6</v>
      </c>
      <c r="BP198" s="298">
        <v>6</v>
      </c>
      <c r="BQ198" s="298">
        <v>4</v>
      </c>
      <c r="BR198" s="105">
        <f t="shared" si="67"/>
        <v>144</v>
      </c>
      <c r="BS198" s="105">
        <f t="shared" si="77"/>
        <v>192.79999999999998</v>
      </c>
      <c r="BT198" s="298" t="s">
        <v>69</v>
      </c>
      <c r="BU198" s="105" t="s">
        <v>67</v>
      </c>
      <c r="BV198" s="43"/>
      <c r="BW198" s="43"/>
      <c r="BX198" s="43"/>
    </row>
    <row r="199" spans="1:84" s="1" customFormat="1" ht="30" x14ac:dyDescent="0.25">
      <c r="A199" s="57">
        <v>42264</v>
      </c>
      <c r="B199" s="350" t="s">
        <v>14</v>
      </c>
      <c r="C199" s="37" t="s">
        <v>2039</v>
      </c>
      <c r="D199" s="298" t="s">
        <v>73</v>
      </c>
      <c r="E199" s="107" t="s">
        <v>86</v>
      </c>
      <c r="F199" s="96" t="s">
        <v>3429</v>
      </c>
      <c r="G199" s="188" t="s">
        <v>2051</v>
      </c>
      <c r="H199" s="298">
        <v>3619555</v>
      </c>
      <c r="I199" s="298"/>
      <c r="J199" s="298"/>
      <c r="K199" s="29"/>
      <c r="L199" s="30"/>
      <c r="M199" s="30"/>
      <c r="N199" s="30"/>
      <c r="O199" s="42"/>
      <c r="P199" s="42"/>
      <c r="Q199" s="42"/>
      <c r="R199" s="42"/>
      <c r="S199" s="42"/>
      <c r="T199" s="42"/>
      <c r="U199" s="29" t="s">
        <v>2059</v>
      </c>
      <c r="V199" s="41"/>
      <c r="W199" s="29"/>
      <c r="X199" s="41"/>
      <c r="Y199" s="37" t="s">
        <v>2060</v>
      </c>
      <c r="Z199" s="41"/>
      <c r="AA199" s="29" t="s">
        <v>2057</v>
      </c>
      <c r="AB199" s="59"/>
      <c r="AC199" s="298"/>
      <c r="AD199" s="59"/>
      <c r="AE199" s="298"/>
      <c r="AF199" s="298"/>
      <c r="AG199" s="298"/>
      <c r="AH199" s="298"/>
      <c r="AI199" s="298"/>
      <c r="AJ199" s="298"/>
      <c r="AK199" s="298"/>
      <c r="AL199" s="37"/>
      <c r="AM199" s="298"/>
      <c r="AN199" s="298"/>
      <c r="AO199" s="298"/>
      <c r="AP199" s="298"/>
      <c r="AQ199" s="29" t="s">
        <v>2058</v>
      </c>
      <c r="AR199" s="63">
        <v>45.36</v>
      </c>
      <c r="AS199" s="27">
        <f t="shared" si="66"/>
        <v>102.16216216216216</v>
      </c>
      <c r="AT199" s="46" t="s">
        <v>2098</v>
      </c>
      <c r="AU199" s="47">
        <v>10038568740424</v>
      </c>
      <c r="AV199" s="189"/>
      <c r="AW199" s="189"/>
      <c r="AX199" s="189"/>
      <c r="AY199" s="192">
        <v>3.46</v>
      </c>
      <c r="AZ199" s="192">
        <v>7.7</v>
      </c>
      <c r="BA199" s="189"/>
      <c r="BB199" s="297">
        <f>3.81+(0.018*2)</f>
        <v>3.8460000000000001</v>
      </c>
      <c r="BC199" s="297">
        <f>3.81+(0.018*2)</f>
        <v>3.8460000000000001</v>
      </c>
      <c r="BD199" s="297">
        <f>8+(0.018*4)</f>
        <v>8.0719999999999992</v>
      </c>
      <c r="BE199" s="103">
        <f t="shared" si="68"/>
        <v>6.9096488166666664E-2</v>
      </c>
      <c r="BF199" s="190">
        <f>1.15+0.25</f>
        <v>1.4</v>
      </c>
      <c r="BG199" s="193">
        <f>11.68+(0.125*2)</f>
        <v>11.93</v>
      </c>
      <c r="BH199" s="193">
        <f>8.12+(0.125*2)</f>
        <v>8.3699999999999992</v>
      </c>
      <c r="BI199" s="193">
        <f>8.12+(0.125*4)</f>
        <v>8.6199999999999992</v>
      </c>
      <c r="BJ199" s="103">
        <f t="shared" si="75"/>
        <v>0.49811478124999986</v>
      </c>
      <c r="BK199" s="190">
        <f t="shared" si="76"/>
        <v>8.6499999999999986</v>
      </c>
      <c r="BL199" s="190"/>
      <c r="BM199" s="190"/>
      <c r="BN199" s="298" t="s">
        <v>68</v>
      </c>
      <c r="BO199" s="298">
        <v>6</v>
      </c>
      <c r="BP199" s="298">
        <v>17</v>
      </c>
      <c r="BQ199" s="298">
        <v>5</v>
      </c>
      <c r="BR199" s="105">
        <f t="shared" si="67"/>
        <v>510</v>
      </c>
      <c r="BS199" s="105">
        <f>(BF199*BR199)+50</f>
        <v>764</v>
      </c>
      <c r="BT199" s="298" t="s">
        <v>62</v>
      </c>
      <c r="BU199" s="105" t="s">
        <v>67</v>
      </c>
      <c r="BV199" s="191"/>
      <c r="BW199" s="43"/>
      <c r="BX199" s="43"/>
    </row>
    <row r="200" spans="1:84" s="1" customFormat="1" ht="60" customHeight="1" x14ac:dyDescent="0.25">
      <c r="A200" s="57">
        <v>42264</v>
      </c>
      <c r="B200" s="350" t="s">
        <v>14</v>
      </c>
      <c r="C200" s="37" t="s">
        <v>2031</v>
      </c>
      <c r="D200" s="298" t="s">
        <v>73</v>
      </c>
      <c r="E200" s="107" t="s">
        <v>84</v>
      </c>
      <c r="F200" s="30" t="s">
        <v>3430</v>
      </c>
      <c r="G200" s="188" t="s">
        <v>2051</v>
      </c>
      <c r="H200" s="30">
        <v>504082382</v>
      </c>
      <c r="I200" s="298"/>
      <c r="J200" s="298"/>
      <c r="K200" s="29"/>
      <c r="L200" s="30"/>
      <c r="M200" s="30"/>
      <c r="N200" s="30"/>
      <c r="O200" s="42"/>
      <c r="P200" s="42"/>
      <c r="Q200" s="42"/>
      <c r="R200" s="42"/>
      <c r="S200" s="42"/>
      <c r="T200" s="42"/>
      <c r="U200" s="29"/>
      <c r="V200" s="41"/>
      <c r="W200" s="29"/>
      <c r="X200" s="41"/>
      <c r="Y200" s="37"/>
      <c r="Z200" s="41"/>
      <c r="AA200" s="29"/>
      <c r="AB200" s="187"/>
      <c r="AC200" s="298"/>
      <c r="AD200" s="59"/>
      <c r="AE200" s="298"/>
      <c r="AF200" s="298"/>
      <c r="AG200" s="298"/>
      <c r="AH200" s="298"/>
      <c r="AI200" s="298"/>
      <c r="AJ200" s="298"/>
      <c r="AK200" s="298"/>
      <c r="AL200" s="37"/>
      <c r="AM200" s="298"/>
      <c r="AN200" s="298"/>
      <c r="AO200" s="298"/>
      <c r="AP200" s="298"/>
      <c r="AQ200" s="29"/>
      <c r="AR200" s="63">
        <v>49.99</v>
      </c>
      <c r="AS200" s="27">
        <f t="shared" si="66"/>
        <v>112.59009009009009</v>
      </c>
      <c r="AT200" s="46" t="s">
        <v>2091</v>
      </c>
      <c r="AU200" s="47">
        <v>10038568738155</v>
      </c>
      <c r="AV200" s="189"/>
      <c r="AW200" s="189"/>
      <c r="AX200" s="189"/>
      <c r="AY200" s="192">
        <v>4.2300000000000004</v>
      </c>
      <c r="AZ200" s="192">
        <v>9.07</v>
      </c>
      <c r="BA200" s="192">
        <v>3.63</v>
      </c>
      <c r="BB200" s="444" t="s">
        <v>80</v>
      </c>
      <c r="BC200" s="445"/>
      <c r="BD200" s="445"/>
      <c r="BE200" s="445"/>
      <c r="BF200" s="446"/>
      <c r="BG200" s="193">
        <f>14.62+(0.125*2)</f>
        <v>14.87</v>
      </c>
      <c r="BH200" s="193">
        <f>9.75+(0.125*2)</f>
        <v>10</v>
      </c>
      <c r="BI200" s="193">
        <f>10+(0.125*4)</f>
        <v>10.5</v>
      </c>
      <c r="BJ200" s="103">
        <f t="shared" si="75"/>
        <v>0.90355902777777775</v>
      </c>
      <c r="BK200" s="190">
        <f>(2.44*6)+0.25</f>
        <v>14.89</v>
      </c>
      <c r="BL200" s="190"/>
      <c r="BM200" s="190"/>
      <c r="BN200" s="298" t="s">
        <v>68</v>
      </c>
      <c r="BO200" s="298">
        <v>6</v>
      </c>
      <c r="BP200" s="298">
        <v>12</v>
      </c>
      <c r="BQ200" s="298">
        <v>4</v>
      </c>
      <c r="BR200" s="105">
        <f t="shared" si="67"/>
        <v>288</v>
      </c>
      <c r="BS200" s="105">
        <f>(2.44*BR200)+50+ (48*0.25)</f>
        <v>764.72</v>
      </c>
      <c r="BT200" s="298" t="s">
        <v>62</v>
      </c>
      <c r="BU200" s="105" t="s">
        <v>67</v>
      </c>
      <c r="BV200" s="191"/>
      <c r="BW200" s="191"/>
      <c r="BX200" s="191"/>
    </row>
    <row r="201" spans="1:84" s="1" customFormat="1" x14ac:dyDescent="0.25">
      <c r="A201" s="57">
        <v>42264</v>
      </c>
      <c r="B201" s="350" t="s">
        <v>14</v>
      </c>
      <c r="C201" s="37" t="s">
        <v>241</v>
      </c>
      <c r="D201" s="298" t="s">
        <v>240</v>
      </c>
      <c r="E201" s="107" t="s">
        <v>84</v>
      </c>
      <c r="F201" s="30" t="s">
        <v>3431</v>
      </c>
      <c r="G201" s="188" t="s">
        <v>2051</v>
      </c>
      <c r="H201" s="30">
        <v>96985730</v>
      </c>
      <c r="I201" s="298"/>
      <c r="J201" s="298"/>
      <c r="K201" s="29"/>
      <c r="L201" s="30"/>
      <c r="M201" s="30"/>
      <c r="N201" s="30"/>
      <c r="O201" s="42"/>
      <c r="P201" s="42"/>
      <c r="Q201" s="42"/>
      <c r="R201" s="42"/>
      <c r="S201" s="42"/>
      <c r="T201" s="42"/>
      <c r="U201" s="29"/>
      <c r="V201" s="41"/>
      <c r="W201" s="29">
        <v>94001</v>
      </c>
      <c r="X201" s="41"/>
      <c r="Y201" s="37"/>
      <c r="Z201" s="41" t="s">
        <v>241</v>
      </c>
      <c r="AA201" s="29"/>
      <c r="AB201" s="29" t="s">
        <v>1381</v>
      </c>
      <c r="AC201" s="298" t="s">
        <v>2062</v>
      </c>
      <c r="AD201" s="59"/>
      <c r="AE201" s="298"/>
      <c r="AF201" s="298"/>
      <c r="AG201" s="298" t="s">
        <v>241</v>
      </c>
      <c r="AH201" s="298"/>
      <c r="AI201" s="298" t="s">
        <v>241</v>
      </c>
      <c r="AJ201" s="298"/>
      <c r="AK201" s="298">
        <v>100001</v>
      </c>
      <c r="AL201" s="37" t="s">
        <v>2063</v>
      </c>
      <c r="AM201" s="298" t="s">
        <v>2064</v>
      </c>
      <c r="AN201" s="298" t="s">
        <v>1382</v>
      </c>
      <c r="AO201" s="298" t="s">
        <v>2066</v>
      </c>
      <c r="AP201" s="298" t="s">
        <v>1383</v>
      </c>
      <c r="AQ201" s="29" t="s">
        <v>2067</v>
      </c>
      <c r="AR201" s="63">
        <v>7.42</v>
      </c>
      <c r="AS201" s="27">
        <f t="shared" si="66"/>
        <v>16.711711711711711</v>
      </c>
      <c r="AT201" s="46" t="s">
        <v>2086</v>
      </c>
      <c r="AU201" s="47">
        <v>10038568315974</v>
      </c>
      <c r="AV201" s="189"/>
      <c r="AW201" s="189"/>
      <c r="AX201" s="189"/>
      <c r="AY201" s="192">
        <v>2.65</v>
      </c>
      <c r="AZ201" s="192">
        <v>2.61</v>
      </c>
      <c r="BA201" s="192">
        <v>2.21</v>
      </c>
      <c r="BB201" s="297">
        <f>2.75+(0.018*2)</f>
        <v>2.786</v>
      </c>
      <c r="BC201" s="297">
        <f>2.75+(0.018*2)</f>
        <v>2.786</v>
      </c>
      <c r="BD201" s="297">
        <f>2.687+(0.018*4)</f>
        <v>2.7589999999999999</v>
      </c>
      <c r="BE201" s="103">
        <f>(BD201*BC201*BB201)/1728</f>
        <v>1.2392821275462963E-2</v>
      </c>
      <c r="BF201" s="190">
        <f>0.4+0.1</f>
        <v>0.5</v>
      </c>
      <c r="BG201" s="193">
        <f>5.75+(0.125*2)</f>
        <v>6</v>
      </c>
      <c r="BH201" s="193">
        <f>2.75+(0.125*2)</f>
        <v>3</v>
      </c>
      <c r="BI201" s="193">
        <f>8.5+(0.125*4)</f>
        <v>9</v>
      </c>
      <c r="BJ201" s="103">
        <f t="shared" si="75"/>
        <v>9.375E-2</v>
      </c>
      <c r="BK201" s="190">
        <f>(BF201*6)+0.25</f>
        <v>3.25</v>
      </c>
      <c r="BL201" s="190"/>
      <c r="BM201" s="190"/>
      <c r="BN201" s="298" t="s">
        <v>68</v>
      </c>
      <c r="BO201" s="298">
        <v>6</v>
      </c>
      <c r="BP201" s="298">
        <v>32</v>
      </c>
      <c r="BQ201" s="298">
        <v>12</v>
      </c>
      <c r="BR201" s="105">
        <f t="shared" si="67"/>
        <v>2304</v>
      </c>
      <c r="BS201" s="105">
        <f>(BK201*BP201*BQ201)+50</f>
        <v>1298</v>
      </c>
      <c r="BT201" s="298" t="s">
        <v>62</v>
      </c>
      <c r="BU201" s="105" t="s">
        <v>67</v>
      </c>
      <c r="BV201" s="43"/>
      <c r="BW201" s="43"/>
      <c r="BX201" s="43"/>
    </row>
    <row r="202" spans="1:84" s="1" customFormat="1" x14ac:dyDescent="0.25">
      <c r="A202" s="57">
        <v>42264</v>
      </c>
      <c r="B202" s="350" t="s">
        <v>14</v>
      </c>
      <c r="C202" s="37" t="s">
        <v>2028</v>
      </c>
      <c r="D202" s="298" t="s">
        <v>240</v>
      </c>
      <c r="E202" s="107" t="s">
        <v>84</v>
      </c>
      <c r="F202" s="30" t="s">
        <v>2042</v>
      </c>
      <c r="G202" s="188" t="s">
        <v>2051</v>
      </c>
      <c r="H202" s="30" t="s">
        <v>2068</v>
      </c>
      <c r="I202" s="298"/>
      <c r="J202" s="298"/>
      <c r="K202" s="29"/>
      <c r="L202" s="30"/>
      <c r="M202" s="30"/>
      <c r="N202" s="30"/>
      <c r="O202" s="42"/>
      <c r="P202" s="42"/>
      <c r="Q202" s="42"/>
      <c r="R202" s="42"/>
      <c r="S202" s="42"/>
      <c r="T202" s="42"/>
      <c r="U202" s="29"/>
      <c r="V202" s="41"/>
      <c r="W202" s="29"/>
      <c r="X202" s="41"/>
      <c r="Y202" s="37"/>
      <c r="Z202" s="41"/>
      <c r="AA202" s="29"/>
      <c r="AB202" s="29" t="s">
        <v>2101</v>
      </c>
      <c r="AC202" s="298"/>
      <c r="AD202" s="59"/>
      <c r="AE202" s="298"/>
      <c r="AF202" s="298"/>
      <c r="AG202" s="298"/>
      <c r="AH202" s="298"/>
      <c r="AI202" s="298"/>
      <c r="AJ202" s="298"/>
      <c r="AK202" s="298"/>
      <c r="AL202" s="37" t="s">
        <v>2069</v>
      </c>
      <c r="AM202" s="298" t="s">
        <v>2071</v>
      </c>
      <c r="AN202" s="298" t="s">
        <v>2070</v>
      </c>
      <c r="AO202" s="298"/>
      <c r="AP202" s="29" t="s">
        <v>2072</v>
      </c>
      <c r="AQ202" s="29"/>
      <c r="AR202" s="63">
        <v>13.9</v>
      </c>
      <c r="AS202" s="27">
        <f t="shared" si="66"/>
        <v>31.306306306306308</v>
      </c>
      <c r="AT202" s="46" t="s">
        <v>2087</v>
      </c>
      <c r="AU202" s="47">
        <v>10038568743012</v>
      </c>
      <c r="AV202" s="189"/>
      <c r="AW202" s="189"/>
      <c r="AX202" s="189"/>
      <c r="AY202" s="192">
        <v>5.39</v>
      </c>
      <c r="AZ202" s="192">
        <v>1.94</v>
      </c>
      <c r="BA202" s="189"/>
      <c r="BB202" s="297">
        <f>2.312+(0.018*2)</f>
        <v>2.3479999999999999</v>
      </c>
      <c r="BC202" s="297">
        <f>2.312+(0.018*2)</f>
        <v>2.3479999999999999</v>
      </c>
      <c r="BD202" s="297">
        <f>5.75+(0.018*4)</f>
        <v>5.8220000000000001</v>
      </c>
      <c r="BE202" s="103">
        <f>(BD202*BC202*BB202)/1728</f>
        <v>1.8574821462962961E-2</v>
      </c>
      <c r="BF202" s="190">
        <f>0.115+0.1</f>
        <v>0.21500000000000002</v>
      </c>
      <c r="BG202" s="193">
        <f>10+(0.125*2)</f>
        <v>10.25</v>
      </c>
      <c r="BH202" s="193">
        <f>7.5+(0.125*2)</f>
        <v>7.75</v>
      </c>
      <c r="BI202" s="193">
        <f>6.62+(0.125*4)</f>
        <v>7.12</v>
      </c>
      <c r="BJ202" s="103">
        <f t="shared" si="75"/>
        <v>0.32731192129629633</v>
      </c>
      <c r="BK202" s="190">
        <f>(BF202*12)+0.25</f>
        <v>2.83</v>
      </c>
      <c r="BL202" s="190"/>
      <c r="BM202" s="190"/>
      <c r="BN202" s="298" t="s">
        <v>64</v>
      </c>
      <c r="BO202" s="298">
        <v>12</v>
      </c>
      <c r="BP202" s="298">
        <v>22</v>
      </c>
      <c r="BQ202" s="298">
        <v>6</v>
      </c>
      <c r="BR202" s="105">
        <f t="shared" si="67"/>
        <v>1584</v>
      </c>
      <c r="BS202" s="105">
        <f>(BK202*BP202*BQ202)+50</f>
        <v>423.56000000000006</v>
      </c>
      <c r="BT202" s="298" t="s">
        <v>62</v>
      </c>
      <c r="BU202" s="105" t="s">
        <v>67</v>
      </c>
      <c r="BV202" s="191"/>
      <c r="BW202" s="191"/>
      <c r="BX202" s="191"/>
    </row>
    <row r="203" spans="1:84" s="1" customFormat="1" x14ac:dyDescent="0.25">
      <c r="A203" s="57">
        <v>42264</v>
      </c>
      <c r="B203" s="350" t="s">
        <v>14</v>
      </c>
      <c r="C203" s="37" t="s">
        <v>2040</v>
      </c>
      <c r="D203" s="298" t="s">
        <v>240</v>
      </c>
      <c r="E203" s="107" t="s">
        <v>84</v>
      </c>
      <c r="F203" s="30" t="s">
        <v>3432</v>
      </c>
      <c r="G203" s="188" t="s">
        <v>2051</v>
      </c>
      <c r="H203" s="30" t="s">
        <v>2049</v>
      </c>
      <c r="I203" s="199" t="s">
        <v>260</v>
      </c>
      <c r="J203" s="75" t="s">
        <v>2061</v>
      </c>
      <c r="K203" s="29"/>
      <c r="L203" s="30"/>
      <c r="M203" s="30"/>
      <c r="N203" s="30"/>
      <c r="O203" s="42"/>
      <c r="P203" s="42"/>
      <c r="Q203" s="42"/>
      <c r="R203" s="42"/>
      <c r="S203" s="42"/>
      <c r="T203" s="42"/>
      <c r="U203" s="29"/>
      <c r="V203" s="41"/>
      <c r="W203" s="29"/>
      <c r="X203" s="41"/>
      <c r="Y203" s="37"/>
      <c r="Z203" s="41"/>
      <c r="AA203" s="29"/>
      <c r="AB203" s="59" t="s">
        <v>1007</v>
      </c>
      <c r="AC203" s="298"/>
      <c r="AD203" s="59"/>
      <c r="AE203" s="298"/>
      <c r="AF203" s="298"/>
      <c r="AG203" s="298"/>
      <c r="AH203" s="298"/>
      <c r="AI203" s="298"/>
      <c r="AJ203" s="298"/>
      <c r="AK203" s="298"/>
      <c r="AL203" s="37" t="s">
        <v>1006</v>
      </c>
      <c r="AM203" s="298"/>
      <c r="AN203" s="298"/>
      <c r="AO203" s="298"/>
      <c r="AP203" s="298"/>
      <c r="AQ203" s="29">
        <v>57010</v>
      </c>
      <c r="AR203" s="63">
        <v>17.18</v>
      </c>
      <c r="AS203" s="27">
        <f t="shared" si="66"/>
        <v>38.693693693693696</v>
      </c>
      <c r="AT203" s="46" t="s">
        <v>2099</v>
      </c>
      <c r="AU203" s="47">
        <v>10038568743067</v>
      </c>
      <c r="AV203" s="189"/>
      <c r="AW203" s="189"/>
      <c r="AX203" s="189"/>
      <c r="AY203" s="192">
        <v>2.5590000000000002</v>
      </c>
      <c r="AZ203" s="192">
        <v>4.0549999999999997</v>
      </c>
      <c r="BA203" s="189"/>
      <c r="BB203" s="297">
        <f>2.755+(0.018*2)</f>
        <v>2.7909999999999999</v>
      </c>
      <c r="BC203" s="297">
        <f>2.755+(0.018*2)</f>
        <v>2.7909999999999999</v>
      </c>
      <c r="BD203" s="297">
        <f>4.842+(0.018*4)</f>
        <v>4.9139999999999997</v>
      </c>
      <c r="BE203" s="103">
        <f>(BD203*BC203*BB203)/1728</f>
        <v>2.2151905343749997E-2</v>
      </c>
      <c r="BF203" s="190">
        <f>0.25+0.1</f>
        <v>0.35</v>
      </c>
      <c r="BG203" s="193">
        <f>11.42+(0.125*2)</f>
        <v>11.67</v>
      </c>
      <c r="BH203" s="193">
        <f>8.66+(0.125*2)</f>
        <v>8.91</v>
      </c>
      <c r="BI203" s="193">
        <f>5.43+(0.125*4)</f>
        <v>5.93</v>
      </c>
      <c r="BJ203" s="103">
        <f t="shared" si="75"/>
        <v>0.35682848437499998</v>
      </c>
      <c r="BK203" s="190">
        <f>(BF203*12)+0.25</f>
        <v>4.4499999999999993</v>
      </c>
      <c r="BL203" s="190"/>
      <c r="BM203" s="190"/>
      <c r="BN203" s="37" t="s">
        <v>64</v>
      </c>
      <c r="BO203" s="298">
        <v>12</v>
      </c>
      <c r="BP203" s="298">
        <v>17</v>
      </c>
      <c r="BQ203" s="298">
        <v>7</v>
      </c>
      <c r="BR203" s="105">
        <f t="shared" si="67"/>
        <v>1428</v>
      </c>
      <c r="BS203" s="105">
        <f>(BK203*BP203*BQ203)+50</f>
        <v>579.54999999999995</v>
      </c>
      <c r="BT203" s="298" t="s">
        <v>255</v>
      </c>
      <c r="BU203" s="105" t="s">
        <v>67</v>
      </c>
      <c r="BV203" s="191"/>
      <c r="BW203" s="43"/>
      <c r="BX203" s="43"/>
    </row>
    <row r="204" spans="1:84" s="1" customFormat="1" x14ac:dyDescent="0.25">
      <c r="A204" s="57">
        <v>42264</v>
      </c>
      <c r="B204" s="350" t="s">
        <v>14</v>
      </c>
      <c r="C204" s="37" t="s">
        <v>2052</v>
      </c>
      <c r="D204" s="298" t="s">
        <v>73</v>
      </c>
      <c r="E204" s="107" t="s">
        <v>84</v>
      </c>
      <c r="F204" s="30" t="s">
        <v>1940</v>
      </c>
      <c r="G204" s="188" t="s">
        <v>2051</v>
      </c>
      <c r="H204" s="30" t="s">
        <v>2053</v>
      </c>
      <c r="I204" s="298"/>
      <c r="J204" s="298"/>
      <c r="K204" s="29"/>
      <c r="L204" s="30"/>
      <c r="M204" s="30"/>
      <c r="N204" s="30"/>
      <c r="O204" s="42"/>
      <c r="P204" s="42"/>
      <c r="Q204" s="42"/>
      <c r="R204" s="42"/>
      <c r="S204" s="42"/>
      <c r="T204" s="42"/>
      <c r="U204" s="29" t="s">
        <v>2054</v>
      </c>
      <c r="V204" s="41"/>
      <c r="W204" s="29"/>
      <c r="X204" s="41"/>
      <c r="Y204" s="37"/>
      <c r="Z204" s="41"/>
      <c r="AA204" s="29" t="s">
        <v>2055</v>
      </c>
      <c r="AB204" s="59" t="s">
        <v>2056</v>
      </c>
      <c r="AC204" s="298"/>
      <c r="AD204" s="59"/>
      <c r="AE204" s="298"/>
      <c r="AF204" s="298"/>
      <c r="AG204" s="298"/>
      <c r="AH204" s="298"/>
      <c r="AI204" s="298"/>
      <c r="AJ204" s="298"/>
      <c r="AK204" s="298"/>
      <c r="AL204" s="37"/>
      <c r="AM204" s="298"/>
      <c r="AN204" s="298"/>
      <c r="AO204" s="298"/>
      <c r="AP204" s="298"/>
      <c r="AQ204" s="29">
        <v>57707</v>
      </c>
      <c r="AR204" s="63">
        <v>35.18</v>
      </c>
      <c r="AS204" s="27">
        <f t="shared" si="66"/>
        <v>79.234234234234236</v>
      </c>
      <c r="AT204" s="200" t="s">
        <v>2100</v>
      </c>
      <c r="AU204" s="201">
        <v>10038568741575</v>
      </c>
      <c r="AV204" s="49"/>
      <c r="AW204" s="49"/>
      <c r="AX204" s="49"/>
      <c r="AY204" s="293">
        <v>3.83</v>
      </c>
      <c r="AZ204" s="293">
        <v>7</v>
      </c>
      <c r="BA204" s="293">
        <v>4.7699999999999996</v>
      </c>
      <c r="BB204" s="202">
        <f>3.875+(0.018*2)</f>
        <v>3.911</v>
      </c>
      <c r="BC204" s="202">
        <f>3.875+(0.018*2)</f>
        <v>3.911</v>
      </c>
      <c r="BD204" s="202">
        <f>7.25+(0.018*4)</f>
        <v>7.3220000000000001</v>
      </c>
      <c r="BE204" s="291">
        <f>(BD204*BC204*BB204)/1728</f>
        <v>6.4812924515046291E-2</v>
      </c>
      <c r="BF204" s="203">
        <f>1+0.25</f>
        <v>1.25</v>
      </c>
      <c r="BG204" s="204">
        <f>16.187+(0.125*2)</f>
        <v>16.437000000000001</v>
      </c>
      <c r="BH204" s="204">
        <f>12.187+(0.125*2)</f>
        <v>12.436999999999999</v>
      </c>
      <c r="BI204" s="204">
        <f>7.375+(0.125*4)</f>
        <v>7.875</v>
      </c>
      <c r="BJ204" s="291">
        <f t="shared" si="75"/>
        <v>0.93163332226562501</v>
      </c>
      <c r="BK204" s="203">
        <f>(BF204*12)+0.25</f>
        <v>15.25</v>
      </c>
      <c r="BL204" s="203"/>
      <c r="BM204" s="203"/>
      <c r="BN204" s="205" t="s">
        <v>68</v>
      </c>
      <c r="BO204" s="205">
        <v>12</v>
      </c>
      <c r="BP204" s="205">
        <v>8</v>
      </c>
      <c r="BQ204" s="205">
        <v>5</v>
      </c>
      <c r="BR204" s="32">
        <f t="shared" si="67"/>
        <v>480</v>
      </c>
      <c r="BS204" s="32">
        <f>(BF204*BR204)+50</f>
        <v>650</v>
      </c>
      <c r="BT204" s="205" t="s">
        <v>62</v>
      </c>
      <c r="BU204" s="32" t="s">
        <v>67</v>
      </c>
      <c r="BV204" s="43"/>
      <c r="BW204" s="43"/>
      <c r="BX204" s="43"/>
    </row>
    <row r="205" spans="1:84" s="83" customFormat="1" x14ac:dyDescent="0.25">
      <c r="A205" s="57">
        <v>42264</v>
      </c>
      <c r="B205" s="350" t="s">
        <v>14</v>
      </c>
      <c r="C205" s="130" t="s">
        <v>998</v>
      </c>
      <c r="D205" s="131" t="s">
        <v>240</v>
      </c>
      <c r="E205" s="132" t="s">
        <v>85</v>
      </c>
      <c r="F205" s="131" t="s">
        <v>3433</v>
      </c>
      <c r="G205" s="188" t="s">
        <v>2051</v>
      </c>
      <c r="H205" s="130">
        <v>13727838804</v>
      </c>
      <c r="I205" s="131"/>
      <c r="J205" s="131"/>
      <c r="K205" s="133"/>
      <c r="L205" s="134"/>
      <c r="M205" s="134"/>
      <c r="N205" s="134"/>
      <c r="O205" s="135"/>
      <c r="P205" s="135"/>
      <c r="Q205" s="135"/>
      <c r="R205" s="135"/>
      <c r="S205" s="135"/>
      <c r="T205" s="135"/>
      <c r="U205" s="133"/>
      <c r="V205" s="136"/>
      <c r="W205" s="133"/>
      <c r="X205" s="136"/>
      <c r="Y205" s="130"/>
      <c r="Z205" s="136"/>
      <c r="AA205" s="133"/>
      <c r="AB205" s="133" t="s">
        <v>1004</v>
      </c>
      <c r="AC205" s="131"/>
      <c r="AD205" s="137"/>
      <c r="AE205" s="131"/>
      <c r="AF205" s="131"/>
      <c r="AG205" s="131"/>
      <c r="AH205" s="131"/>
      <c r="AI205" s="131"/>
      <c r="AJ205" s="131"/>
      <c r="AK205" s="131"/>
      <c r="AL205" s="130" t="s">
        <v>1003</v>
      </c>
      <c r="AM205" s="131"/>
      <c r="AN205" s="131"/>
      <c r="AO205" s="131"/>
      <c r="AP205" s="131"/>
      <c r="AQ205" s="133"/>
      <c r="AR205" s="138">
        <v>59.95</v>
      </c>
      <c r="AS205" s="139">
        <f>AR205/0.444</f>
        <v>135.02252252252254</v>
      </c>
      <c r="AT205" s="140" t="s">
        <v>999</v>
      </c>
      <c r="AU205" s="141">
        <v>10038568742442</v>
      </c>
      <c r="AV205" s="142">
        <v>9.01</v>
      </c>
      <c r="AW205" s="142">
        <v>8.27</v>
      </c>
      <c r="AX205" s="142">
        <v>6.34</v>
      </c>
      <c r="AY205" s="143"/>
      <c r="AZ205" s="143"/>
      <c r="BA205" s="143"/>
      <c r="BB205" s="144">
        <f>9.88+(0.018*2)</f>
        <v>9.9160000000000004</v>
      </c>
      <c r="BC205" s="144">
        <f>9.38+(0.018*2)</f>
        <v>9.4160000000000004</v>
      </c>
      <c r="BD205" s="144">
        <f>6.88+(0.018*4)</f>
        <v>6.952</v>
      </c>
      <c r="BE205" s="145">
        <f t="shared" ref="BE205:BE214" si="78">(BD205*BC205*BB205)/1728</f>
        <v>0.37563754474074074</v>
      </c>
      <c r="BF205" s="146">
        <f>0.9+0.1</f>
        <v>1</v>
      </c>
      <c r="BG205" s="147">
        <f>23+(0.125*2)</f>
        <v>23.25</v>
      </c>
      <c r="BH205" s="147">
        <f>10.12+(0.125*2)</f>
        <v>10.37</v>
      </c>
      <c r="BI205" s="147">
        <f>10.12+(0.125*4)</f>
        <v>10.62</v>
      </c>
      <c r="BJ205" s="145">
        <f>(BI205*BH205*BG205)/1728</f>
        <v>1.4817757812499996</v>
      </c>
      <c r="BK205" s="146">
        <f>(BF205*3)+0.25</f>
        <v>3.25</v>
      </c>
      <c r="BL205" s="146"/>
      <c r="BM205" s="146"/>
      <c r="BN205" s="131" t="s">
        <v>68</v>
      </c>
      <c r="BO205" s="131">
        <v>3</v>
      </c>
      <c r="BP205" s="131">
        <v>6</v>
      </c>
      <c r="BQ205" s="131">
        <v>4</v>
      </c>
      <c r="BR205" s="148">
        <f>BO205*BP205*BQ205</f>
        <v>72</v>
      </c>
      <c r="BS205" s="148">
        <f t="shared" ref="BS205:BS212" si="79">(BK205*BP205*BQ205)+50</f>
        <v>128</v>
      </c>
      <c r="BT205" s="131" t="s">
        <v>1000</v>
      </c>
      <c r="BU205" s="148" t="s">
        <v>67</v>
      </c>
      <c r="BV205" s="82"/>
      <c r="BW205" s="82"/>
      <c r="BX205" s="82"/>
      <c r="BY205" s="1"/>
      <c r="BZ205" s="1"/>
      <c r="CA205" s="1"/>
      <c r="CB205" s="1"/>
      <c r="CC205" s="1"/>
      <c r="CD205" s="1"/>
      <c r="CE205" s="1"/>
      <c r="CF205" s="1"/>
    </row>
    <row r="206" spans="1:84" s="83" customFormat="1" x14ac:dyDescent="0.25">
      <c r="A206" s="57">
        <v>42264</v>
      </c>
      <c r="B206" s="350" t="s">
        <v>14</v>
      </c>
      <c r="C206" s="52" t="s">
        <v>1002</v>
      </c>
      <c r="D206" s="296" t="s">
        <v>240</v>
      </c>
      <c r="E206" s="45" t="s">
        <v>84</v>
      </c>
      <c r="F206" s="61" t="s">
        <v>3434</v>
      </c>
      <c r="G206" s="188" t="s">
        <v>2051</v>
      </c>
      <c r="H206" s="52" t="s">
        <v>1008</v>
      </c>
      <c r="I206" s="296"/>
      <c r="J206" s="296"/>
      <c r="K206" s="29"/>
      <c r="L206" s="30"/>
      <c r="M206" s="30"/>
      <c r="N206" s="30"/>
      <c r="O206" s="80"/>
      <c r="P206" s="80"/>
      <c r="Q206" s="80"/>
      <c r="R206" s="80"/>
      <c r="S206" s="80"/>
      <c r="T206" s="80"/>
      <c r="U206" s="29"/>
      <c r="V206" s="41"/>
      <c r="W206" s="29"/>
      <c r="X206" s="41"/>
      <c r="Y206" s="52"/>
      <c r="Z206" s="41"/>
      <c r="AA206" s="29"/>
      <c r="AB206" s="59"/>
      <c r="AC206" s="296"/>
      <c r="AD206" s="59"/>
      <c r="AE206" s="296"/>
      <c r="AF206" s="296"/>
      <c r="AG206" s="296"/>
      <c r="AH206" s="296"/>
      <c r="AI206" s="296"/>
      <c r="AJ206" s="296"/>
      <c r="AK206" s="296"/>
      <c r="AL206" s="52"/>
      <c r="AM206" s="296"/>
      <c r="AN206" s="296"/>
      <c r="AO206" s="296"/>
      <c r="AP206" s="296"/>
      <c r="AQ206" s="29" t="s">
        <v>1005</v>
      </c>
      <c r="AR206" s="67">
        <v>20.39</v>
      </c>
      <c r="AS206" s="27">
        <f>AR206/0.444</f>
        <v>45.923423423423422</v>
      </c>
      <c r="AT206" s="50" t="s">
        <v>1010</v>
      </c>
      <c r="AU206" s="51">
        <v>10038568743005</v>
      </c>
      <c r="AV206" s="49"/>
      <c r="AW206" s="49"/>
      <c r="AX206" s="49"/>
      <c r="AY206" s="293">
        <v>2.99</v>
      </c>
      <c r="AZ206" s="293">
        <v>5.0199999999999996</v>
      </c>
      <c r="BA206" s="49"/>
      <c r="BB206" s="294">
        <f>3.346+(0.018*2)</f>
        <v>3.3820000000000001</v>
      </c>
      <c r="BC206" s="294">
        <f>3.346+(0.018*2)</f>
        <v>3.3820000000000001</v>
      </c>
      <c r="BD206" s="294">
        <f>5.511+(0.018*4)</f>
        <v>5.5830000000000002</v>
      </c>
      <c r="BE206" s="291">
        <f t="shared" si="78"/>
        <v>3.6954820423611118E-2</v>
      </c>
      <c r="BF206" s="81">
        <f>0.25+0.1</f>
        <v>0.35</v>
      </c>
      <c r="BG206" s="295">
        <f>13.75+(0.125*2)</f>
        <v>14</v>
      </c>
      <c r="BH206" s="295">
        <f>10.25+(0.125*2)</f>
        <v>10.5</v>
      </c>
      <c r="BI206" s="295">
        <f>5.75+(0.125*4)</f>
        <v>6.25</v>
      </c>
      <c r="BJ206" s="291">
        <f t="shared" ref="BJ206:BJ212" si="80">(BI206*BH206*BG206)/1728</f>
        <v>0.53168402777777779</v>
      </c>
      <c r="BK206" s="81">
        <f>(BF206*12)+0.25</f>
        <v>4.4499999999999993</v>
      </c>
      <c r="BL206" s="81"/>
      <c r="BM206" s="81"/>
      <c r="BN206" s="296" t="s">
        <v>64</v>
      </c>
      <c r="BO206" s="296">
        <v>12</v>
      </c>
      <c r="BP206" s="296">
        <v>11</v>
      </c>
      <c r="BQ206" s="296">
        <v>7</v>
      </c>
      <c r="BR206" s="32">
        <f t="shared" ref="BR206:BR212" si="81">BO206*BP206*BQ206</f>
        <v>924</v>
      </c>
      <c r="BS206" s="32">
        <f t="shared" si="79"/>
        <v>392.64999999999992</v>
      </c>
      <c r="BT206" s="296" t="s">
        <v>1011</v>
      </c>
      <c r="BU206" s="32" t="s">
        <v>67</v>
      </c>
      <c r="BV206" s="82"/>
      <c r="BW206" s="82"/>
      <c r="BX206" s="82"/>
      <c r="BY206" s="1"/>
      <c r="BZ206" s="1"/>
      <c r="CA206" s="1"/>
      <c r="CB206" s="1"/>
      <c r="CC206" s="1"/>
      <c r="CD206" s="1"/>
      <c r="CE206" s="1"/>
      <c r="CF206" s="1"/>
    </row>
    <row r="207" spans="1:84" s="83" customFormat="1" x14ac:dyDescent="0.25">
      <c r="A207" s="57">
        <v>42264</v>
      </c>
      <c r="B207" s="350" t="s">
        <v>14</v>
      </c>
      <c r="C207" s="52" t="s">
        <v>1001</v>
      </c>
      <c r="D207" s="296" t="s">
        <v>240</v>
      </c>
      <c r="E207" s="45" t="s">
        <v>84</v>
      </c>
      <c r="F207" s="61" t="s">
        <v>3435</v>
      </c>
      <c r="G207" s="188" t="s">
        <v>2051</v>
      </c>
      <c r="H207" s="52">
        <v>1803009</v>
      </c>
      <c r="I207" s="296"/>
      <c r="J207" s="296"/>
      <c r="K207" s="29"/>
      <c r="L207" s="30"/>
      <c r="M207" s="30"/>
      <c r="N207" s="30"/>
      <c r="O207" s="80"/>
      <c r="P207" s="80"/>
      <c r="Q207" s="80"/>
      <c r="R207" s="80"/>
      <c r="S207" s="80"/>
      <c r="T207" s="80"/>
      <c r="U207" s="29"/>
      <c r="V207" s="41"/>
      <c r="W207" s="29"/>
      <c r="X207" s="41"/>
      <c r="Y207" s="52"/>
      <c r="Z207" s="41"/>
      <c r="AA207" s="29"/>
      <c r="AB207" s="59" t="s">
        <v>1007</v>
      </c>
      <c r="AC207" s="296"/>
      <c r="AD207" s="59"/>
      <c r="AE207" s="296"/>
      <c r="AF207" s="296"/>
      <c r="AG207" s="296"/>
      <c r="AH207" s="296"/>
      <c r="AI207" s="296"/>
      <c r="AJ207" s="296"/>
      <c r="AK207" s="296"/>
      <c r="AL207" s="52" t="s">
        <v>1006</v>
      </c>
      <c r="AM207" s="296"/>
      <c r="AN207" s="296"/>
      <c r="AO207" s="296"/>
      <c r="AP207" s="296"/>
      <c r="AQ207" s="29">
        <v>57010</v>
      </c>
      <c r="AR207" s="67">
        <v>30.39</v>
      </c>
      <c r="AS207" s="27">
        <f>AR207/0.444</f>
        <v>68.445945945945951</v>
      </c>
      <c r="AT207" s="50" t="s">
        <v>1012</v>
      </c>
      <c r="AU207" s="51">
        <v>10038568743029</v>
      </c>
      <c r="AV207" s="49"/>
      <c r="AW207" s="49"/>
      <c r="AX207" s="49"/>
      <c r="AY207" s="293">
        <v>4.99</v>
      </c>
      <c r="AZ207" s="293">
        <v>2.87</v>
      </c>
      <c r="BA207" s="49"/>
      <c r="BB207" s="294">
        <f>3.812+(0.018*2)</f>
        <v>3.8479999999999999</v>
      </c>
      <c r="BC207" s="294">
        <f>3.812+(0.018*2)</f>
        <v>3.8479999999999999</v>
      </c>
      <c r="BD207" s="294">
        <f>5.375+(0.018*4)</f>
        <v>5.4470000000000001</v>
      </c>
      <c r="BE207" s="291">
        <f t="shared" si="78"/>
        <v>4.6674939518518511E-2</v>
      </c>
      <c r="BF207" s="81">
        <f>0.215+0.1</f>
        <v>0.315</v>
      </c>
      <c r="BG207" s="295">
        <f>11.625+(0.125*2)</f>
        <v>11.875</v>
      </c>
      <c r="BH207" s="295">
        <f>5.562+(0.125*2)</f>
        <v>5.8120000000000003</v>
      </c>
      <c r="BI207" s="295">
        <f>15.5+(0.125*4)</f>
        <v>16</v>
      </c>
      <c r="BJ207" s="291">
        <f t="shared" si="80"/>
        <v>0.63905092592592594</v>
      </c>
      <c r="BK207" s="81">
        <f>(BF207*3)+0.25</f>
        <v>1.1950000000000001</v>
      </c>
      <c r="BL207" s="81"/>
      <c r="BM207" s="81"/>
      <c r="BN207" s="296" t="s">
        <v>68</v>
      </c>
      <c r="BO207" s="296">
        <v>12</v>
      </c>
      <c r="BP207" s="296">
        <v>10</v>
      </c>
      <c r="BQ207" s="296">
        <v>5</v>
      </c>
      <c r="BR207" s="32">
        <f t="shared" si="81"/>
        <v>600</v>
      </c>
      <c r="BS207" s="32">
        <f t="shared" si="79"/>
        <v>109.75</v>
      </c>
      <c r="BT207" s="296" t="s">
        <v>1000</v>
      </c>
      <c r="BU207" s="32" t="s">
        <v>67</v>
      </c>
      <c r="BV207" s="82"/>
      <c r="BW207" s="82"/>
      <c r="BX207" s="82"/>
      <c r="BY207" s="1"/>
      <c r="BZ207" s="1"/>
      <c r="CA207" s="1"/>
      <c r="CB207" s="1"/>
      <c r="CC207" s="1"/>
      <c r="CD207" s="1"/>
      <c r="CE207" s="1"/>
      <c r="CF207" s="1"/>
    </row>
    <row r="208" spans="1:84" s="83" customFormat="1" x14ac:dyDescent="0.25">
      <c r="A208" s="57">
        <v>42264</v>
      </c>
      <c r="B208" s="350" t="s">
        <v>14</v>
      </c>
      <c r="C208" s="52" t="s">
        <v>960</v>
      </c>
      <c r="D208" s="296" t="s">
        <v>240</v>
      </c>
      <c r="E208" s="45" t="s">
        <v>85</v>
      </c>
      <c r="F208" s="61" t="s">
        <v>3436</v>
      </c>
      <c r="G208" s="188" t="s">
        <v>2051</v>
      </c>
      <c r="H208" s="52" t="s">
        <v>992</v>
      </c>
      <c r="I208" s="296"/>
      <c r="J208" s="296"/>
      <c r="K208" s="29"/>
      <c r="L208" s="30"/>
      <c r="M208" s="30"/>
      <c r="N208" s="30"/>
      <c r="O208" s="80"/>
      <c r="P208" s="80"/>
      <c r="Q208" s="80"/>
      <c r="R208" s="80"/>
      <c r="S208" s="80"/>
      <c r="T208" s="80"/>
      <c r="U208" s="29"/>
      <c r="V208" s="41"/>
      <c r="W208" s="29">
        <v>83240</v>
      </c>
      <c r="X208" s="41"/>
      <c r="Y208" s="52"/>
      <c r="Z208" s="41"/>
      <c r="AA208" s="29"/>
      <c r="AB208" s="29" t="s">
        <v>970</v>
      </c>
      <c r="AC208" s="296" t="s">
        <v>971</v>
      </c>
      <c r="AD208" s="59"/>
      <c r="AE208" s="296" t="s">
        <v>972</v>
      </c>
      <c r="AF208" s="296"/>
      <c r="AG208" s="296"/>
      <c r="AH208" s="296"/>
      <c r="AI208" s="296"/>
      <c r="AJ208" s="296"/>
      <c r="AK208" s="296">
        <v>9240</v>
      </c>
      <c r="AL208" s="52" t="s">
        <v>973</v>
      </c>
      <c r="AM208" s="296"/>
      <c r="AN208" s="296"/>
      <c r="AO208" s="296"/>
      <c r="AP208" s="296"/>
      <c r="AQ208" s="29">
        <v>49240</v>
      </c>
      <c r="AR208" s="67">
        <v>29.14</v>
      </c>
      <c r="AS208" s="27">
        <f>AR208/0.444</f>
        <v>65.630630630630634</v>
      </c>
      <c r="AT208" s="50" t="s">
        <v>962</v>
      </c>
      <c r="AU208" s="51">
        <v>10038568742466</v>
      </c>
      <c r="AV208" s="293">
        <v>9.17</v>
      </c>
      <c r="AW208" s="293">
        <v>9</v>
      </c>
      <c r="AX208" s="293">
        <v>2.48</v>
      </c>
      <c r="AY208" s="49"/>
      <c r="AZ208" s="49"/>
      <c r="BA208" s="49"/>
      <c r="BB208" s="294">
        <f>9.87+(0.018*2)</f>
        <v>9.9059999999999988</v>
      </c>
      <c r="BC208" s="294">
        <f>3.75+(0.018*2)</f>
        <v>3.786</v>
      </c>
      <c r="BD208" s="294">
        <f>9.87+(0.018*4)</f>
        <v>9.9419999999999984</v>
      </c>
      <c r="BE208" s="291">
        <f t="shared" si="78"/>
        <v>0.21577888962499994</v>
      </c>
      <c r="BF208" s="294">
        <f>0.591+0.1</f>
        <v>0.69099999999999995</v>
      </c>
      <c r="BG208" s="295">
        <f>11.75+(0.125*2)</f>
        <v>12</v>
      </c>
      <c r="BH208" s="295">
        <f>10.12+(0.125*2)</f>
        <v>10.37</v>
      </c>
      <c r="BI208" s="295">
        <f>10.12+(0.125*4)</f>
        <v>10.62</v>
      </c>
      <c r="BJ208" s="291">
        <f t="shared" si="80"/>
        <v>0.76478749999999995</v>
      </c>
      <c r="BK208" s="294">
        <f>(BF208*3)+0.25</f>
        <v>2.323</v>
      </c>
      <c r="BL208" s="341"/>
      <c r="BM208" s="341"/>
      <c r="BN208" s="296" t="s">
        <v>68</v>
      </c>
      <c r="BO208" s="296">
        <v>3</v>
      </c>
      <c r="BP208" s="296">
        <v>12</v>
      </c>
      <c r="BQ208" s="296">
        <v>4</v>
      </c>
      <c r="BR208" s="32">
        <f t="shared" si="81"/>
        <v>144</v>
      </c>
      <c r="BS208" s="32">
        <f t="shared" si="79"/>
        <v>161.50399999999999</v>
      </c>
      <c r="BT208" s="296" t="s">
        <v>182</v>
      </c>
      <c r="BU208" s="32" t="s">
        <v>67</v>
      </c>
      <c r="BV208" s="82"/>
      <c r="BW208" s="82"/>
      <c r="BX208" s="82"/>
      <c r="BY208" s="1"/>
      <c r="BZ208" s="1"/>
      <c r="CA208" s="1"/>
      <c r="CB208" s="1"/>
      <c r="CC208" s="1"/>
      <c r="CD208" s="1"/>
      <c r="CE208" s="1"/>
      <c r="CF208" s="1"/>
    </row>
    <row r="209" spans="1:84" s="83" customFormat="1" x14ac:dyDescent="0.25">
      <c r="A209" s="57">
        <v>42264</v>
      </c>
      <c r="B209" s="350" t="s">
        <v>14</v>
      </c>
      <c r="C209" s="52" t="s">
        <v>961</v>
      </c>
      <c r="D209" s="296" t="s">
        <v>240</v>
      </c>
      <c r="E209" s="45" t="s">
        <v>85</v>
      </c>
      <c r="F209" s="61" t="s">
        <v>3437</v>
      </c>
      <c r="G209" s="188" t="s">
        <v>2051</v>
      </c>
      <c r="H209" s="52" t="s">
        <v>994</v>
      </c>
      <c r="I209" s="296"/>
      <c r="J209" s="296"/>
      <c r="K209" s="29"/>
      <c r="L209" s="30"/>
      <c r="M209" s="30"/>
      <c r="N209" s="30"/>
      <c r="O209" s="80"/>
      <c r="P209" s="80"/>
      <c r="Q209" s="80"/>
      <c r="R209" s="80"/>
      <c r="S209" s="80"/>
      <c r="T209" s="80"/>
      <c r="U209" s="29"/>
      <c r="V209" s="41"/>
      <c r="W209" s="29">
        <v>93007</v>
      </c>
      <c r="X209" s="41" t="s">
        <v>961</v>
      </c>
      <c r="Y209" s="52"/>
      <c r="Z209" s="41"/>
      <c r="AA209" s="29"/>
      <c r="AB209" s="29" t="s">
        <v>974</v>
      </c>
      <c r="AC209" s="296"/>
      <c r="AD209" s="59"/>
      <c r="AE209" s="296"/>
      <c r="AF209" s="296"/>
      <c r="AG209" s="296"/>
      <c r="AH209" s="296" t="s">
        <v>975</v>
      </c>
      <c r="AI209" s="296" t="s">
        <v>961</v>
      </c>
      <c r="AJ209" s="296"/>
      <c r="AK209" s="296"/>
      <c r="AL209" s="52"/>
      <c r="AM209" s="296" t="s">
        <v>976</v>
      </c>
      <c r="AN209" s="296"/>
      <c r="AO209" s="296"/>
      <c r="AP209" s="296"/>
      <c r="AQ209" s="29" t="s">
        <v>977</v>
      </c>
      <c r="AR209" s="67">
        <v>17.350000000000001</v>
      </c>
      <c r="AS209" s="27">
        <f t="shared" ref="AS209:AS212" si="82">AR209/0.444</f>
        <v>39.076576576576578</v>
      </c>
      <c r="AT209" s="50" t="s">
        <v>963</v>
      </c>
      <c r="AU209" s="51">
        <v>10038568742527</v>
      </c>
      <c r="AV209" s="293">
        <v>11.34</v>
      </c>
      <c r="AW209" s="293">
        <v>7.05</v>
      </c>
      <c r="AX209" s="293">
        <v>2.2799999999999998</v>
      </c>
      <c r="AY209" s="49"/>
      <c r="AZ209" s="49"/>
      <c r="BA209" s="49"/>
      <c r="BB209" s="294">
        <f>7+(0.018*2)</f>
        <v>7.0359999999999996</v>
      </c>
      <c r="BC209" s="294">
        <f>2.5+(0.018*2)</f>
        <v>2.536</v>
      </c>
      <c r="BD209" s="294">
        <f>11.75+(0.018*4)</f>
        <v>11.821999999999999</v>
      </c>
      <c r="BE209" s="291">
        <f t="shared" si="78"/>
        <v>0.12207375307407406</v>
      </c>
      <c r="BF209" s="294">
        <f>0.7+0.1</f>
        <v>0.79999999999999993</v>
      </c>
      <c r="BG209" s="295">
        <f>12+(0.125*2)</f>
        <v>12.25</v>
      </c>
      <c r="BH209" s="295">
        <f>7.25+(0.125*2)</f>
        <v>7.5</v>
      </c>
      <c r="BI209" s="295">
        <f>8+(0.125*4)</f>
        <v>8.5</v>
      </c>
      <c r="BJ209" s="291">
        <f t="shared" si="80"/>
        <v>0.4519314236111111</v>
      </c>
      <c r="BK209" s="294">
        <f>(BF209*3)+0.25</f>
        <v>2.65</v>
      </c>
      <c r="BL209" s="341"/>
      <c r="BM209" s="341"/>
      <c r="BN209" s="296" t="s">
        <v>68</v>
      </c>
      <c r="BO209" s="296">
        <v>3</v>
      </c>
      <c r="BP209" s="296">
        <v>13</v>
      </c>
      <c r="BQ209" s="296">
        <v>5</v>
      </c>
      <c r="BR209" s="32">
        <f t="shared" si="81"/>
        <v>195</v>
      </c>
      <c r="BS209" s="32">
        <f t="shared" si="79"/>
        <v>222.24999999999997</v>
      </c>
      <c r="BT209" s="296" t="s">
        <v>69</v>
      </c>
      <c r="BU209" s="32" t="s">
        <v>67</v>
      </c>
      <c r="BV209" s="82"/>
      <c r="BW209" s="82"/>
      <c r="BX209" s="82"/>
      <c r="BY209" s="1"/>
      <c r="BZ209" s="1"/>
      <c r="CA209" s="1"/>
      <c r="CB209" s="1"/>
      <c r="CC209" s="1"/>
      <c r="CD209" s="1"/>
      <c r="CE209" s="1"/>
      <c r="CF209" s="1"/>
    </row>
    <row r="210" spans="1:84" s="83" customFormat="1" x14ac:dyDescent="0.25">
      <c r="A210" s="57">
        <v>42264</v>
      </c>
      <c r="B210" s="350" t="s">
        <v>14</v>
      </c>
      <c r="C210" s="52" t="s">
        <v>964</v>
      </c>
      <c r="D210" s="296" t="s">
        <v>240</v>
      </c>
      <c r="E210" s="45" t="s">
        <v>85</v>
      </c>
      <c r="F210" s="61" t="s">
        <v>3438</v>
      </c>
      <c r="G210" s="188" t="s">
        <v>2051</v>
      </c>
      <c r="H210" s="52" t="s">
        <v>224</v>
      </c>
      <c r="I210" s="296"/>
      <c r="J210" s="296"/>
      <c r="K210" s="29"/>
      <c r="L210" s="30"/>
      <c r="M210" s="30"/>
      <c r="N210" s="30"/>
      <c r="O210" s="80"/>
      <c r="P210" s="80"/>
      <c r="Q210" s="80"/>
      <c r="R210" s="80"/>
      <c r="S210" s="80"/>
      <c r="T210" s="80"/>
      <c r="U210" s="29"/>
      <c r="V210" s="41"/>
      <c r="W210" s="29">
        <v>83074</v>
      </c>
      <c r="X210" s="41" t="s">
        <v>964</v>
      </c>
      <c r="Y210" s="52"/>
      <c r="Z210" s="41"/>
      <c r="AA210" s="29"/>
      <c r="AB210" s="59" t="s">
        <v>979</v>
      </c>
      <c r="AC210" s="296" t="s">
        <v>980</v>
      </c>
      <c r="AD210" s="59"/>
      <c r="AE210" s="296" t="s">
        <v>981</v>
      </c>
      <c r="AF210" s="296"/>
      <c r="AG210" s="296"/>
      <c r="AH210" s="296"/>
      <c r="AI210" s="296" t="s">
        <v>964</v>
      </c>
      <c r="AJ210" s="296"/>
      <c r="AK210" s="296">
        <v>9074</v>
      </c>
      <c r="AL210" s="52" t="s">
        <v>982</v>
      </c>
      <c r="AM210" s="296" t="s">
        <v>983</v>
      </c>
      <c r="AN210" s="296" t="s">
        <v>978</v>
      </c>
      <c r="AO210" s="296"/>
      <c r="AP210" s="296" t="s">
        <v>978</v>
      </c>
      <c r="AQ210" s="29">
        <v>49074</v>
      </c>
      <c r="AR210" s="67">
        <v>14.99</v>
      </c>
      <c r="AS210" s="27">
        <f t="shared" si="82"/>
        <v>33.761261261261261</v>
      </c>
      <c r="AT210" s="50" t="s">
        <v>967</v>
      </c>
      <c r="AU210" s="51">
        <v>10038568742374</v>
      </c>
      <c r="AV210" s="293">
        <v>11.5</v>
      </c>
      <c r="AW210" s="293">
        <v>11.38</v>
      </c>
      <c r="AX210" s="293">
        <v>1.08</v>
      </c>
      <c r="AY210" s="49"/>
      <c r="AZ210" s="49"/>
      <c r="BA210" s="49"/>
      <c r="BB210" s="294">
        <f>11.5+(0.018*2)</f>
        <v>11.536</v>
      </c>
      <c r="BC210" s="294">
        <f>2+(0.018*2)</f>
        <v>2.036</v>
      </c>
      <c r="BD210" s="294">
        <f>11.5+(0.018*4)</f>
        <v>11.571999999999999</v>
      </c>
      <c r="BE210" s="291">
        <f t="shared" si="78"/>
        <v>0.15728876696296296</v>
      </c>
      <c r="BF210" s="294">
        <f>0.661+0.1</f>
        <v>0.76100000000000001</v>
      </c>
      <c r="BG210" s="295">
        <f>16.12+(0.125*2)</f>
        <v>16.37</v>
      </c>
      <c r="BH210" s="295">
        <f>12.25+(0.125*2)</f>
        <v>12.5</v>
      </c>
      <c r="BI210" s="295">
        <f>12.25+(0.125*4)</f>
        <v>12.75</v>
      </c>
      <c r="BJ210" s="291">
        <f t="shared" si="80"/>
        <v>1.5098198784722223</v>
      </c>
      <c r="BK210" s="294">
        <f>(BF210*6)+0.25</f>
        <v>4.8159999999999998</v>
      </c>
      <c r="BL210" s="341"/>
      <c r="BM210" s="341"/>
      <c r="BN210" s="296" t="s">
        <v>68</v>
      </c>
      <c r="BO210" s="296">
        <v>6</v>
      </c>
      <c r="BP210" s="296">
        <v>12</v>
      </c>
      <c r="BQ210" s="296">
        <v>3</v>
      </c>
      <c r="BR210" s="32">
        <f t="shared" si="81"/>
        <v>216</v>
      </c>
      <c r="BS210" s="32">
        <f t="shared" si="79"/>
        <v>223.376</v>
      </c>
      <c r="BT210" s="296" t="s">
        <v>69</v>
      </c>
      <c r="BU210" s="32" t="s">
        <v>67</v>
      </c>
      <c r="BV210" s="82"/>
      <c r="BW210" s="82"/>
      <c r="BX210" s="82"/>
      <c r="BY210" s="1"/>
      <c r="BZ210" s="1"/>
      <c r="CA210" s="1"/>
      <c r="CB210" s="1"/>
      <c r="CC210" s="1"/>
      <c r="CD210" s="1"/>
      <c r="CE210" s="1"/>
      <c r="CF210" s="1"/>
    </row>
    <row r="211" spans="1:84" s="83" customFormat="1" x14ac:dyDescent="0.25">
      <c r="A211" s="57">
        <v>42264</v>
      </c>
      <c r="B211" s="350" t="s">
        <v>14</v>
      </c>
      <c r="C211" s="52" t="s">
        <v>965</v>
      </c>
      <c r="D211" s="296" t="s">
        <v>240</v>
      </c>
      <c r="E211" s="45" t="s">
        <v>85</v>
      </c>
      <c r="F211" s="61" t="s">
        <v>3439</v>
      </c>
      <c r="G211" s="188" t="s">
        <v>2051</v>
      </c>
      <c r="H211" s="52" t="s">
        <v>996</v>
      </c>
      <c r="I211" s="296"/>
      <c r="J211" s="296"/>
      <c r="K211" s="29"/>
      <c r="L211" s="30"/>
      <c r="M211" s="30"/>
      <c r="N211" s="30"/>
      <c r="O211" s="80"/>
      <c r="P211" s="80"/>
      <c r="Q211" s="80"/>
      <c r="R211" s="80"/>
      <c r="S211" s="80"/>
      <c r="T211" s="80"/>
      <c r="U211" s="29"/>
      <c r="V211" s="41"/>
      <c r="W211" s="29">
        <v>83593</v>
      </c>
      <c r="X211" s="41"/>
      <c r="Y211" s="52"/>
      <c r="Z211" s="41"/>
      <c r="AA211" s="29"/>
      <c r="AB211" s="59" t="s">
        <v>984</v>
      </c>
      <c r="AC211" s="296" t="s">
        <v>985</v>
      </c>
      <c r="AD211" s="59"/>
      <c r="AE211" s="296"/>
      <c r="AF211" s="296"/>
      <c r="AG211" s="296"/>
      <c r="AH211" s="296" t="s">
        <v>986</v>
      </c>
      <c r="AI211" s="296"/>
      <c r="AJ211" s="296"/>
      <c r="AK211" s="296">
        <v>9593</v>
      </c>
      <c r="AL211" s="52"/>
      <c r="AM211" s="296"/>
      <c r="AN211" s="296"/>
      <c r="AO211" s="296"/>
      <c r="AP211" s="296"/>
      <c r="AQ211" s="29">
        <v>49593</v>
      </c>
      <c r="AR211" s="67">
        <v>39.82</v>
      </c>
      <c r="AS211" s="27">
        <f t="shared" si="82"/>
        <v>89.684684684684683</v>
      </c>
      <c r="AT211" s="50" t="s">
        <v>968</v>
      </c>
      <c r="AU211" s="51">
        <v>10038568742428</v>
      </c>
      <c r="AV211" s="293">
        <v>13.56</v>
      </c>
      <c r="AW211" s="293">
        <v>6.44</v>
      </c>
      <c r="AX211" s="293">
        <v>1.95</v>
      </c>
      <c r="AY211" s="49"/>
      <c r="AZ211" s="49"/>
      <c r="BA211" s="49"/>
      <c r="BB211" s="294">
        <f>6.5+(0.018*2)</f>
        <v>6.5359999999999996</v>
      </c>
      <c r="BC211" s="294">
        <f>1.75+(0.018*2)</f>
        <v>1.786</v>
      </c>
      <c r="BD211" s="294">
        <f>13.25+(0.018*4)</f>
        <v>13.321999999999999</v>
      </c>
      <c r="BE211" s="291">
        <f t="shared" si="78"/>
        <v>8.9995167425925907E-2</v>
      </c>
      <c r="BF211" s="294">
        <f>0.549+0.1</f>
        <v>0.64900000000000002</v>
      </c>
      <c r="BG211" s="295">
        <f>13.75+(0.125*2)</f>
        <v>14</v>
      </c>
      <c r="BH211" s="295">
        <f>7+(0.125*2)</f>
        <v>7.25</v>
      </c>
      <c r="BI211" s="295">
        <f>6+(0.125*4)</f>
        <v>6.5</v>
      </c>
      <c r="BJ211" s="291">
        <f t="shared" si="80"/>
        <v>0.38179976851851855</v>
      </c>
      <c r="BK211" s="294">
        <f>(BF211*3)+0.25</f>
        <v>2.1970000000000001</v>
      </c>
      <c r="BL211" s="341"/>
      <c r="BM211" s="341"/>
      <c r="BN211" s="296" t="s">
        <v>68</v>
      </c>
      <c r="BO211" s="296">
        <v>3</v>
      </c>
      <c r="BP211" s="296">
        <v>15</v>
      </c>
      <c r="BQ211" s="296">
        <v>6</v>
      </c>
      <c r="BR211" s="32">
        <f t="shared" si="81"/>
        <v>270</v>
      </c>
      <c r="BS211" s="32">
        <f t="shared" si="79"/>
        <v>247.73</v>
      </c>
      <c r="BT211" s="296" t="s">
        <v>255</v>
      </c>
      <c r="BU211" s="32" t="s">
        <v>67</v>
      </c>
      <c r="BV211" s="82"/>
      <c r="BW211" s="82"/>
      <c r="BX211" s="82"/>
      <c r="BY211" s="1"/>
      <c r="BZ211" s="1"/>
      <c r="CA211" s="1"/>
      <c r="CB211" s="1"/>
      <c r="CC211" s="1"/>
      <c r="CD211" s="1"/>
      <c r="CE211" s="1"/>
      <c r="CF211" s="1"/>
    </row>
    <row r="212" spans="1:84" s="83" customFormat="1" x14ac:dyDescent="0.25">
      <c r="A212" s="57">
        <v>42264</v>
      </c>
      <c r="B212" s="350" t="s">
        <v>14</v>
      </c>
      <c r="C212" s="52" t="s">
        <v>966</v>
      </c>
      <c r="D212" s="296" t="s">
        <v>240</v>
      </c>
      <c r="E212" s="45" t="s">
        <v>85</v>
      </c>
      <c r="F212" s="61" t="s">
        <v>3440</v>
      </c>
      <c r="G212" s="188" t="s">
        <v>2051</v>
      </c>
      <c r="H212" s="52">
        <v>1560940504</v>
      </c>
      <c r="I212" s="296"/>
      <c r="J212" s="296"/>
      <c r="K212" s="29"/>
      <c r="L212" s="30"/>
      <c r="M212" s="30"/>
      <c r="N212" s="30"/>
      <c r="O212" s="80"/>
      <c r="P212" s="80"/>
      <c r="Q212" s="80"/>
      <c r="R212" s="80"/>
      <c r="S212" s="80"/>
      <c r="T212" s="80"/>
      <c r="U212" s="29"/>
      <c r="V212" s="41"/>
      <c r="W212" s="29">
        <v>83504</v>
      </c>
      <c r="X212" s="41"/>
      <c r="Y212" s="52"/>
      <c r="Z212" s="41"/>
      <c r="AA212" s="29"/>
      <c r="AB212" s="59" t="s">
        <v>987</v>
      </c>
      <c r="AC212" s="296" t="s">
        <v>988</v>
      </c>
      <c r="AD212" s="59"/>
      <c r="AE212" s="296" t="s">
        <v>989</v>
      </c>
      <c r="AF212" s="296"/>
      <c r="AG212" s="296"/>
      <c r="AH212" s="296" t="s">
        <v>990</v>
      </c>
      <c r="AI212" s="296"/>
      <c r="AJ212" s="296"/>
      <c r="AK212" s="296">
        <v>9504</v>
      </c>
      <c r="AL212" s="52" t="s">
        <v>991</v>
      </c>
      <c r="AM212" s="296"/>
      <c r="AN212" s="296"/>
      <c r="AO212" s="296"/>
      <c r="AP212" s="296"/>
      <c r="AQ212" s="29">
        <v>49504</v>
      </c>
      <c r="AR212" s="67">
        <v>32.71</v>
      </c>
      <c r="AS212" s="27">
        <f t="shared" si="82"/>
        <v>73.671171171171167</v>
      </c>
      <c r="AT212" s="50" t="s">
        <v>969</v>
      </c>
      <c r="AU212" s="51">
        <v>10038568742503</v>
      </c>
      <c r="AV212" s="293">
        <v>12.32</v>
      </c>
      <c r="AW212" s="293">
        <v>6.2</v>
      </c>
      <c r="AX212" s="293">
        <v>0.98</v>
      </c>
      <c r="AY212" s="49"/>
      <c r="AZ212" s="49"/>
      <c r="BA212" s="49"/>
      <c r="BB212" s="294">
        <f>7+(0.018*2)</f>
        <v>7.0359999999999996</v>
      </c>
      <c r="BC212" s="294">
        <f>2.5+(0.018*2)</f>
        <v>2.536</v>
      </c>
      <c r="BD212" s="294">
        <f>11.75+(0.018*4)</f>
        <v>11.821999999999999</v>
      </c>
      <c r="BE212" s="291">
        <f t="shared" si="78"/>
        <v>0.12207375307407406</v>
      </c>
      <c r="BF212" s="294">
        <f>0.26+0.1</f>
        <v>0.36</v>
      </c>
      <c r="BG212" s="295">
        <f>12+(0.125*2)</f>
        <v>12.25</v>
      </c>
      <c r="BH212" s="295">
        <f>7.25+(0.125*2)</f>
        <v>7.5</v>
      </c>
      <c r="BI212" s="295">
        <f>8+(0.125*4)</f>
        <v>8.5</v>
      </c>
      <c r="BJ212" s="291">
        <f t="shared" si="80"/>
        <v>0.4519314236111111</v>
      </c>
      <c r="BK212" s="294">
        <f>(BF212*3)+0.25</f>
        <v>1.33</v>
      </c>
      <c r="BL212" s="341"/>
      <c r="BM212" s="341"/>
      <c r="BN212" s="296" t="s">
        <v>68</v>
      </c>
      <c r="BO212" s="296">
        <v>3</v>
      </c>
      <c r="BP212" s="296">
        <v>15</v>
      </c>
      <c r="BQ212" s="296">
        <v>6</v>
      </c>
      <c r="BR212" s="32">
        <f t="shared" si="81"/>
        <v>270</v>
      </c>
      <c r="BS212" s="32">
        <f t="shared" si="79"/>
        <v>169.70000000000002</v>
      </c>
      <c r="BT212" s="296" t="s">
        <v>255</v>
      </c>
      <c r="BU212" s="32" t="s">
        <v>67</v>
      </c>
      <c r="BV212" s="82"/>
      <c r="BW212" s="82"/>
      <c r="BX212" s="82"/>
      <c r="BY212" s="1"/>
      <c r="BZ212" s="1"/>
      <c r="CA212" s="1"/>
      <c r="CB212" s="1"/>
      <c r="CC212" s="1"/>
      <c r="CD212" s="1"/>
      <c r="CE212" s="1"/>
      <c r="CF212" s="1"/>
    </row>
    <row r="213" spans="1:84" s="83" customFormat="1" x14ac:dyDescent="0.25">
      <c r="A213" s="57">
        <v>42264</v>
      </c>
      <c r="B213" s="350" t="s">
        <v>14</v>
      </c>
      <c r="C213" s="52" t="s">
        <v>949</v>
      </c>
      <c r="D213" s="45" t="s">
        <v>181</v>
      </c>
      <c r="E213" s="45" t="s">
        <v>133</v>
      </c>
      <c r="F213" s="61" t="s">
        <v>3441</v>
      </c>
      <c r="G213" s="188" t="s">
        <v>2051</v>
      </c>
      <c r="H213" s="52">
        <v>95021102</v>
      </c>
      <c r="I213" s="296"/>
      <c r="J213" s="296"/>
      <c r="K213" s="29"/>
      <c r="L213" s="30"/>
      <c r="M213" s="30"/>
      <c r="N213" s="30"/>
      <c r="O213" s="80"/>
      <c r="P213" s="80"/>
      <c r="Q213" s="80"/>
      <c r="R213" s="80"/>
      <c r="S213" s="80"/>
      <c r="T213" s="80"/>
      <c r="U213" s="29"/>
      <c r="V213" s="41"/>
      <c r="W213" s="29"/>
      <c r="X213" s="41"/>
      <c r="Y213" s="52"/>
      <c r="Z213" s="41"/>
      <c r="AA213" s="29"/>
      <c r="AB213" s="29" t="s">
        <v>959</v>
      </c>
      <c r="AC213" s="296"/>
      <c r="AD213" s="59"/>
      <c r="AE213" s="296"/>
      <c r="AF213" s="296"/>
      <c r="AG213" s="296"/>
      <c r="AH213" s="296"/>
      <c r="AI213" s="296"/>
      <c r="AJ213" s="296"/>
      <c r="AK213" s="296"/>
      <c r="AL213" s="52"/>
      <c r="AM213" s="296"/>
      <c r="AN213" s="296"/>
      <c r="AO213" s="296"/>
      <c r="AP213" s="296"/>
      <c r="AQ213" s="29"/>
      <c r="AR213" s="67">
        <v>19.59</v>
      </c>
      <c r="AS213" s="27">
        <f>AR213/0.444</f>
        <v>44.121621621621621</v>
      </c>
      <c r="AT213" s="50" t="s">
        <v>952</v>
      </c>
      <c r="AU213" s="51">
        <v>10038568742404</v>
      </c>
      <c r="AV213" s="293">
        <v>9</v>
      </c>
      <c r="AW213" s="293">
        <v>6.26</v>
      </c>
      <c r="AX213" s="293">
        <v>2.2599999999999998</v>
      </c>
      <c r="AY213" s="49"/>
      <c r="AZ213" s="49"/>
      <c r="BA213" s="49"/>
      <c r="BB213" s="294">
        <f>7+(0.018*2)</f>
        <v>7.0359999999999996</v>
      </c>
      <c r="BC213" s="294">
        <f>2.5+(0.018*2)</f>
        <v>2.536</v>
      </c>
      <c r="BD213" s="294">
        <f>11.75+(0.018*4)</f>
        <v>11.821999999999999</v>
      </c>
      <c r="BE213" s="291">
        <f t="shared" si="78"/>
        <v>0.12207375307407406</v>
      </c>
      <c r="BF213" s="294">
        <f>0.412+0.1</f>
        <v>0.51200000000000001</v>
      </c>
      <c r="BG213" s="295">
        <f>12+(0.125*2)</f>
        <v>12.25</v>
      </c>
      <c r="BH213" s="295">
        <f>7.25+(0.125*2)</f>
        <v>7.5</v>
      </c>
      <c r="BI213" s="295">
        <f>8+(0.125*4)</f>
        <v>8.5</v>
      </c>
      <c r="BJ213" s="291">
        <f>(BI213*BH213*BG213)/1728</f>
        <v>0.4519314236111111</v>
      </c>
      <c r="BK213" s="294">
        <f>(BF213*3)+0.25</f>
        <v>1.786</v>
      </c>
      <c r="BL213" s="341"/>
      <c r="BM213" s="341"/>
      <c r="BN213" s="296" t="s">
        <v>68</v>
      </c>
      <c r="BO213" s="296">
        <v>3</v>
      </c>
      <c r="BP213" s="296">
        <v>20</v>
      </c>
      <c r="BQ213" s="296">
        <v>5</v>
      </c>
      <c r="BR213" s="32">
        <f>BO213*BP213*BQ213</f>
        <v>300</v>
      </c>
      <c r="BS213" s="32">
        <f>(BK213*BP213*BQ213)+50</f>
        <v>228.6</v>
      </c>
      <c r="BT213" s="296" t="s">
        <v>182</v>
      </c>
      <c r="BU213" s="32" t="s">
        <v>67</v>
      </c>
      <c r="BV213" s="82"/>
      <c r="BW213" s="82"/>
      <c r="BX213" s="82"/>
      <c r="BY213" s="1"/>
      <c r="BZ213" s="1"/>
      <c r="CA213" s="1"/>
      <c r="CB213" s="1"/>
      <c r="CC213" s="1"/>
      <c r="CD213" s="1"/>
      <c r="CE213" s="1"/>
      <c r="CF213" s="1"/>
    </row>
    <row r="214" spans="1:84" s="83" customFormat="1" x14ac:dyDescent="0.25">
      <c r="A214" s="57">
        <v>42264</v>
      </c>
      <c r="B214" s="350" t="s">
        <v>14</v>
      </c>
      <c r="C214" s="52" t="s">
        <v>251</v>
      </c>
      <c r="D214" s="45" t="s">
        <v>181</v>
      </c>
      <c r="E214" s="45" t="s">
        <v>133</v>
      </c>
      <c r="F214" s="61" t="s">
        <v>3442</v>
      </c>
      <c r="G214" s="188" t="s">
        <v>2051</v>
      </c>
      <c r="H214" s="52" t="s">
        <v>956</v>
      </c>
      <c r="I214" s="296"/>
      <c r="J214" s="296"/>
      <c r="K214" s="29"/>
      <c r="L214" s="30"/>
      <c r="M214" s="30"/>
      <c r="N214" s="30"/>
      <c r="O214" s="80"/>
      <c r="P214" s="80"/>
      <c r="Q214" s="80"/>
      <c r="R214" s="80"/>
      <c r="S214" s="80"/>
      <c r="T214" s="80"/>
      <c r="U214" s="29"/>
      <c r="V214" s="41"/>
      <c r="W214" s="29"/>
      <c r="X214" s="41"/>
      <c r="Y214" s="52"/>
      <c r="Z214" s="41"/>
      <c r="AA214" s="29"/>
      <c r="AB214" s="29" t="s">
        <v>958</v>
      </c>
      <c r="AC214" s="296"/>
      <c r="AD214" s="59"/>
      <c r="AE214" s="296"/>
      <c r="AF214" s="296"/>
      <c r="AG214" s="296"/>
      <c r="AH214" s="296"/>
      <c r="AI214" s="296"/>
      <c r="AJ214" s="296"/>
      <c r="AK214" s="296"/>
      <c r="AL214" s="52"/>
      <c r="AM214" s="296"/>
      <c r="AN214" s="296"/>
      <c r="AO214" s="296"/>
      <c r="AP214" s="296"/>
      <c r="AQ214" s="29"/>
      <c r="AR214" s="67">
        <v>19.86</v>
      </c>
      <c r="AS214" s="27">
        <f>AR214/0.444</f>
        <v>44.729729729729726</v>
      </c>
      <c r="AT214" s="50" t="s">
        <v>953</v>
      </c>
      <c r="AU214" s="51">
        <v>10038568742336</v>
      </c>
      <c r="AV214" s="293">
        <v>11.67</v>
      </c>
      <c r="AW214" s="293">
        <v>6.48</v>
      </c>
      <c r="AX214" s="293">
        <v>2.09</v>
      </c>
      <c r="AY214" s="49"/>
      <c r="AZ214" s="49"/>
      <c r="BA214" s="49"/>
      <c r="BB214" s="294">
        <f>7+(0.018*2)</f>
        <v>7.0359999999999996</v>
      </c>
      <c r="BC214" s="294">
        <f>2.5+(0.018*2)</f>
        <v>2.536</v>
      </c>
      <c r="BD214" s="294">
        <f>11.75+(0.018*4)</f>
        <v>11.821999999999999</v>
      </c>
      <c r="BE214" s="291">
        <f t="shared" si="78"/>
        <v>0.12207375307407406</v>
      </c>
      <c r="BF214" s="294">
        <f>0.7+0.1</f>
        <v>0.79999999999999993</v>
      </c>
      <c r="BG214" s="295">
        <f>12+(0.125*2)</f>
        <v>12.25</v>
      </c>
      <c r="BH214" s="295">
        <f>7.25+(0.125*2)</f>
        <v>7.5</v>
      </c>
      <c r="BI214" s="295">
        <f>8+(0.125*4)</f>
        <v>8.5</v>
      </c>
      <c r="BJ214" s="291">
        <f>(BI214*BH214*BG214)/1728</f>
        <v>0.4519314236111111</v>
      </c>
      <c r="BK214" s="294">
        <f>(BF214*3)+0.25</f>
        <v>2.65</v>
      </c>
      <c r="BL214" s="341"/>
      <c r="BM214" s="341"/>
      <c r="BN214" s="296" t="s">
        <v>68</v>
      </c>
      <c r="BO214" s="296">
        <v>3</v>
      </c>
      <c r="BP214" s="296">
        <v>20</v>
      </c>
      <c r="BQ214" s="296">
        <v>5</v>
      </c>
      <c r="BR214" s="32">
        <f>BO214*BP214*BQ214</f>
        <v>300</v>
      </c>
      <c r="BS214" s="32">
        <f>(BK214*BP214*BQ214)+50</f>
        <v>315</v>
      </c>
      <c r="BT214" s="296" t="s">
        <v>255</v>
      </c>
      <c r="BU214" s="32" t="s">
        <v>67</v>
      </c>
      <c r="BV214" s="82"/>
      <c r="BW214" s="82"/>
      <c r="BX214" s="82"/>
      <c r="BY214" s="1"/>
      <c r="BZ214" s="1"/>
      <c r="CA214" s="1"/>
      <c r="CB214" s="1"/>
      <c r="CC214" s="1"/>
      <c r="CD214" s="1"/>
      <c r="CE214" s="1"/>
      <c r="CF214" s="1"/>
    </row>
    <row r="215" spans="1:84" s="83" customFormat="1" ht="45" x14ac:dyDescent="0.25">
      <c r="A215" s="57">
        <v>42264</v>
      </c>
      <c r="B215" s="350" t="s">
        <v>14</v>
      </c>
      <c r="C215" s="52" t="s">
        <v>950</v>
      </c>
      <c r="D215" s="45" t="s">
        <v>73</v>
      </c>
      <c r="E215" s="45" t="s">
        <v>951</v>
      </c>
      <c r="F215" s="364" t="s">
        <v>3443</v>
      </c>
      <c r="G215" s="188" t="s">
        <v>219</v>
      </c>
      <c r="H215" s="52"/>
      <c r="I215" s="296"/>
      <c r="J215" s="296"/>
      <c r="K215" s="29"/>
      <c r="L215" s="30"/>
      <c r="M215" s="30"/>
      <c r="N215" s="30"/>
      <c r="O215" s="80"/>
      <c r="P215" s="80"/>
      <c r="Q215" s="80"/>
      <c r="R215" s="80"/>
      <c r="S215" s="80"/>
      <c r="T215" s="80"/>
      <c r="U215" s="29"/>
      <c r="V215" s="41"/>
      <c r="W215" s="29"/>
      <c r="X215" s="41"/>
      <c r="Y215" s="52"/>
      <c r="Z215" s="41"/>
      <c r="AA215" s="29"/>
      <c r="AB215" s="59"/>
      <c r="AC215" s="296"/>
      <c r="AD215" s="59"/>
      <c r="AE215" s="296"/>
      <c r="AF215" s="296"/>
      <c r="AG215" s="296"/>
      <c r="AH215" s="296"/>
      <c r="AI215" s="296"/>
      <c r="AJ215" s="296"/>
      <c r="AK215" s="296"/>
      <c r="AL215" s="52"/>
      <c r="AM215" s="296"/>
      <c r="AN215" s="296"/>
      <c r="AO215" s="296"/>
      <c r="AP215" s="296"/>
      <c r="AQ215" s="29"/>
      <c r="AR215" s="67">
        <v>109.42</v>
      </c>
      <c r="AS215" s="72">
        <f>AR215/0.444</f>
        <v>246.44144144144144</v>
      </c>
      <c r="AT215" s="50" t="s">
        <v>954</v>
      </c>
      <c r="AU215" s="51">
        <v>10038568742909</v>
      </c>
      <c r="AV215" s="49"/>
      <c r="AW215" s="49"/>
      <c r="AX215" s="49"/>
      <c r="AY215" s="49"/>
      <c r="AZ215" s="49"/>
      <c r="BA215" s="49"/>
      <c r="BB215" s="438" t="s">
        <v>80</v>
      </c>
      <c r="BC215" s="438"/>
      <c r="BD215" s="438"/>
      <c r="BE215" s="438"/>
      <c r="BF215" s="438"/>
      <c r="BG215" s="295">
        <f>12.75+(0.125*2)</f>
        <v>13</v>
      </c>
      <c r="BH215" s="295">
        <f>8.62+(0.125*2)</f>
        <v>8.8699999999999992</v>
      </c>
      <c r="BI215" s="295">
        <f>11.5+(0.125*4)</f>
        <v>12</v>
      </c>
      <c r="BJ215" s="291">
        <f t="shared" ref="BJ215" si="83">(BI215*BH215*BG215)/1728</f>
        <v>0.80076388888888894</v>
      </c>
      <c r="BK215" s="294">
        <f>11.78+0.25</f>
        <v>12.03</v>
      </c>
      <c r="BL215" s="341"/>
      <c r="BM215" s="341"/>
      <c r="BN215" s="296" t="s">
        <v>68</v>
      </c>
      <c r="BO215" s="296">
        <v>1</v>
      </c>
      <c r="BP215" s="296">
        <v>15</v>
      </c>
      <c r="BQ215" s="296">
        <v>3</v>
      </c>
      <c r="BR215" s="32">
        <f t="shared" ref="BR215" si="84">BO215*BP215*BQ215</f>
        <v>45</v>
      </c>
      <c r="BS215" s="32">
        <f t="shared" ref="BS215" si="85">(BK215*BP215*BQ215)+50</f>
        <v>591.34999999999991</v>
      </c>
      <c r="BT215" s="61" t="s">
        <v>955</v>
      </c>
      <c r="BU215" s="32" t="s">
        <v>67</v>
      </c>
      <c r="BV215" s="82"/>
      <c r="BW215" s="82"/>
      <c r="BX215" s="82"/>
      <c r="BY215" s="1"/>
      <c r="BZ215" s="1"/>
      <c r="CA215" s="1"/>
      <c r="CB215" s="1"/>
      <c r="CC215" s="1"/>
      <c r="CD215" s="1"/>
      <c r="CE215" s="1"/>
      <c r="CF215" s="1"/>
    </row>
    <row r="216" spans="1:84" s="83" customFormat="1" x14ac:dyDescent="0.25">
      <c r="A216" s="57">
        <v>42264</v>
      </c>
      <c r="B216" s="350" t="s">
        <v>14</v>
      </c>
      <c r="C216" s="78" t="s">
        <v>316</v>
      </c>
      <c r="D216" s="45" t="s">
        <v>250</v>
      </c>
      <c r="E216" s="45" t="s">
        <v>133</v>
      </c>
      <c r="F216" s="364" t="s">
        <v>3444</v>
      </c>
      <c r="G216" s="188" t="s">
        <v>2051</v>
      </c>
      <c r="H216" s="52" t="s">
        <v>319</v>
      </c>
      <c r="I216" s="296" t="s">
        <v>51</v>
      </c>
      <c r="J216" s="296" t="s">
        <v>320</v>
      </c>
      <c r="K216" s="29"/>
      <c r="L216" s="30"/>
      <c r="M216" s="30"/>
      <c r="N216" s="30"/>
      <c r="O216" s="80"/>
      <c r="P216" s="80"/>
      <c r="Q216" s="80"/>
      <c r="R216" s="80"/>
      <c r="S216" s="80"/>
      <c r="T216" s="80"/>
      <c r="U216" s="29"/>
      <c r="V216" s="41"/>
      <c r="W216" s="29"/>
      <c r="X216" s="41"/>
      <c r="Y216" s="52"/>
      <c r="Z216" s="41"/>
      <c r="AA216" s="29"/>
      <c r="AB216" s="59" t="s">
        <v>321</v>
      </c>
      <c r="AC216" s="296"/>
      <c r="AD216" s="59" t="s">
        <v>322</v>
      </c>
      <c r="AE216" s="296"/>
      <c r="AF216" s="296"/>
      <c r="AG216" s="296"/>
      <c r="AH216" s="296"/>
      <c r="AI216" s="296"/>
      <c r="AJ216" s="296" t="s">
        <v>320</v>
      </c>
      <c r="AK216" s="296"/>
      <c r="AL216" s="52" t="s">
        <v>323</v>
      </c>
      <c r="AM216" s="296"/>
      <c r="AN216" s="296"/>
      <c r="AO216" s="296"/>
      <c r="AP216" s="296" t="s">
        <v>324</v>
      </c>
      <c r="AQ216" s="29"/>
      <c r="AR216" s="67">
        <v>16.350000000000001</v>
      </c>
      <c r="AS216" s="27">
        <f>AR216/0.444</f>
        <v>36.82432432432433</v>
      </c>
      <c r="AT216" s="50" t="s">
        <v>317</v>
      </c>
      <c r="AU216" s="51">
        <v>10038568316032</v>
      </c>
      <c r="AV216" s="293">
        <v>9.65</v>
      </c>
      <c r="AW216" s="293">
        <v>7.8</v>
      </c>
      <c r="AX216" s="293">
        <v>2.2400000000000002</v>
      </c>
      <c r="AY216" s="49"/>
      <c r="AZ216" s="49"/>
      <c r="BA216" s="49"/>
      <c r="BB216" s="294">
        <f>9.75+(0.018*2)</f>
        <v>9.7859999999999996</v>
      </c>
      <c r="BC216" s="294">
        <f>2.31+(0.018*2)</f>
        <v>2.3460000000000001</v>
      </c>
      <c r="BD216" s="294">
        <f>9.75+(0.018*4)</f>
        <v>9.8219999999999992</v>
      </c>
      <c r="BE216" s="291">
        <f t="shared" ref="BE216" si="86">(BD216*BC216*BB216)/1728</f>
        <v>0.13049365962499998</v>
      </c>
      <c r="BF216" s="294">
        <f>0.54+0.1</f>
        <v>0.64</v>
      </c>
      <c r="BG216" s="295">
        <f>14.25+(0.125*2)</f>
        <v>14.5</v>
      </c>
      <c r="BH216" s="295">
        <f>9.87+(0.125*2)</f>
        <v>10.119999999999999</v>
      </c>
      <c r="BI216" s="295">
        <f>9.87+(0.125*4)</f>
        <v>10.37</v>
      </c>
      <c r="BJ216" s="291">
        <f>(BI216*BH216*BG216)/1728</f>
        <v>0.88060983796296288</v>
      </c>
      <c r="BK216" s="294">
        <f>(BF216*6)+0.25</f>
        <v>4.09</v>
      </c>
      <c r="BL216" s="341"/>
      <c r="BM216" s="341"/>
      <c r="BN216" s="296" t="s">
        <v>68</v>
      </c>
      <c r="BO216" s="296">
        <v>6</v>
      </c>
      <c r="BP216" s="296">
        <v>11</v>
      </c>
      <c r="BQ216" s="296">
        <v>3</v>
      </c>
      <c r="BR216" s="32">
        <f>BO216*BP216*BQ216</f>
        <v>198</v>
      </c>
      <c r="BS216" s="32">
        <f>(BK216*BP216*BQ216)+50</f>
        <v>184.96999999999997</v>
      </c>
      <c r="BT216" s="296" t="s">
        <v>182</v>
      </c>
      <c r="BU216" s="32" t="s">
        <v>67</v>
      </c>
      <c r="BV216" s="82"/>
      <c r="BW216" s="82"/>
      <c r="BX216" s="82"/>
      <c r="BY216" s="1"/>
      <c r="BZ216" s="1"/>
      <c r="CA216" s="1"/>
      <c r="CB216" s="1"/>
      <c r="CC216" s="1"/>
      <c r="CD216" s="1"/>
      <c r="CE216" s="1"/>
      <c r="CF216" s="1"/>
    </row>
    <row r="217" spans="1:84" s="83" customFormat="1" x14ac:dyDescent="0.25">
      <c r="A217" s="57">
        <v>42264</v>
      </c>
      <c r="B217" s="350" t="s">
        <v>14</v>
      </c>
      <c r="C217" s="78" t="s">
        <v>315</v>
      </c>
      <c r="D217" s="45" t="s">
        <v>73</v>
      </c>
      <c r="E217" s="45" t="s">
        <v>132</v>
      </c>
      <c r="F217" s="364" t="s">
        <v>3445</v>
      </c>
      <c r="G217" s="188" t="s">
        <v>2051</v>
      </c>
      <c r="H217" s="296" t="s">
        <v>325</v>
      </c>
      <c r="I217" s="296" t="s">
        <v>66</v>
      </c>
      <c r="J217" s="296" t="s">
        <v>326</v>
      </c>
      <c r="K217" s="29"/>
      <c r="L217" s="30"/>
      <c r="M217" s="30"/>
      <c r="N217" s="30"/>
      <c r="O217" s="80"/>
      <c r="P217" s="80"/>
      <c r="Q217" s="80"/>
      <c r="R217" s="80"/>
      <c r="S217" s="80"/>
      <c r="T217" s="80"/>
      <c r="U217" s="29" t="s">
        <v>327</v>
      </c>
      <c r="V217" s="41"/>
      <c r="W217" s="29"/>
      <c r="X217" s="41"/>
      <c r="Y217" s="52"/>
      <c r="Z217" s="41" t="s">
        <v>328</v>
      </c>
      <c r="AA217" s="29" t="s">
        <v>329</v>
      </c>
      <c r="AB217" s="29" t="s">
        <v>330</v>
      </c>
      <c r="AC217" s="53"/>
      <c r="AD217" s="37"/>
      <c r="AE217" s="37"/>
      <c r="AF217" s="37"/>
      <c r="AG217" s="37"/>
      <c r="AH217" s="37"/>
      <c r="AI217" s="37"/>
      <c r="AJ217" s="37"/>
      <c r="AK217" s="28"/>
      <c r="AL217" s="52"/>
      <c r="AM217" s="37"/>
      <c r="AN217" s="37"/>
      <c r="AO217" s="37"/>
      <c r="AP217" s="37"/>
      <c r="AQ217" s="29">
        <v>33753</v>
      </c>
      <c r="AR217" s="63">
        <v>32.479999999999997</v>
      </c>
      <c r="AS217" s="27">
        <f>AR217/0.444</f>
        <v>73.153153153153141</v>
      </c>
      <c r="AT217" s="50" t="s">
        <v>318</v>
      </c>
      <c r="AU217" s="51">
        <v>10038568738261</v>
      </c>
      <c r="AV217" s="49"/>
      <c r="AW217" s="49"/>
      <c r="AX217" s="49"/>
      <c r="AY217" s="84">
        <v>6.48</v>
      </c>
      <c r="AZ217" s="84">
        <v>4.26</v>
      </c>
      <c r="BA217" s="84">
        <v>3.63</v>
      </c>
      <c r="BB217" s="438" t="s">
        <v>80</v>
      </c>
      <c r="BC217" s="438"/>
      <c r="BD217" s="438"/>
      <c r="BE217" s="438"/>
      <c r="BF217" s="438"/>
      <c r="BG217" s="295">
        <f>13.25+(0.125*2)</f>
        <v>13.5</v>
      </c>
      <c r="BH217" s="295">
        <f>9+(0.125*2)</f>
        <v>9.25</v>
      </c>
      <c r="BI217" s="295">
        <f>6.75+(0.125*4)</f>
        <v>7.25</v>
      </c>
      <c r="BJ217" s="291">
        <f t="shared" ref="BJ217" si="87">(BI217*BH217*BG217)/1728</f>
        <v>0.52392578125</v>
      </c>
      <c r="BK217" s="294">
        <f>(1.5*6)+0.25</f>
        <v>9.25</v>
      </c>
      <c r="BL217" s="341"/>
      <c r="BM217" s="341"/>
      <c r="BN217" s="296" t="s">
        <v>68</v>
      </c>
      <c r="BO217" s="296">
        <v>6</v>
      </c>
      <c r="BP217" s="296">
        <v>13</v>
      </c>
      <c r="BQ217" s="296">
        <v>6</v>
      </c>
      <c r="BR217" s="32">
        <f t="shared" ref="BR217" si="88">BO217*BP217*BQ217</f>
        <v>468</v>
      </c>
      <c r="BS217" s="32">
        <f t="shared" ref="BS217" si="89">(BK217*BP217*BQ217)+50</f>
        <v>771.5</v>
      </c>
      <c r="BT217" s="296" t="s">
        <v>62</v>
      </c>
      <c r="BU217" s="32" t="s">
        <v>67</v>
      </c>
      <c r="BV217" s="82"/>
      <c r="BW217" s="82"/>
      <c r="BX217" s="82"/>
      <c r="BY217" s="1"/>
      <c r="BZ217" s="1"/>
      <c r="CA217" s="1"/>
      <c r="CB217" s="1"/>
      <c r="CC217" s="1"/>
      <c r="CD217" s="1"/>
      <c r="CE217" s="1"/>
      <c r="CF217" s="1"/>
    </row>
    <row r="218" spans="1:84" s="83" customFormat="1" ht="15" customHeight="1" x14ac:dyDescent="0.25">
      <c r="A218" s="57">
        <v>42264</v>
      </c>
      <c r="B218" s="350" t="s">
        <v>14</v>
      </c>
      <c r="C218" s="75" t="s">
        <v>244</v>
      </c>
      <c r="D218" s="45" t="s">
        <v>250</v>
      </c>
      <c r="E218" s="45" t="s">
        <v>133</v>
      </c>
      <c r="F218" s="61" t="s">
        <v>3446</v>
      </c>
      <c r="G218" s="188" t="s">
        <v>2051</v>
      </c>
      <c r="H218" s="296">
        <v>25898499</v>
      </c>
      <c r="I218" s="62"/>
      <c r="J218" s="37"/>
      <c r="K218" s="29"/>
      <c r="L218" s="30"/>
      <c r="M218" s="30"/>
      <c r="N218" s="30"/>
      <c r="O218" s="80"/>
      <c r="P218" s="80"/>
      <c r="Q218" s="80"/>
      <c r="R218" s="80"/>
      <c r="S218" s="80"/>
      <c r="T218" s="80"/>
      <c r="U218" s="29"/>
      <c r="V218" s="41"/>
      <c r="W218" s="29"/>
      <c r="X218" s="41"/>
      <c r="Y218" s="52"/>
      <c r="Z218" s="41"/>
      <c r="AA218" s="29"/>
      <c r="AB218" s="29" t="s">
        <v>1014</v>
      </c>
      <c r="AC218" s="37"/>
      <c r="AD218" s="37"/>
      <c r="AE218" s="37"/>
      <c r="AF218" s="37"/>
      <c r="AG218" s="37"/>
      <c r="AH218" s="37"/>
      <c r="AI218" s="37"/>
      <c r="AJ218" s="37"/>
      <c r="AK218" s="28"/>
      <c r="AL218" s="37"/>
      <c r="AM218" s="37"/>
      <c r="AN218" s="37"/>
      <c r="AO218" s="37"/>
      <c r="AP218" s="37"/>
      <c r="AQ218" s="29"/>
      <c r="AR218" s="63">
        <v>69.739999999999995</v>
      </c>
      <c r="AS218" s="27">
        <v>157.07207207207205</v>
      </c>
      <c r="AT218" s="50" t="s">
        <v>254</v>
      </c>
      <c r="AU218" s="51">
        <v>10038568742398</v>
      </c>
      <c r="AV218" s="293">
        <v>11.32</v>
      </c>
      <c r="AW218" s="293">
        <v>9.31</v>
      </c>
      <c r="AX218" s="293">
        <v>1.97</v>
      </c>
      <c r="AY218" s="49"/>
      <c r="AZ218" s="44"/>
      <c r="BA218" s="44"/>
      <c r="BB218" s="294">
        <v>10.036</v>
      </c>
      <c r="BC218" s="294">
        <v>2.536</v>
      </c>
      <c r="BD218" s="294">
        <v>12.571999999999999</v>
      </c>
      <c r="BE218" s="291">
        <v>0.18516996140740738</v>
      </c>
      <c r="BF218" s="294">
        <v>0.753</v>
      </c>
      <c r="BG218" s="295">
        <v>13.25</v>
      </c>
      <c r="BH218" s="295">
        <v>8.25</v>
      </c>
      <c r="BI218" s="295">
        <v>11.5</v>
      </c>
      <c r="BJ218" s="291">
        <v>0.72748480902777779</v>
      </c>
      <c r="BK218" s="294">
        <v>2.5089999999999999</v>
      </c>
      <c r="BL218" s="341"/>
      <c r="BM218" s="341"/>
      <c r="BN218" s="296" t="s">
        <v>68</v>
      </c>
      <c r="BO218" s="296">
        <v>3</v>
      </c>
      <c r="BP218" s="296">
        <v>16</v>
      </c>
      <c r="BQ218" s="296">
        <v>3</v>
      </c>
      <c r="BR218" s="32">
        <v>144</v>
      </c>
      <c r="BS218" s="32">
        <v>170.43199999999999</v>
      </c>
      <c r="BT218" s="296" t="s">
        <v>255</v>
      </c>
      <c r="BU218" s="32" t="s">
        <v>67</v>
      </c>
      <c r="BV218" s="82"/>
      <c r="BW218" s="82"/>
      <c r="BX218" s="82"/>
      <c r="BY218" s="1"/>
      <c r="BZ218" s="1"/>
      <c r="CA218" s="1"/>
      <c r="CB218" s="1"/>
      <c r="CC218" s="1"/>
      <c r="CD218" s="1"/>
      <c r="CE218" s="1"/>
      <c r="CF218" s="1"/>
    </row>
    <row r="219" spans="1:84" s="83" customFormat="1" x14ac:dyDescent="0.25">
      <c r="A219" s="57">
        <v>42264</v>
      </c>
      <c r="B219" s="350" t="s">
        <v>14</v>
      </c>
      <c r="C219" s="75" t="s">
        <v>245</v>
      </c>
      <c r="D219" s="45" t="s">
        <v>250</v>
      </c>
      <c r="E219" s="45" t="s">
        <v>133</v>
      </c>
      <c r="F219" s="61" t="s">
        <v>3447</v>
      </c>
      <c r="G219" s="188" t="s">
        <v>2051</v>
      </c>
      <c r="H219" s="296">
        <v>13717798342</v>
      </c>
      <c r="I219" s="62"/>
      <c r="J219" s="37"/>
      <c r="K219" s="29"/>
      <c r="L219" s="30"/>
      <c r="M219" s="30"/>
      <c r="N219" s="30"/>
      <c r="O219" s="80"/>
      <c r="P219" s="80"/>
      <c r="Q219" s="80"/>
      <c r="R219" s="80"/>
      <c r="S219" s="80"/>
      <c r="T219" s="80"/>
      <c r="U219" s="29"/>
      <c r="V219" s="41"/>
      <c r="W219" s="29"/>
      <c r="X219" s="41"/>
      <c r="Y219" s="52"/>
      <c r="Z219" s="41"/>
      <c r="AA219" s="29"/>
      <c r="AB219" s="29" t="s">
        <v>1015</v>
      </c>
      <c r="AC219" s="59" t="s">
        <v>272</v>
      </c>
      <c r="AD219" s="37"/>
      <c r="AE219" s="37"/>
      <c r="AF219" s="37"/>
      <c r="AG219" s="37"/>
      <c r="AH219" s="37"/>
      <c r="AI219" s="37"/>
      <c r="AJ219" s="37"/>
      <c r="AK219" s="28"/>
      <c r="AL219" s="37" t="s">
        <v>273</v>
      </c>
      <c r="AM219" s="37"/>
      <c r="AN219" s="37"/>
      <c r="AO219" s="37"/>
      <c r="AP219" s="37"/>
      <c r="AQ219" s="53" t="s">
        <v>274</v>
      </c>
      <c r="AR219" s="63">
        <v>46.6</v>
      </c>
      <c r="AS219" s="27">
        <v>104.95495495495496</v>
      </c>
      <c r="AT219" s="50" t="s">
        <v>256</v>
      </c>
      <c r="AU219" s="51">
        <v>10038568742411</v>
      </c>
      <c r="AV219" s="293">
        <v>12.68</v>
      </c>
      <c r="AW219" s="293">
        <v>10.02</v>
      </c>
      <c r="AX219" s="293">
        <v>2.17</v>
      </c>
      <c r="AY219" s="49"/>
      <c r="AZ219" s="49"/>
      <c r="BA219" s="49"/>
      <c r="BB219" s="294">
        <v>10.536</v>
      </c>
      <c r="BC219" s="294">
        <v>2.786</v>
      </c>
      <c r="BD219" s="294">
        <v>15.071999999999999</v>
      </c>
      <c r="BE219" s="291">
        <v>0.25602597066666666</v>
      </c>
      <c r="BF219" s="294">
        <v>1.171</v>
      </c>
      <c r="BG219" s="295">
        <v>15.68</v>
      </c>
      <c r="BH219" s="295">
        <v>11.81</v>
      </c>
      <c r="BI219" s="295">
        <v>9.6199999999999992</v>
      </c>
      <c r="BJ219" s="291">
        <v>1.0309255185185184</v>
      </c>
      <c r="BK219" s="294">
        <v>3.7629999999999999</v>
      </c>
      <c r="BL219" s="341"/>
      <c r="BM219" s="341"/>
      <c r="BN219" s="296" t="s">
        <v>68</v>
      </c>
      <c r="BO219" s="296">
        <v>3</v>
      </c>
      <c r="BP219" s="296">
        <v>10</v>
      </c>
      <c r="BQ219" s="296">
        <v>4</v>
      </c>
      <c r="BR219" s="32">
        <v>120</v>
      </c>
      <c r="BS219" s="32">
        <v>200.51999999999998</v>
      </c>
      <c r="BT219" s="296" t="s">
        <v>255</v>
      </c>
      <c r="BU219" s="32" t="s">
        <v>67</v>
      </c>
      <c r="BV219" s="82"/>
      <c r="BW219" s="82"/>
      <c r="BX219" s="82"/>
      <c r="BY219" s="1"/>
      <c r="BZ219" s="1"/>
      <c r="CA219" s="1"/>
      <c r="CB219" s="1"/>
      <c r="CC219" s="1"/>
      <c r="CD219" s="1"/>
      <c r="CE219" s="1"/>
      <c r="CF219" s="1"/>
    </row>
    <row r="220" spans="1:84" s="83" customFormat="1" x14ac:dyDescent="0.25">
      <c r="A220" s="57">
        <v>42264</v>
      </c>
      <c r="B220" s="350" t="s">
        <v>14</v>
      </c>
      <c r="C220" s="75" t="s">
        <v>246</v>
      </c>
      <c r="D220" s="45" t="s">
        <v>250</v>
      </c>
      <c r="E220" s="45" t="s">
        <v>133</v>
      </c>
      <c r="F220" s="61" t="s">
        <v>3448</v>
      </c>
      <c r="G220" s="188" t="s">
        <v>2051</v>
      </c>
      <c r="H220" s="296" t="s">
        <v>262</v>
      </c>
      <c r="I220" s="62"/>
      <c r="J220" s="37"/>
      <c r="K220" s="29"/>
      <c r="L220" s="30"/>
      <c r="M220" s="30"/>
      <c r="N220" s="30"/>
      <c r="O220" s="80"/>
      <c r="P220" s="80"/>
      <c r="Q220" s="80"/>
      <c r="R220" s="80"/>
      <c r="S220" s="80"/>
      <c r="T220" s="80"/>
      <c r="U220" s="29"/>
      <c r="V220" s="41"/>
      <c r="W220" s="29"/>
      <c r="X220" s="41"/>
      <c r="Y220" s="52"/>
      <c r="Z220" s="41"/>
      <c r="AA220" s="29"/>
      <c r="AB220" s="29" t="s">
        <v>1016</v>
      </c>
      <c r="AC220" s="53"/>
      <c r="AD220" s="37"/>
      <c r="AE220" s="37"/>
      <c r="AF220" s="37"/>
      <c r="AG220" s="37"/>
      <c r="AH220" s="37"/>
      <c r="AI220" s="37"/>
      <c r="AJ220" s="37"/>
      <c r="AK220" s="28"/>
      <c r="AL220" s="37" t="s">
        <v>275</v>
      </c>
      <c r="AM220" s="37"/>
      <c r="AN220" s="37"/>
      <c r="AO220" s="37"/>
      <c r="AP220" s="37"/>
      <c r="AQ220" s="53" t="s">
        <v>276</v>
      </c>
      <c r="AR220" s="63">
        <v>21.67</v>
      </c>
      <c r="AS220" s="27">
        <v>48.806306306306311</v>
      </c>
      <c r="AT220" s="50" t="s">
        <v>258</v>
      </c>
      <c r="AU220" s="51">
        <v>10038568316056</v>
      </c>
      <c r="AV220" s="293">
        <v>11.22</v>
      </c>
      <c r="AW220" s="293">
        <v>6.46</v>
      </c>
      <c r="AX220" s="293">
        <v>2.11</v>
      </c>
      <c r="AY220" s="49"/>
      <c r="AZ220" s="49"/>
      <c r="BA220" s="49"/>
      <c r="BB220" s="294">
        <v>7.0359999999999996</v>
      </c>
      <c r="BC220" s="294">
        <v>2.536</v>
      </c>
      <c r="BD220" s="294">
        <v>11.821999999999999</v>
      </c>
      <c r="BE220" s="291">
        <v>0.12207375307407406</v>
      </c>
      <c r="BF220" s="294">
        <v>0.80099999999999993</v>
      </c>
      <c r="BG220" s="295">
        <v>12.25</v>
      </c>
      <c r="BH220" s="295">
        <v>7.5</v>
      </c>
      <c r="BI220" s="295">
        <v>8.5</v>
      </c>
      <c r="BJ220" s="291">
        <v>0.4519314236111111</v>
      </c>
      <c r="BK220" s="294">
        <v>2.6529999999999996</v>
      </c>
      <c r="BL220" s="341"/>
      <c r="BM220" s="341"/>
      <c r="BN220" s="296" t="s">
        <v>68</v>
      </c>
      <c r="BO220" s="296">
        <v>3</v>
      </c>
      <c r="BP220" s="296">
        <v>20</v>
      </c>
      <c r="BQ220" s="296">
        <v>5</v>
      </c>
      <c r="BR220" s="32">
        <v>300</v>
      </c>
      <c r="BS220" s="32">
        <v>315.29999999999995</v>
      </c>
      <c r="BT220" s="296" t="s">
        <v>255</v>
      </c>
      <c r="BU220" s="32" t="s">
        <v>67</v>
      </c>
      <c r="BV220" s="82"/>
      <c r="BW220" s="82"/>
      <c r="BX220" s="82"/>
      <c r="BY220" s="1"/>
      <c r="BZ220" s="1"/>
      <c r="CA220" s="1"/>
      <c r="CB220" s="1"/>
      <c r="CC220" s="1"/>
      <c r="CD220" s="1"/>
      <c r="CE220" s="1"/>
      <c r="CF220" s="1"/>
    </row>
    <row r="221" spans="1:84" s="83" customFormat="1" x14ac:dyDescent="0.25">
      <c r="A221" s="57">
        <v>42264</v>
      </c>
      <c r="B221" s="350" t="s">
        <v>14</v>
      </c>
      <c r="C221" s="75" t="s">
        <v>247</v>
      </c>
      <c r="D221" s="45" t="s">
        <v>250</v>
      </c>
      <c r="E221" s="45" t="s">
        <v>133</v>
      </c>
      <c r="F221" s="61" t="s">
        <v>3449</v>
      </c>
      <c r="G221" s="188" t="s">
        <v>2051</v>
      </c>
      <c r="H221" s="296">
        <v>2710940304</v>
      </c>
      <c r="I221" s="62"/>
      <c r="J221" s="37"/>
      <c r="K221" s="29"/>
      <c r="L221" s="30"/>
      <c r="M221" s="30"/>
      <c r="N221" s="30"/>
      <c r="O221" s="80"/>
      <c r="P221" s="80"/>
      <c r="Q221" s="80"/>
      <c r="R221" s="80"/>
      <c r="S221" s="80"/>
      <c r="T221" s="80"/>
      <c r="U221" s="29"/>
      <c r="V221" s="41"/>
      <c r="W221" s="29"/>
      <c r="X221" s="41"/>
      <c r="Y221" s="52"/>
      <c r="Z221" s="41"/>
      <c r="AA221" s="29"/>
      <c r="AB221" s="29" t="s">
        <v>1017</v>
      </c>
      <c r="AC221" s="53"/>
      <c r="AD221" s="37"/>
      <c r="AE221" s="37"/>
      <c r="AF221" s="37"/>
      <c r="AG221" s="37"/>
      <c r="AH221" s="37"/>
      <c r="AI221" s="37"/>
      <c r="AJ221" s="37"/>
      <c r="AK221" s="28"/>
      <c r="AL221" s="52"/>
      <c r="AM221" s="37"/>
      <c r="AN221" s="37"/>
      <c r="AO221" s="37"/>
      <c r="AP221" s="37"/>
      <c r="AQ221" s="29"/>
      <c r="AR221" s="63">
        <v>25.89</v>
      </c>
      <c r="AS221" s="27">
        <v>58.310810810810814</v>
      </c>
      <c r="AT221" s="50" t="s">
        <v>257</v>
      </c>
      <c r="AU221" s="51">
        <v>10038568742480</v>
      </c>
      <c r="AV221" s="293">
        <v>12.36</v>
      </c>
      <c r="AW221" s="293">
        <v>5.75</v>
      </c>
      <c r="AX221" s="293">
        <v>2.0099999999999998</v>
      </c>
      <c r="AY221" s="49"/>
      <c r="AZ221" s="49"/>
      <c r="BA221" s="49"/>
      <c r="BB221" s="294">
        <v>9.2859999999999996</v>
      </c>
      <c r="BC221" s="294">
        <v>2.9060000000000001</v>
      </c>
      <c r="BD221" s="294">
        <v>13.191999999999998</v>
      </c>
      <c r="BE221" s="291">
        <v>0.20601137168518519</v>
      </c>
      <c r="BF221" s="294">
        <v>0.5</v>
      </c>
      <c r="BG221" s="295">
        <v>13.87</v>
      </c>
      <c r="BH221" s="295">
        <v>9.75</v>
      </c>
      <c r="BI221" s="295">
        <v>10</v>
      </c>
      <c r="BJ221" s="291">
        <v>0.78259548611111096</v>
      </c>
      <c r="BK221" s="294">
        <v>1.75</v>
      </c>
      <c r="BL221" s="341"/>
      <c r="BM221" s="341"/>
      <c r="BN221" s="296" t="s">
        <v>68</v>
      </c>
      <c r="BO221" s="296">
        <v>3</v>
      </c>
      <c r="BP221" s="296">
        <v>13</v>
      </c>
      <c r="BQ221" s="296">
        <v>4</v>
      </c>
      <c r="BR221" s="32">
        <v>156</v>
      </c>
      <c r="BS221" s="32">
        <v>141</v>
      </c>
      <c r="BT221" s="296" t="s">
        <v>69</v>
      </c>
      <c r="BU221" s="32" t="s">
        <v>67</v>
      </c>
      <c r="BV221" s="82"/>
      <c r="BW221" s="82"/>
      <c r="BX221" s="82"/>
      <c r="BY221" s="1"/>
      <c r="BZ221" s="1"/>
      <c r="CA221" s="1"/>
      <c r="CB221" s="1"/>
      <c r="CC221" s="1"/>
      <c r="CD221" s="1"/>
      <c r="CE221" s="1"/>
      <c r="CF221" s="1"/>
    </row>
    <row r="222" spans="1:84" s="83" customFormat="1" x14ac:dyDescent="0.25">
      <c r="A222" s="57">
        <v>42264</v>
      </c>
      <c r="B222" s="350" t="s">
        <v>14</v>
      </c>
      <c r="C222" s="85" t="s">
        <v>248</v>
      </c>
      <c r="D222" s="45" t="s">
        <v>250</v>
      </c>
      <c r="E222" s="45" t="s">
        <v>133</v>
      </c>
      <c r="F222" s="364" t="s">
        <v>3450</v>
      </c>
      <c r="G222" s="188" t="s">
        <v>2051</v>
      </c>
      <c r="H222" s="37">
        <v>13717599285</v>
      </c>
      <c r="I222" s="62"/>
      <c r="J222" s="37"/>
      <c r="K222" s="29"/>
      <c r="L222" s="30"/>
      <c r="M222" s="30"/>
      <c r="N222" s="30"/>
      <c r="O222" s="80"/>
      <c r="P222" s="80"/>
      <c r="Q222" s="80"/>
      <c r="R222" s="80"/>
      <c r="S222" s="80"/>
      <c r="T222" s="80"/>
      <c r="U222" s="29"/>
      <c r="V222" s="41"/>
      <c r="W222" s="29"/>
      <c r="X222" s="41"/>
      <c r="Y222" s="52"/>
      <c r="Z222" s="41"/>
      <c r="AA222" s="29"/>
      <c r="AB222" s="29"/>
      <c r="AC222" s="53"/>
      <c r="AD222" s="37"/>
      <c r="AE222" s="37"/>
      <c r="AF222" s="37"/>
      <c r="AG222" s="37"/>
      <c r="AH222" s="37"/>
      <c r="AI222" s="37"/>
      <c r="AJ222" s="37"/>
      <c r="AK222" s="28"/>
      <c r="AL222" s="52"/>
      <c r="AM222" s="37"/>
      <c r="AN222" s="37"/>
      <c r="AO222" s="37"/>
      <c r="AP222" s="37"/>
      <c r="AQ222" s="29"/>
      <c r="AR222" s="63">
        <v>30.61</v>
      </c>
      <c r="AS222" s="27">
        <v>68.941441441441441</v>
      </c>
      <c r="AT222" s="50" t="s">
        <v>303</v>
      </c>
      <c r="AU222" s="51">
        <v>10038568742510</v>
      </c>
      <c r="AV222" s="293">
        <v>11.2</v>
      </c>
      <c r="AW222" s="293">
        <v>10.43</v>
      </c>
      <c r="AX222" s="293">
        <v>1.28</v>
      </c>
      <c r="AY222" s="49"/>
      <c r="AZ222" s="49"/>
      <c r="BA222" s="49"/>
      <c r="BB222" s="294">
        <v>12.155999999999999</v>
      </c>
      <c r="BC222" s="294">
        <v>2.5960000000000001</v>
      </c>
      <c r="BD222" s="294">
        <v>12.191999999999998</v>
      </c>
      <c r="BE222" s="291">
        <v>0.22265199733333332</v>
      </c>
      <c r="BF222" s="294">
        <v>0.60699999999999998</v>
      </c>
      <c r="BG222" s="295">
        <v>12.62</v>
      </c>
      <c r="BH222" s="295">
        <v>8.3699999999999992</v>
      </c>
      <c r="BI222" s="295">
        <v>12.87</v>
      </c>
      <c r="BJ222" s="291">
        <v>0.78671896874999969</v>
      </c>
      <c r="BK222" s="294">
        <v>2.0709999999999997</v>
      </c>
      <c r="BL222" s="341"/>
      <c r="BM222" s="341"/>
      <c r="BN222" s="296" t="s">
        <v>68</v>
      </c>
      <c r="BO222" s="296">
        <v>3</v>
      </c>
      <c r="BP222" s="296">
        <v>16</v>
      </c>
      <c r="BQ222" s="296">
        <v>5</v>
      </c>
      <c r="BR222" s="32">
        <v>240</v>
      </c>
      <c r="BS222" s="32">
        <v>215.67999999999998</v>
      </c>
      <c r="BT222" s="296" t="s">
        <v>182</v>
      </c>
      <c r="BU222" s="32" t="s">
        <v>67</v>
      </c>
      <c r="BV222" s="82"/>
      <c r="BW222" s="82"/>
      <c r="BX222" s="82"/>
      <c r="BY222" s="1"/>
      <c r="BZ222" s="1"/>
      <c r="CA222" s="1"/>
      <c r="CB222" s="1"/>
      <c r="CC222" s="1"/>
      <c r="CD222" s="1"/>
      <c r="CE222" s="1"/>
      <c r="CF222" s="1"/>
    </row>
    <row r="223" spans="1:84" s="83" customFormat="1" ht="15" customHeight="1" x14ac:dyDescent="0.25">
      <c r="A223" s="57">
        <v>42264</v>
      </c>
      <c r="B223" s="350" t="s">
        <v>14</v>
      </c>
      <c r="C223" s="78" t="s">
        <v>283</v>
      </c>
      <c r="D223" s="45" t="s">
        <v>73</v>
      </c>
      <c r="E223" s="45" t="s">
        <v>239</v>
      </c>
      <c r="F223" s="364" t="s">
        <v>3451</v>
      </c>
      <c r="G223" s="188" t="s">
        <v>2051</v>
      </c>
      <c r="H223" s="296" t="s">
        <v>284</v>
      </c>
      <c r="I223" s="62"/>
      <c r="J223" s="37"/>
      <c r="K223" s="29"/>
      <c r="L223" s="30"/>
      <c r="M223" s="30"/>
      <c r="N223" s="30"/>
      <c r="O223" s="80"/>
      <c r="P223" s="80"/>
      <c r="Q223" s="80"/>
      <c r="R223" s="80"/>
      <c r="S223" s="80"/>
      <c r="T223" s="80"/>
      <c r="U223" s="29"/>
      <c r="V223" s="41"/>
      <c r="W223" s="29"/>
      <c r="X223" s="41"/>
      <c r="Y223" s="52" t="s">
        <v>287</v>
      </c>
      <c r="Z223" s="41"/>
      <c r="AA223" s="29"/>
      <c r="AB223" s="29"/>
      <c r="AC223" s="53"/>
      <c r="AD223" s="37"/>
      <c r="AE223" s="37"/>
      <c r="AF223" s="37"/>
      <c r="AG223" s="37"/>
      <c r="AH223" s="37"/>
      <c r="AI223" s="37"/>
      <c r="AJ223" s="37"/>
      <c r="AK223" s="28"/>
      <c r="AL223" s="52"/>
      <c r="AM223" s="37"/>
      <c r="AN223" s="37"/>
      <c r="AO223" s="37"/>
      <c r="AP223" s="37"/>
      <c r="AQ223" s="29" t="s">
        <v>288</v>
      </c>
      <c r="AR223" s="63">
        <v>74.69</v>
      </c>
      <c r="AS223" s="27">
        <v>168.22072072072072</v>
      </c>
      <c r="AT223" s="65" t="s">
        <v>304</v>
      </c>
      <c r="AU223" s="66" t="s">
        <v>305</v>
      </c>
      <c r="AV223" s="293"/>
      <c r="AW223" s="293"/>
      <c r="AX223" s="293"/>
      <c r="AY223" s="293">
        <v>1.63</v>
      </c>
      <c r="AZ223" s="293">
        <v>3.54</v>
      </c>
      <c r="BA223" s="49"/>
      <c r="BB223" s="434" t="s">
        <v>80</v>
      </c>
      <c r="BC223" s="434"/>
      <c r="BD223" s="434"/>
      <c r="BE223" s="434"/>
      <c r="BF223" s="434"/>
      <c r="BG223" s="294">
        <v>3.375</v>
      </c>
      <c r="BH223" s="294">
        <v>3.375</v>
      </c>
      <c r="BI223" s="294">
        <v>5</v>
      </c>
      <c r="BJ223" s="291">
        <v>3.2958984375E-2</v>
      </c>
      <c r="BK223" s="294">
        <v>1.85</v>
      </c>
      <c r="BL223" s="341"/>
      <c r="BM223" s="341"/>
      <c r="BN223" s="68" t="s">
        <v>64</v>
      </c>
      <c r="BO223" s="32">
        <v>1</v>
      </c>
      <c r="BP223" s="32">
        <v>357</v>
      </c>
      <c r="BQ223" s="32">
        <v>9</v>
      </c>
      <c r="BR223" s="32">
        <v>3213</v>
      </c>
      <c r="BS223" s="32">
        <v>5994.05</v>
      </c>
      <c r="BT223" s="296" t="s">
        <v>306</v>
      </c>
      <c r="BU223" s="32" t="s">
        <v>67</v>
      </c>
      <c r="BV223" s="82"/>
      <c r="BW223" s="82"/>
      <c r="BX223" s="82"/>
      <c r="BY223" s="1"/>
      <c r="BZ223" s="1"/>
      <c r="CA223" s="1"/>
      <c r="CB223" s="1"/>
      <c r="CC223" s="1"/>
      <c r="CD223" s="1"/>
      <c r="CE223" s="1"/>
      <c r="CF223" s="1"/>
    </row>
    <row r="224" spans="1:84" s="83" customFormat="1" x14ac:dyDescent="0.25">
      <c r="A224" s="57">
        <v>42264</v>
      </c>
      <c r="B224" s="350" t="s">
        <v>14</v>
      </c>
      <c r="C224" s="78" t="s">
        <v>286</v>
      </c>
      <c r="D224" s="45" t="s">
        <v>73</v>
      </c>
      <c r="E224" s="45" t="s">
        <v>239</v>
      </c>
      <c r="F224" s="364" t="s">
        <v>289</v>
      </c>
      <c r="G224" s="188" t="s">
        <v>2051</v>
      </c>
      <c r="H224" s="296" t="s">
        <v>290</v>
      </c>
      <c r="I224" s="62"/>
      <c r="J224" s="37"/>
      <c r="K224" s="29"/>
      <c r="L224" s="30"/>
      <c r="M224" s="30"/>
      <c r="N224" s="30"/>
      <c r="O224" s="80"/>
      <c r="P224" s="80"/>
      <c r="Q224" s="80"/>
      <c r="R224" s="80"/>
      <c r="S224" s="80"/>
      <c r="T224" s="80"/>
      <c r="U224" s="29" t="s">
        <v>292</v>
      </c>
      <c r="V224" s="41"/>
      <c r="W224" s="29"/>
      <c r="X224" s="41"/>
      <c r="Y224" s="52"/>
      <c r="Z224" s="41"/>
      <c r="AA224" s="29"/>
      <c r="AB224" s="29"/>
      <c r="AC224" s="53"/>
      <c r="AD224" s="37"/>
      <c r="AE224" s="37"/>
      <c r="AF224" s="37"/>
      <c r="AG224" s="37"/>
      <c r="AH224" s="37"/>
      <c r="AI224" s="37"/>
      <c r="AJ224" s="37"/>
      <c r="AK224" s="28"/>
      <c r="AL224" s="52"/>
      <c r="AM224" s="37"/>
      <c r="AN224" s="37"/>
      <c r="AO224" s="37"/>
      <c r="AP224" s="37"/>
      <c r="AQ224" s="29" t="s">
        <v>291</v>
      </c>
      <c r="AR224" s="63">
        <v>33</v>
      </c>
      <c r="AS224" s="27">
        <v>74.324324324324323</v>
      </c>
      <c r="AT224" s="65" t="s">
        <v>307</v>
      </c>
      <c r="AU224" s="66" t="s">
        <v>308</v>
      </c>
      <c r="AV224" s="293"/>
      <c r="AW224" s="293"/>
      <c r="AX224" s="293"/>
      <c r="AY224" s="293">
        <v>2.04</v>
      </c>
      <c r="AZ224" s="293">
        <v>2.95</v>
      </c>
      <c r="BA224" s="49"/>
      <c r="BB224" s="434" t="s">
        <v>80</v>
      </c>
      <c r="BC224" s="434"/>
      <c r="BD224" s="434"/>
      <c r="BE224" s="434"/>
      <c r="BF224" s="434"/>
      <c r="BG224" s="294">
        <v>2.5</v>
      </c>
      <c r="BH224" s="294">
        <v>2.5</v>
      </c>
      <c r="BI224" s="294">
        <v>5</v>
      </c>
      <c r="BJ224" s="291">
        <v>1.8084490740740741E-2</v>
      </c>
      <c r="BK224" s="294">
        <v>0.55000000000000004</v>
      </c>
      <c r="BL224" s="341"/>
      <c r="BM224" s="341"/>
      <c r="BN224" s="68" t="s">
        <v>64</v>
      </c>
      <c r="BO224" s="32">
        <v>1</v>
      </c>
      <c r="BP224" s="32">
        <v>357</v>
      </c>
      <c r="BQ224" s="32">
        <v>9</v>
      </c>
      <c r="BR224" s="32">
        <v>3213</v>
      </c>
      <c r="BS224" s="32">
        <v>1817.15</v>
      </c>
      <c r="BT224" s="296" t="s">
        <v>306</v>
      </c>
      <c r="BU224" s="32" t="s">
        <v>67</v>
      </c>
      <c r="BV224" s="82"/>
      <c r="BW224" s="82"/>
      <c r="BX224" s="82"/>
      <c r="BY224" s="1"/>
      <c r="BZ224" s="1"/>
      <c r="CA224" s="1"/>
      <c r="CB224" s="1"/>
      <c r="CC224" s="1"/>
      <c r="CD224" s="1"/>
      <c r="CE224" s="1"/>
      <c r="CF224" s="1"/>
    </row>
    <row r="225" spans="1:84" s="83" customFormat="1" x14ac:dyDescent="0.25">
      <c r="A225" s="57">
        <v>42264</v>
      </c>
      <c r="B225" s="350" t="s">
        <v>14</v>
      </c>
      <c r="C225" s="78" t="s">
        <v>299</v>
      </c>
      <c r="D225" s="45" t="s">
        <v>73</v>
      </c>
      <c r="E225" s="45" t="s">
        <v>239</v>
      </c>
      <c r="F225" s="364" t="s">
        <v>3452</v>
      </c>
      <c r="G225" s="188" t="s">
        <v>2051</v>
      </c>
      <c r="H225" s="296" t="s">
        <v>293</v>
      </c>
      <c r="I225" s="62" t="s">
        <v>294</v>
      </c>
      <c r="J225" s="37">
        <v>32910801</v>
      </c>
      <c r="K225" s="29"/>
      <c r="L225" s="30"/>
      <c r="M225" s="30"/>
      <c r="N225" s="30"/>
      <c r="O225" s="80"/>
      <c r="P225" s="80"/>
      <c r="Q225" s="80"/>
      <c r="R225" s="80"/>
      <c r="S225" s="80"/>
      <c r="T225" s="80"/>
      <c r="U225" s="29" t="s">
        <v>295</v>
      </c>
      <c r="V225" s="41"/>
      <c r="W225" s="29"/>
      <c r="X225" s="41"/>
      <c r="Y225" s="52" t="s">
        <v>296</v>
      </c>
      <c r="Z225" s="41"/>
      <c r="AA225" s="29" t="s">
        <v>297</v>
      </c>
      <c r="AB225" s="29"/>
      <c r="AC225" s="53"/>
      <c r="AD225" s="37"/>
      <c r="AE225" s="37"/>
      <c r="AF225" s="37"/>
      <c r="AG225" s="37"/>
      <c r="AH225" s="37"/>
      <c r="AI225" s="37"/>
      <c r="AJ225" s="37"/>
      <c r="AK225" s="28"/>
      <c r="AL225" s="52"/>
      <c r="AM225" s="37"/>
      <c r="AN225" s="37"/>
      <c r="AO225" s="37"/>
      <c r="AP225" s="37"/>
      <c r="AQ225" s="29" t="s">
        <v>298</v>
      </c>
      <c r="AR225" s="63">
        <v>75.709999999999994</v>
      </c>
      <c r="AS225" s="27">
        <v>170.51801801801801</v>
      </c>
      <c r="AT225" s="65" t="s">
        <v>309</v>
      </c>
      <c r="AU225" s="66" t="s">
        <v>310</v>
      </c>
      <c r="AV225" s="293"/>
      <c r="AW225" s="293"/>
      <c r="AX225" s="293"/>
      <c r="AY225" s="293">
        <v>2.76</v>
      </c>
      <c r="AZ225" s="293">
        <v>5.24</v>
      </c>
      <c r="BA225" s="49"/>
      <c r="BB225" s="434" t="s">
        <v>80</v>
      </c>
      <c r="BC225" s="434"/>
      <c r="BD225" s="434"/>
      <c r="BE225" s="434"/>
      <c r="BF225" s="434"/>
      <c r="BG225" s="294">
        <v>3.75</v>
      </c>
      <c r="BH225" s="294">
        <v>3.75</v>
      </c>
      <c r="BI225" s="294">
        <v>10.5</v>
      </c>
      <c r="BJ225" s="291">
        <v>8.544921875E-2</v>
      </c>
      <c r="BK225" s="294">
        <v>0.55000000000000004</v>
      </c>
      <c r="BL225" s="341"/>
      <c r="BM225" s="341"/>
      <c r="BN225" s="68" t="s">
        <v>64</v>
      </c>
      <c r="BO225" s="32">
        <v>1</v>
      </c>
      <c r="BP225" s="32">
        <v>120</v>
      </c>
      <c r="BQ225" s="32">
        <v>4</v>
      </c>
      <c r="BR225" s="32">
        <v>480</v>
      </c>
      <c r="BS225" s="32">
        <v>314</v>
      </c>
      <c r="BT225" s="296" t="s">
        <v>306</v>
      </c>
      <c r="BU225" s="32" t="s">
        <v>67</v>
      </c>
      <c r="BV225" s="82"/>
      <c r="BW225" s="82"/>
      <c r="BX225" s="82"/>
      <c r="BY225" s="1"/>
      <c r="BZ225" s="1"/>
      <c r="CA225" s="1"/>
      <c r="CB225" s="1"/>
      <c r="CC225" s="1"/>
      <c r="CD225" s="1"/>
      <c r="CE225" s="1"/>
      <c r="CF225" s="1"/>
    </row>
    <row r="226" spans="1:84" s="83" customFormat="1" x14ac:dyDescent="0.25">
      <c r="A226" s="57">
        <v>42264</v>
      </c>
      <c r="B226" s="350" t="s">
        <v>14</v>
      </c>
      <c r="C226" s="78" t="s">
        <v>300</v>
      </c>
      <c r="D226" s="45" t="s">
        <v>73</v>
      </c>
      <c r="E226" s="45" t="s">
        <v>239</v>
      </c>
      <c r="F226" s="364" t="s">
        <v>3453</v>
      </c>
      <c r="G226" s="188" t="s">
        <v>2051</v>
      </c>
      <c r="H226" s="296" t="s">
        <v>301</v>
      </c>
      <c r="I226" s="62"/>
      <c r="J226" s="37"/>
      <c r="K226" s="29"/>
      <c r="L226" s="30"/>
      <c r="M226" s="30"/>
      <c r="N226" s="30"/>
      <c r="O226" s="80"/>
      <c r="P226" s="80"/>
      <c r="Q226" s="80"/>
      <c r="R226" s="80"/>
      <c r="S226" s="80"/>
      <c r="T226" s="28"/>
      <c r="U226" s="29"/>
      <c r="V226" s="41"/>
      <c r="W226" s="29"/>
      <c r="X226" s="41"/>
      <c r="Y226" s="52"/>
      <c r="Z226" s="41"/>
      <c r="AA226" s="29"/>
      <c r="AB226" s="29"/>
      <c r="AC226" s="53"/>
      <c r="AD226" s="37"/>
      <c r="AE226" s="37"/>
      <c r="AF226" s="37"/>
      <c r="AG226" s="37"/>
      <c r="AH226" s="37"/>
      <c r="AI226" s="37"/>
      <c r="AJ226" s="37"/>
      <c r="AK226" s="28"/>
      <c r="AL226" s="52"/>
      <c r="AM226" s="37"/>
      <c r="AN226" s="37"/>
      <c r="AO226" s="37"/>
      <c r="AP226" s="29"/>
      <c r="AQ226" s="29" t="s">
        <v>302</v>
      </c>
      <c r="AR226" s="29">
        <v>180.13</v>
      </c>
      <c r="AS226" s="27">
        <v>405.69819819819816</v>
      </c>
      <c r="AT226" s="65" t="s">
        <v>304</v>
      </c>
      <c r="AU226" s="66" t="s">
        <v>305</v>
      </c>
      <c r="AV226" s="293"/>
      <c r="AW226" s="293"/>
      <c r="AX226" s="293"/>
      <c r="AY226" s="293">
        <v>1.63</v>
      </c>
      <c r="AZ226" s="293">
        <v>3.54</v>
      </c>
      <c r="BA226" s="49"/>
      <c r="BB226" s="434" t="s">
        <v>80</v>
      </c>
      <c r="BC226" s="434"/>
      <c r="BD226" s="434"/>
      <c r="BE226" s="434"/>
      <c r="BF226" s="434"/>
      <c r="BG226" s="294">
        <v>3.375</v>
      </c>
      <c r="BH226" s="294">
        <v>3.375</v>
      </c>
      <c r="BI226" s="294">
        <v>5</v>
      </c>
      <c r="BJ226" s="291">
        <v>3.2958984375E-2</v>
      </c>
      <c r="BK226" s="294">
        <v>1.85</v>
      </c>
      <c r="BL226" s="341"/>
      <c r="BM226" s="341"/>
      <c r="BN226" s="39" t="s">
        <v>64</v>
      </c>
      <c r="BO226" s="32">
        <v>1</v>
      </c>
      <c r="BP226" s="32">
        <v>357</v>
      </c>
      <c r="BQ226" s="32">
        <v>9</v>
      </c>
      <c r="BR226" s="32">
        <v>3213</v>
      </c>
      <c r="BS226" s="32">
        <v>5994.05</v>
      </c>
      <c r="BT226" s="296" t="s">
        <v>306</v>
      </c>
      <c r="BU226" s="32" t="s">
        <v>67</v>
      </c>
      <c r="BV226" s="82"/>
      <c r="BW226" s="82"/>
      <c r="BX226" s="82"/>
      <c r="BY226" s="1"/>
      <c r="BZ226" s="1"/>
      <c r="CA226" s="1"/>
      <c r="CB226" s="1"/>
      <c r="CC226" s="1"/>
      <c r="CD226" s="1"/>
      <c r="CE226" s="1"/>
      <c r="CF226" s="1"/>
    </row>
    <row r="227" spans="1:84" s="83" customFormat="1" ht="30" x14ac:dyDescent="0.25">
      <c r="A227" s="57">
        <v>42264</v>
      </c>
      <c r="B227" s="350" t="s">
        <v>14</v>
      </c>
      <c r="C227" s="85" t="s">
        <v>249</v>
      </c>
      <c r="D227" s="45" t="s">
        <v>73</v>
      </c>
      <c r="E227" s="45" t="s">
        <v>271</v>
      </c>
      <c r="F227" s="364" t="s">
        <v>3454</v>
      </c>
      <c r="G227" s="188" t="s">
        <v>2051</v>
      </c>
      <c r="H227" s="37" t="s">
        <v>277</v>
      </c>
      <c r="I227" s="62"/>
      <c r="J227" s="37"/>
      <c r="K227" s="29"/>
      <c r="L227" s="30"/>
      <c r="M227" s="30"/>
      <c r="N227" s="30"/>
      <c r="O227" s="80"/>
      <c r="P227" s="80"/>
      <c r="Q227" s="80"/>
      <c r="R227" s="80"/>
      <c r="S227" s="80"/>
      <c r="T227" s="80"/>
      <c r="U227" s="29"/>
      <c r="V227" s="41"/>
      <c r="W227" s="29"/>
      <c r="X227" s="41"/>
      <c r="Y227" s="52"/>
      <c r="Z227" s="41"/>
      <c r="AA227" s="29"/>
      <c r="AB227" s="29"/>
      <c r="AC227" s="53"/>
      <c r="AD227" s="37"/>
      <c r="AE227" s="37"/>
      <c r="AF227" s="37"/>
      <c r="AG227" s="37"/>
      <c r="AH227" s="37"/>
      <c r="AI227" s="37"/>
      <c r="AJ227" s="37"/>
      <c r="AK227" s="28"/>
      <c r="AL227" s="52"/>
      <c r="AM227" s="37"/>
      <c r="AN227" s="37"/>
      <c r="AO227" s="37"/>
      <c r="AP227" s="37"/>
      <c r="AQ227" s="29"/>
      <c r="AR227" s="63">
        <v>35.011929460580916</v>
      </c>
      <c r="AS227" s="27">
        <v>78.855696983290343</v>
      </c>
      <c r="AT227" s="50" t="s">
        <v>312</v>
      </c>
      <c r="AU227" s="51">
        <v>10038568741551</v>
      </c>
      <c r="AV227" s="49"/>
      <c r="AW227" s="49"/>
      <c r="AX227" s="49"/>
      <c r="AY227" s="291">
        <v>2.76</v>
      </c>
      <c r="AZ227" s="291">
        <v>5.22</v>
      </c>
      <c r="BA227" s="291">
        <v>0.83</v>
      </c>
      <c r="BB227" s="438" t="s">
        <v>80</v>
      </c>
      <c r="BC227" s="438"/>
      <c r="BD227" s="438"/>
      <c r="BE227" s="438"/>
      <c r="BF227" s="438"/>
      <c r="BG227" s="295">
        <v>9.3800000000000008</v>
      </c>
      <c r="BH227" s="295">
        <v>6.5</v>
      </c>
      <c r="BI227" s="295">
        <v>7.38</v>
      </c>
      <c r="BJ227" s="291">
        <v>0.26039270833333333</v>
      </c>
      <c r="BK227" s="294">
        <v>1.4500000000000002</v>
      </c>
      <c r="BL227" s="341"/>
      <c r="BM227" s="341"/>
      <c r="BN227" s="296" t="s">
        <v>68</v>
      </c>
      <c r="BO227" s="296">
        <v>6</v>
      </c>
      <c r="BP227" s="296">
        <v>30</v>
      </c>
      <c r="BQ227" s="296">
        <v>6</v>
      </c>
      <c r="BR227" s="32">
        <v>1080</v>
      </c>
      <c r="BS227" s="32">
        <v>311.00000000000006</v>
      </c>
      <c r="BT227" s="296" t="s">
        <v>69</v>
      </c>
      <c r="BU227" s="32" t="s">
        <v>67</v>
      </c>
      <c r="BV227" s="82"/>
      <c r="BW227" s="82"/>
      <c r="BX227" s="82"/>
      <c r="BY227" s="1"/>
      <c r="BZ227" s="1"/>
      <c r="CA227" s="1"/>
      <c r="CB227" s="1"/>
      <c r="CC227" s="1"/>
      <c r="CD227" s="1"/>
      <c r="CE227" s="1"/>
      <c r="CF227" s="1"/>
    </row>
    <row r="228" spans="1:84" s="83" customFormat="1" ht="30" x14ac:dyDescent="0.25">
      <c r="A228" s="57">
        <v>42264</v>
      </c>
      <c r="B228" s="350" t="s">
        <v>14</v>
      </c>
      <c r="C228" s="86" t="s">
        <v>252</v>
      </c>
      <c r="D228" s="45" t="s">
        <v>73</v>
      </c>
      <c r="E228" s="45" t="s">
        <v>271</v>
      </c>
      <c r="F228" s="64" t="s">
        <v>3455</v>
      </c>
      <c r="G228" s="188" t="s">
        <v>2051</v>
      </c>
      <c r="H228" s="37" t="s">
        <v>279</v>
      </c>
      <c r="I228" s="62" t="s">
        <v>72</v>
      </c>
      <c r="J228" s="37" t="s">
        <v>280</v>
      </c>
      <c r="K228" s="29"/>
      <c r="L228" s="30"/>
      <c r="M228" s="30"/>
      <c r="N228" s="30"/>
      <c r="O228" s="80"/>
      <c r="P228" s="80"/>
      <c r="Q228" s="80"/>
      <c r="R228" s="80"/>
      <c r="S228" s="80"/>
      <c r="T228" s="80"/>
      <c r="U228" s="29" t="s">
        <v>263</v>
      </c>
      <c r="V228" s="41"/>
      <c r="W228" s="29"/>
      <c r="X228" s="41"/>
      <c r="Y228" s="29" t="s">
        <v>266</v>
      </c>
      <c r="Z228" s="41"/>
      <c r="AA228" s="29" t="s">
        <v>264</v>
      </c>
      <c r="AB228" s="29" t="s">
        <v>265</v>
      </c>
      <c r="AC228" s="53"/>
      <c r="AD228" s="37"/>
      <c r="AE228" s="37"/>
      <c r="AF228" s="37"/>
      <c r="AG228" s="37"/>
      <c r="AH228" s="37"/>
      <c r="AI228" s="37"/>
      <c r="AJ228" s="37"/>
      <c r="AK228" s="28"/>
      <c r="AL228" s="52"/>
      <c r="AM228" s="37"/>
      <c r="AN228" s="37"/>
      <c r="AO228" s="37"/>
      <c r="AP228" s="37"/>
      <c r="AQ228" s="29">
        <v>57899</v>
      </c>
      <c r="AR228" s="67">
        <v>8.25</v>
      </c>
      <c r="AS228" s="27">
        <v>18.581081081081081</v>
      </c>
      <c r="AT228" s="50" t="s">
        <v>313</v>
      </c>
      <c r="AU228" s="51">
        <v>10038568742176</v>
      </c>
      <c r="AV228" s="49"/>
      <c r="AW228" s="49"/>
      <c r="AX228" s="49"/>
      <c r="AY228" s="291">
        <v>3.65</v>
      </c>
      <c r="AZ228" s="291">
        <v>3.6360000000000001</v>
      </c>
      <c r="BA228" s="291">
        <v>2.4209999999999998</v>
      </c>
      <c r="BB228" s="294">
        <v>3.8460000000000001</v>
      </c>
      <c r="BC228" s="294">
        <v>3.8460000000000001</v>
      </c>
      <c r="BD228" s="294">
        <v>4.0720000000000001</v>
      </c>
      <c r="BE228" s="291">
        <v>3.4856404833333333E-2</v>
      </c>
      <c r="BF228" s="294">
        <v>0.99</v>
      </c>
      <c r="BG228" s="295">
        <v>15.81</v>
      </c>
      <c r="BH228" s="295">
        <v>11.93</v>
      </c>
      <c r="BI228" s="295">
        <v>4.62</v>
      </c>
      <c r="BJ228" s="291">
        <v>0.50427861458333334</v>
      </c>
      <c r="BK228" s="294">
        <v>12.129999999999999</v>
      </c>
      <c r="BL228" s="341"/>
      <c r="BM228" s="341"/>
      <c r="BN228" s="296" t="s">
        <v>68</v>
      </c>
      <c r="BO228" s="296">
        <v>12</v>
      </c>
      <c r="BP228" s="296">
        <v>10</v>
      </c>
      <c r="BQ228" s="296">
        <v>9</v>
      </c>
      <c r="BR228" s="32">
        <v>1080</v>
      </c>
      <c r="BS228" s="32">
        <v>1141.6999999999998</v>
      </c>
      <c r="BT228" s="296" t="s">
        <v>62</v>
      </c>
      <c r="BU228" s="32" t="s">
        <v>67</v>
      </c>
      <c r="BV228" s="82"/>
      <c r="BW228" s="82"/>
      <c r="BX228" s="82"/>
      <c r="BY228" s="1"/>
      <c r="BZ228" s="1"/>
      <c r="CA228" s="1"/>
      <c r="CB228" s="1"/>
      <c r="CC228" s="1"/>
      <c r="CD228" s="1"/>
      <c r="CE228" s="1"/>
      <c r="CF228" s="1"/>
    </row>
    <row r="229" spans="1:84" s="83" customFormat="1" ht="30" x14ac:dyDescent="0.25">
      <c r="A229" s="57">
        <v>42264</v>
      </c>
      <c r="B229" s="350" t="s">
        <v>14</v>
      </c>
      <c r="C229" s="86" t="s">
        <v>253</v>
      </c>
      <c r="D229" s="45" t="s">
        <v>73</v>
      </c>
      <c r="E229" s="45" t="s">
        <v>271</v>
      </c>
      <c r="F229" s="64" t="s">
        <v>3456</v>
      </c>
      <c r="G229" s="188" t="s">
        <v>2051</v>
      </c>
      <c r="H229" s="37" t="s">
        <v>281</v>
      </c>
      <c r="I229" s="62" t="s">
        <v>51</v>
      </c>
      <c r="J229" s="37" t="s">
        <v>282</v>
      </c>
      <c r="K229" s="29"/>
      <c r="L229" s="30"/>
      <c r="M229" s="30"/>
      <c r="N229" s="30"/>
      <c r="O229" s="80"/>
      <c r="P229" s="80"/>
      <c r="Q229" s="80"/>
      <c r="R229" s="80"/>
      <c r="S229" s="80"/>
      <c r="T229" s="80"/>
      <c r="U229" s="29" t="s">
        <v>267</v>
      </c>
      <c r="V229" s="41"/>
      <c r="W229" s="29"/>
      <c r="X229" s="41"/>
      <c r="Y229" s="52" t="s">
        <v>268</v>
      </c>
      <c r="Z229" s="41"/>
      <c r="AA229" s="29" t="s">
        <v>269</v>
      </c>
      <c r="AB229" s="29" t="s">
        <v>270</v>
      </c>
      <c r="AC229" s="53"/>
      <c r="AD229" s="37"/>
      <c r="AE229" s="37"/>
      <c r="AF229" s="37"/>
      <c r="AG229" s="37"/>
      <c r="AH229" s="37"/>
      <c r="AI229" s="37"/>
      <c r="AJ229" s="37"/>
      <c r="AK229" s="28"/>
      <c r="AL229" s="52"/>
      <c r="AM229" s="37"/>
      <c r="AN229" s="37"/>
      <c r="AO229" s="37"/>
      <c r="AP229" s="37"/>
      <c r="AQ229" s="29">
        <v>57301</v>
      </c>
      <c r="AR229" s="67">
        <v>8.9499999999999993</v>
      </c>
      <c r="AS229" s="27">
        <v>20.157657657657655</v>
      </c>
      <c r="AT229" s="50" t="s">
        <v>314</v>
      </c>
      <c r="AU229" s="51">
        <v>10038568742237</v>
      </c>
      <c r="AV229" s="49"/>
      <c r="AW229" s="49"/>
      <c r="AX229" s="49"/>
      <c r="AY229" s="291">
        <v>2.96</v>
      </c>
      <c r="AZ229" s="291">
        <v>4.8159999999999998</v>
      </c>
      <c r="BA229" s="291">
        <v>2.39</v>
      </c>
      <c r="BB229" s="294">
        <v>3.1859999999999999</v>
      </c>
      <c r="BC229" s="294">
        <v>3.1920000000000002</v>
      </c>
      <c r="BD229" s="294">
        <v>4.9470000000000001</v>
      </c>
      <c r="BE229" s="291">
        <v>2.911433175E-2</v>
      </c>
      <c r="BF229" s="294">
        <v>0.77</v>
      </c>
      <c r="BG229" s="295">
        <v>13.25</v>
      </c>
      <c r="BH229" s="295">
        <v>10</v>
      </c>
      <c r="BI229" s="295">
        <v>5.5</v>
      </c>
      <c r="BJ229" s="291">
        <v>0.42173032407407407</v>
      </c>
      <c r="BK229" s="294">
        <v>9.49</v>
      </c>
      <c r="BL229" s="341"/>
      <c r="BM229" s="341"/>
      <c r="BN229" s="296" t="s">
        <v>68</v>
      </c>
      <c r="BO229" s="296">
        <v>12</v>
      </c>
      <c r="BP229" s="296">
        <v>14</v>
      </c>
      <c r="BQ229" s="296">
        <v>8</v>
      </c>
      <c r="BR229" s="32">
        <v>1344</v>
      </c>
      <c r="BS229" s="32">
        <v>1112.8800000000001</v>
      </c>
      <c r="BT229" s="296" t="s">
        <v>62</v>
      </c>
      <c r="BU229" s="32" t="s">
        <v>67</v>
      </c>
      <c r="BV229" s="82"/>
      <c r="BW229" s="82"/>
      <c r="BX229" s="82"/>
      <c r="BY229" s="1"/>
      <c r="BZ229" s="1"/>
      <c r="CA229" s="1"/>
      <c r="CB229" s="1"/>
      <c r="CC229" s="1"/>
      <c r="CD229" s="1"/>
      <c r="CE229" s="1"/>
      <c r="CF229" s="1"/>
    </row>
    <row r="230" spans="1:84" s="56" customFormat="1" x14ac:dyDescent="0.25">
      <c r="A230" s="57">
        <v>42264</v>
      </c>
      <c r="B230" s="350" t="s">
        <v>14</v>
      </c>
      <c r="C230" s="87" t="s">
        <v>311</v>
      </c>
      <c r="D230" s="88"/>
      <c r="E230" s="88"/>
      <c r="F230" s="88"/>
      <c r="G230" s="188" t="s">
        <v>2051</v>
      </c>
      <c r="H230" s="40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89"/>
      <c r="AS230" s="72"/>
      <c r="AT230" s="78"/>
      <c r="AU230" s="78"/>
      <c r="AV230" s="78"/>
      <c r="AW230" s="78"/>
      <c r="AX230" s="78"/>
      <c r="AY230" s="78"/>
      <c r="AZ230" s="78"/>
      <c r="BA230" s="78"/>
      <c r="BB230" s="52"/>
      <c r="BC230" s="52"/>
      <c r="BD230" s="52"/>
      <c r="BE230" s="78"/>
      <c r="BF230" s="52"/>
      <c r="BG230" s="52"/>
      <c r="BH230" s="52"/>
      <c r="BI230" s="52"/>
      <c r="BJ230" s="78"/>
      <c r="BK230" s="52"/>
      <c r="BL230" s="52"/>
      <c r="BM230" s="52"/>
      <c r="BN230" s="78"/>
      <c r="BO230" s="78"/>
      <c r="BP230" s="78"/>
      <c r="BQ230" s="78"/>
      <c r="BR230" s="78"/>
      <c r="BS230" s="78"/>
      <c r="BT230" s="78"/>
      <c r="BU230" s="40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s="83" customFormat="1" ht="15" customHeight="1" x14ac:dyDescent="0.25">
      <c r="A231" s="57">
        <v>42264</v>
      </c>
      <c r="B231" s="350" t="s">
        <v>14</v>
      </c>
      <c r="C231" s="52" t="s">
        <v>184</v>
      </c>
      <c r="D231" s="45" t="s">
        <v>73</v>
      </c>
      <c r="E231" s="45" t="s">
        <v>133</v>
      </c>
      <c r="F231" s="364" t="s">
        <v>3457</v>
      </c>
      <c r="G231" s="188" t="s">
        <v>2051</v>
      </c>
      <c r="H231" s="37" t="s">
        <v>190</v>
      </c>
      <c r="I231" s="62"/>
      <c r="J231" s="37"/>
      <c r="K231" s="29"/>
      <c r="L231" s="30"/>
      <c r="M231" s="30"/>
      <c r="N231" s="30"/>
      <c r="O231" s="80"/>
      <c r="P231" s="80"/>
      <c r="Q231" s="80"/>
      <c r="R231" s="80"/>
      <c r="S231" s="80"/>
      <c r="T231" s="80"/>
      <c r="U231" s="29"/>
      <c r="V231" s="41"/>
      <c r="W231" s="29"/>
      <c r="X231" s="41"/>
      <c r="Y231" s="52"/>
      <c r="Z231" s="41"/>
      <c r="AA231" s="29" t="s">
        <v>191</v>
      </c>
      <c r="AB231" s="29"/>
      <c r="AC231" s="37"/>
      <c r="AD231" s="37"/>
      <c r="AE231" s="37"/>
      <c r="AF231" s="37"/>
      <c r="AG231" s="37"/>
      <c r="AH231" s="37"/>
      <c r="AI231" s="37"/>
      <c r="AJ231" s="37"/>
      <c r="AK231" s="28"/>
      <c r="AL231" s="37"/>
      <c r="AM231" s="37"/>
      <c r="AN231" s="37"/>
      <c r="AO231" s="37"/>
      <c r="AP231" s="37"/>
      <c r="AQ231" s="29">
        <v>49227</v>
      </c>
      <c r="AR231" s="90">
        <v>16.940000000000001</v>
      </c>
      <c r="AS231" s="27">
        <f t="shared" ref="AS231:AS260" si="90">AR231/0.444</f>
        <v>38.153153153153156</v>
      </c>
      <c r="AT231" s="50" t="s">
        <v>199</v>
      </c>
      <c r="AU231" s="51">
        <v>10038568740400</v>
      </c>
      <c r="AV231" s="293">
        <v>6.67</v>
      </c>
      <c r="AW231" s="293">
        <v>6.67</v>
      </c>
      <c r="AX231" s="293">
        <v>3.19</v>
      </c>
      <c r="AY231" s="49"/>
      <c r="AZ231" s="49"/>
      <c r="BA231" s="49"/>
      <c r="BB231" s="438" t="s">
        <v>80</v>
      </c>
      <c r="BC231" s="438"/>
      <c r="BD231" s="438"/>
      <c r="BE231" s="438"/>
      <c r="BF231" s="438"/>
      <c r="BG231" s="295">
        <f>8.75+(0.125*2)</f>
        <v>9</v>
      </c>
      <c r="BH231" s="295">
        <f>8.75+(0.125*2)</f>
        <v>9</v>
      </c>
      <c r="BI231" s="295">
        <f>4+(0.125*4)</f>
        <v>4.5</v>
      </c>
      <c r="BJ231" s="291">
        <f t="shared" ref="BJ231:BJ257" si="91">(BI231*BH231*BG231)/1728</f>
        <v>0.2109375</v>
      </c>
      <c r="BK231" s="294">
        <f>1.5+0.25</f>
        <v>1.75</v>
      </c>
      <c r="BL231" s="341"/>
      <c r="BM231" s="341"/>
      <c r="BN231" s="296" t="s">
        <v>68</v>
      </c>
      <c r="BO231" s="296">
        <v>1</v>
      </c>
      <c r="BP231" s="296">
        <v>20</v>
      </c>
      <c r="BQ231" s="296">
        <v>9</v>
      </c>
      <c r="BR231" s="32">
        <f t="shared" ref="BR231:BR257" si="92">BO231*BP231*BQ231</f>
        <v>180</v>
      </c>
      <c r="BS231" s="32">
        <f t="shared" ref="BS231:BS250" si="93">(BK231*BP231*BQ231)+50</f>
        <v>365</v>
      </c>
      <c r="BT231" s="296" t="s">
        <v>200</v>
      </c>
      <c r="BU231" s="32" t="s">
        <v>67</v>
      </c>
      <c r="BV231" s="82"/>
      <c r="BW231" s="82"/>
      <c r="BX231" s="82"/>
      <c r="BY231" s="1"/>
      <c r="BZ231" s="1"/>
      <c r="CA231" s="1"/>
      <c r="CB231" s="1"/>
      <c r="CC231" s="1"/>
      <c r="CD231" s="1"/>
      <c r="CE231" s="1"/>
      <c r="CF231" s="1"/>
    </row>
    <row r="232" spans="1:84" s="83" customFormat="1" x14ac:dyDescent="0.25">
      <c r="A232" s="57">
        <v>42264</v>
      </c>
      <c r="B232" s="350" t="s">
        <v>14</v>
      </c>
      <c r="C232" s="52" t="s">
        <v>185</v>
      </c>
      <c r="D232" s="45" t="s">
        <v>73</v>
      </c>
      <c r="E232" s="45" t="s">
        <v>186</v>
      </c>
      <c r="F232" s="364" t="s">
        <v>3458</v>
      </c>
      <c r="G232" s="188" t="s">
        <v>2051</v>
      </c>
      <c r="H232" s="37" t="s">
        <v>189</v>
      </c>
      <c r="I232" s="62"/>
      <c r="J232" s="37"/>
      <c r="K232" s="29"/>
      <c r="L232" s="30"/>
      <c r="M232" s="30"/>
      <c r="N232" s="30"/>
      <c r="O232" s="80"/>
      <c r="P232" s="80"/>
      <c r="Q232" s="80"/>
      <c r="R232" s="80"/>
      <c r="S232" s="80"/>
      <c r="T232" s="80"/>
      <c r="U232" s="29" t="s">
        <v>192</v>
      </c>
      <c r="V232" s="41"/>
      <c r="W232" s="29"/>
      <c r="X232" s="41"/>
      <c r="Y232" s="52"/>
      <c r="Z232" s="41"/>
      <c r="AA232" s="29"/>
      <c r="AB232" s="29"/>
      <c r="AC232" s="37"/>
      <c r="AD232" s="37"/>
      <c r="AE232" s="37"/>
      <c r="AF232" s="37"/>
      <c r="AG232" s="37"/>
      <c r="AH232" s="37"/>
      <c r="AI232" s="37"/>
      <c r="AJ232" s="37"/>
      <c r="AK232" s="28"/>
      <c r="AL232" s="37"/>
      <c r="AM232" s="37"/>
      <c r="AN232" s="37"/>
      <c r="AO232" s="37"/>
      <c r="AP232" s="37"/>
      <c r="AQ232" s="29"/>
      <c r="AR232" s="90">
        <v>45.09</v>
      </c>
      <c r="AS232" s="27">
        <f t="shared" si="90"/>
        <v>101.55405405405406</v>
      </c>
      <c r="AT232" s="50" t="s">
        <v>201</v>
      </c>
      <c r="AU232" s="51">
        <v>10038568741544</v>
      </c>
      <c r="AV232" s="293">
        <v>13.54</v>
      </c>
      <c r="AW232" s="293">
        <v>9.09</v>
      </c>
      <c r="AX232" s="293">
        <v>0.71</v>
      </c>
      <c r="AY232" s="49"/>
      <c r="AZ232" s="49"/>
      <c r="BA232" s="49"/>
      <c r="BB232" s="294">
        <v>14.5</v>
      </c>
      <c r="BC232" s="294">
        <v>11</v>
      </c>
      <c r="BD232" s="294">
        <v>3.62</v>
      </c>
      <c r="BE232" s="291">
        <f t="shared" ref="BE232:BE243" si="94">(BD232*BC232*BB232)/1728</f>
        <v>0.33413773148148146</v>
      </c>
      <c r="BF232" s="294">
        <f>0.4</f>
        <v>0.4</v>
      </c>
      <c r="BG232" s="295">
        <f>14.5+(0.125*2)</f>
        <v>14.75</v>
      </c>
      <c r="BH232" s="295">
        <f>11+(0.125*2)</f>
        <v>11.25</v>
      </c>
      <c r="BI232" s="295">
        <f>3.62+(0.125*4)</f>
        <v>4.12</v>
      </c>
      <c r="BJ232" s="291">
        <f t="shared" si="91"/>
        <v>0.39563802083333333</v>
      </c>
      <c r="BK232" s="294">
        <f>(BF232*3)+0.25</f>
        <v>1.4500000000000002</v>
      </c>
      <c r="BL232" s="341"/>
      <c r="BM232" s="341"/>
      <c r="BN232" s="296" t="s">
        <v>68</v>
      </c>
      <c r="BO232" s="296">
        <v>3</v>
      </c>
      <c r="BP232" s="296">
        <v>10</v>
      </c>
      <c r="BQ232" s="296">
        <v>10</v>
      </c>
      <c r="BR232" s="32">
        <f t="shared" si="92"/>
        <v>300</v>
      </c>
      <c r="BS232" s="32">
        <f t="shared" si="93"/>
        <v>195.00000000000003</v>
      </c>
      <c r="BT232" s="296" t="s">
        <v>69</v>
      </c>
      <c r="BU232" s="32" t="s">
        <v>67</v>
      </c>
      <c r="BV232" s="82"/>
      <c r="BW232" s="82"/>
      <c r="BX232" s="82"/>
      <c r="BY232" s="1"/>
      <c r="BZ232" s="1"/>
      <c r="CA232" s="1"/>
      <c r="CB232" s="1"/>
      <c r="CC232" s="1"/>
      <c r="CD232" s="1"/>
      <c r="CE232" s="1"/>
      <c r="CF232" s="1"/>
    </row>
    <row r="233" spans="1:84" s="83" customFormat="1" x14ac:dyDescent="0.25">
      <c r="A233" s="57">
        <v>42264</v>
      </c>
      <c r="B233" s="350" t="s">
        <v>14</v>
      </c>
      <c r="C233" s="52" t="s">
        <v>183</v>
      </c>
      <c r="D233" s="45" t="s">
        <v>181</v>
      </c>
      <c r="E233" s="45" t="s">
        <v>133</v>
      </c>
      <c r="F233" s="364" t="s">
        <v>3459</v>
      </c>
      <c r="G233" s="188" t="s">
        <v>2051</v>
      </c>
      <c r="H233" s="37">
        <v>96950990</v>
      </c>
      <c r="I233" s="62"/>
      <c r="J233" s="37"/>
      <c r="K233" s="29"/>
      <c r="L233" s="30"/>
      <c r="M233" s="30"/>
      <c r="N233" s="30"/>
      <c r="O233" s="80"/>
      <c r="P233" s="80"/>
      <c r="Q233" s="80"/>
      <c r="R233" s="80"/>
      <c r="S233" s="80"/>
      <c r="T233" s="80"/>
      <c r="U233" s="29"/>
      <c r="V233" s="41"/>
      <c r="W233" s="29"/>
      <c r="X233" s="41"/>
      <c r="Y233" s="52"/>
      <c r="Z233" s="41"/>
      <c r="AA233" s="29"/>
      <c r="AB233" s="29" t="s">
        <v>198</v>
      </c>
      <c r="AC233" s="53"/>
      <c r="AD233" s="37"/>
      <c r="AE233" s="37" t="s">
        <v>197</v>
      </c>
      <c r="AF233" s="37"/>
      <c r="AG233" s="37"/>
      <c r="AH233" s="37"/>
      <c r="AI233" s="37" t="s">
        <v>183</v>
      </c>
      <c r="AJ233" s="37"/>
      <c r="AK233" s="28"/>
      <c r="AL233" s="52" t="s">
        <v>193</v>
      </c>
      <c r="AM233" s="37" t="s">
        <v>195</v>
      </c>
      <c r="AN233" s="37" t="s">
        <v>196</v>
      </c>
      <c r="AO233" s="37"/>
      <c r="AP233" s="37" t="s">
        <v>194</v>
      </c>
      <c r="AQ233" s="29">
        <v>49590</v>
      </c>
      <c r="AR233" s="67">
        <v>29.58</v>
      </c>
      <c r="AS233" s="27">
        <f t="shared" si="90"/>
        <v>66.621621621621614</v>
      </c>
      <c r="AT233" s="50" t="s">
        <v>202</v>
      </c>
      <c r="AU233" s="51">
        <v>10038568742343</v>
      </c>
      <c r="AV233" s="293">
        <v>9.49</v>
      </c>
      <c r="AW233" s="293">
        <v>6.73</v>
      </c>
      <c r="AX233" s="293">
        <v>1.99</v>
      </c>
      <c r="AY233" s="49"/>
      <c r="AZ233" s="49"/>
      <c r="BA233" s="49"/>
      <c r="BB233" s="294">
        <f>7.44+(0.018*2)</f>
        <v>7.476</v>
      </c>
      <c r="BC233" s="294">
        <f>2.75+(0.018*2)</f>
        <v>2.786</v>
      </c>
      <c r="BD233" s="294">
        <f>9.5+(0.018*4)</f>
        <v>9.5719999999999992</v>
      </c>
      <c r="BE233" s="291">
        <f t="shared" si="94"/>
        <v>0.11537437372222221</v>
      </c>
      <c r="BF233" s="294">
        <f>0.403+0.1</f>
        <v>0.503</v>
      </c>
      <c r="BG233" s="295">
        <f>10+(0.125*2)</f>
        <v>10.25</v>
      </c>
      <c r="BH233" s="295">
        <f>7.5+(0.125*2)</f>
        <v>7.75</v>
      </c>
      <c r="BI233" s="295">
        <f>10+(0.125*4)</f>
        <v>10.5</v>
      </c>
      <c r="BJ233" s="291">
        <f t="shared" si="91"/>
        <v>0.4826931423611111</v>
      </c>
      <c r="BK233" s="294">
        <f>(BF233*3)+0.25</f>
        <v>1.7589999999999999</v>
      </c>
      <c r="BL233" s="341"/>
      <c r="BM233" s="341"/>
      <c r="BN233" s="296" t="s">
        <v>68</v>
      </c>
      <c r="BO233" s="296">
        <v>3</v>
      </c>
      <c r="BP233" s="296">
        <v>22</v>
      </c>
      <c r="BQ233" s="296">
        <v>4</v>
      </c>
      <c r="BR233" s="32">
        <f t="shared" si="92"/>
        <v>264</v>
      </c>
      <c r="BS233" s="32">
        <f t="shared" si="93"/>
        <v>204.792</v>
      </c>
      <c r="BT233" s="296" t="s">
        <v>182</v>
      </c>
      <c r="BU233" s="32" t="s">
        <v>67</v>
      </c>
      <c r="BV233" s="82"/>
      <c r="BW233" s="82"/>
      <c r="BX233" s="82"/>
      <c r="BY233" s="1"/>
      <c r="BZ233" s="1"/>
      <c r="CA233" s="1"/>
      <c r="CB233" s="1"/>
      <c r="CC233" s="1"/>
      <c r="CD233" s="1"/>
      <c r="CE233" s="1"/>
      <c r="CF233" s="1"/>
    </row>
    <row r="234" spans="1:84" s="83" customFormat="1" ht="30" x14ac:dyDescent="0.25">
      <c r="A234" s="57">
        <v>42264</v>
      </c>
      <c r="B234" s="350" t="s">
        <v>14</v>
      </c>
      <c r="C234" s="52" t="s">
        <v>203</v>
      </c>
      <c r="D234" s="45" t="s">
        <v>73</v>
      </c>
      <c r="E234" s="45" t="s">
        <v>204</v>
      </c>
      <c r="F234" s="364" t="s">
        <v>3460</v>
      </c>
      <c r="G234" s="188" t="s">
        <v>2051</v>
      </c>
      <c r="H234" s="37" t="s">
        <v>205</v>
      </c>
      <c r="I234" s="62" t="s">
        <v>71</v>
      </c>
      <c r="J234" s="37">
        <v>1521527</v>
      </c>
      <c r="K234" s="29"/>
      <c r="L234" s="30"/>
      <c r="M234" s="30"/>
      <c r="N234" s="30"/>
      <c r="O234" s="80"/>
      <c r="P234" s="80"/>
      <c r="Q234" s="80"/>
      <c r="R234" s="80"/>
      <c r="S234" s="80"/>
      <c r="T234" s="80"/>
      <c r="U234" s="29" t="s">
        <v>206</v>
      </c>
      <c r="V234" s="41"/>
      <c r="W234" s="29"/>
      <c r="X234" s="41"/>
      <c r="Y234" s="52" t="s">
        <v>207</v>
      </c>
      <c r="Z234" s="41"/>
      <c r="AA234" s="29" t="s">
        <v>208</v>
      </c>
      <c r="AB234" s="29"/>
      <c r="AC234" s="37"/>
      <c r="AD234" s="37" t="s">
        <v>209</v>
      </c>
      <c r="AE234" s="37"/>
      <c r="AF234" s="37"/>
      <c r="AG234" s="37"/>
      <c r="AH234" s="37"/>
      <c r="AI234" s="37"/>
      <c r="AJ234" s="37"/>
      <c r="AK234" s="28"/>
      <c r="AL234" s="37"/>
      <c r="AM234" s="37"/>
      <c r="AN234" s="37"/>
      <c r="AO234" s="37"/>
      <c r="AP234" s="37"/>
      <c r="AQ234" s="29"/>
      <c r="AR234" s="90">
        <v>17.7</v>
      </c>
      <c r="AS234" s="27">
        <f t="shared" si="90"/>
        <v>39.864864864864863</v>
      </c>
      <c r="AT234" s="50" t="s">
        <v>210</v>
      </c>
      <c r="AU234" s="51">
        <v>10038568737998</v>
      </c>
      <c r="AV234" s="49"/>
      <c r="AW234" s="44"/>
      <c r="AX234" s="44"/>
      <c r="AY234" s="291">
        <v>2.52</v>
      </c>
      <c r="AZ234" s="291">
        <v>5.75</v>
      </c>
      <c r="BA234" s="291">
        <v>1.06</v>
      </c>
      <c r="BB234" s="294">
        <f>3.0625+(0.018*2)</f>
        <v>3.0985</v>
      </c>
      <c r="BC234" s="294">
        <f>3.0625+(0.018*2)</f>
        <v>3.0985</v>
      </c>
      <c r="BD234" s="294">
        <f>6.75+(0.018*4)</f>
        <v>6.8220000000000001</v>
      </c>
      <c r="BE234" s="291">
        <f t="shared" si="94"/>
        <v>3.7902772424479161E-2</v>
      </c>
      <c r="BF234" s="294">
        <f>0.16+0.1</f>
        <v>0.26</v>
      </c>
      <c r="BG234" s="295">
        <f>12.8125+(0.125*2)</f>
        <v>13.0625</v>
      </c>
      <c r="BH234" s="295">
        <f>9.625+(0.125*2)</f>
        <v>9.875</v>
      </c>
      <c r="BI234" s="295">
        <f>6.875+(0.125*4)</f>
        <v>7.375</v>
      </c>
      <c r="BJ234" s="291">
        <f t="shared" si="91"/>
        <v>0.55053089283130785</v>
      </c>
      <c r="BK234" s="294">
        <f>(BF234*12)+0.25</f>
        <v>3.37</v>
      </c>
      <c r="BL234" s="341"/>
      <c r="BM234" s="341"/>
      <c r="BN234" s="296" t="s">
        <v>68</v>
      </c>
      <c r="BO234" s="296">
        <v>12</v>
      </c>
      <c r="BP234" s="296">
        <v>14</v>
      </c>
      <c r="BQ234" s="296">
        <v>6</v>
      </c>
      <c r="BR234" s="32">
        <f t="shared" si="92"/>
        <v>1008</v>
      </c>
      <c r="BS234" s="32">
        <f t="shared" si="93"/>
        <v>333.08</v>
      </c>
      <c r="BT234" s="296" t="s">
        <v>62</v>
      </c>
      <c r="BU234" s="32" t="s">
        <v>67</v>
      </c>
      <c r="BV234" s="82"/>
      <c r="BW234" s="82"/>
      <c r="BX234" s="82"/>
      <c r="BY234" s="1"/>
      <c r="BZ234" s="1"/>
      <c r="CA234" s="1"/>
      <c r="CB234" s="1"/>
      <c r="CC234" s="1"/>
      <c r="CD234" s="1"/>
      <c r="CE234" s="1"/>
      <c r="CF234" s="1"/>
    </row>
    <row r="235" spans="1:84" s="83" customFormat="1" x14ac:dyDescent="0.25">
      <c r="A235" s="57">
        <v>42264</v>
      </c>
      <c r="B235" s="350" t="s">
        <v>14</v>
      </c>
      <c r="C235" s="52" t="s">
        <v>211</v>
      </c>
      <c r="D235" s="45" t="s">
        <v>73</v>
      </c>
      <c r="E235" s="45" t="s">
        <v>133</v>
      </c>
      <c r="F235" s="364" t="s">
        <v>3461</v>
      </c>
      <c r="G235" s="188" t="s">
        <v>2051</v>
      </c>
      <c r="H235" s="37" t="s">
        <v>212</v>
      </c>
      <c r="I235" s="62"/>
      <c r="J235" s="37"/>
      <c r="K235" s="29"/>
      <c r="L235" s="30"/>
      <c r="M235" s="30"/>
      <c r="N235" s="30"/>
      <c r="O235" s="80"/>
      <c r="P235" s="80"/>
      <c r="Q235" s="80"/>
      <c r="R235" s="80"/>
      <c r="S235" s="80"/>
      <c r="T235" s="80"/>
      <c r="U235" s="29" t="s">
        <v>213</v>
      </c>
      <c r="V235" s="41"/>
      <c r="W235" s="29"/>
      <c r="X235" s="41"/>
      <c r="Y235" s="52"/>
      <c r="Z235" s="41"/>
      <c r="AA235" s="29" t="s">
        <v>214</v>
      </c>
      <c r="AB235" s="29" t="s">
        <v>215</v>
      </c>
      <c r="AC235" s="37"/>
      <c r="AD235" s="37"/>
      <c r="AE235" s="37"/>
      <c r="AF235" s="37"/>
      <c r="AG235" s="37"/>
      <c r="AH235" s="37"/>
      <c r="AI235" s="37"/>
      <c r="AJ235" s="37"/>
      <c r="AK235" s="28"/>
      <c r="AL235" s="37"/>
      <c r="AM235" s="37"/>
      <c r="AN235" s="37"/>
      <c r="AO235" s="37"/>
      <c r="AP235" s="37"/>
      <c r="AQ235" s="29" t="s">
        <v>216</v>
      </c>
      <c r="AR235" s="90">
        <v>21.98</v>
      </c>
      <c r="AS235" s="27">
        <f t="shared" si="90"/>
        <v>49.504504504504503</v>
      </c>
      <c r="AT235" s="50" t="s">
        <v>217</v>
      </c>
      <c r="AU235" s="51">
        <v>10038568740417</v>
      </c>
      <c r="AV235" s="293">
        <v>10.26</v>
      </c>
      <c r="AW235" s="293">
        <v>5.57</v>
      </c>
      <c r="AX235" s="293">
        <v>0.77</v>
      </c>
      <c r="AY235" s="49"/>
      <c r="AZ235" s="49"/>
      <c r="BA235" s="49"/>
      <c r="BB235" s="294">
        <v>10.26</v>
      </c>
      <c r="BC235" s="294">
        <v>5.57</v>
      </c>
      <c r="BD235" s="294">
        <v>0.77</v>
      </c>
      <c r="BE235" s="291">
        <f t="shared" si="94"/>
        <v>2.5465343750000001E-2</v>
      </c>
      <c r="BF235" s="294">
        <f>0.2+0.1</f>
        <v>0.30000000000000004</v>
      </c>
      <c r="BG235" s="295">
        <f>10.5+(0.125*2)</f>
        <v>10.75</v>
      </c>
      <c r="BH235" s="295">
        <f>7+(0.125*2)</f>
        <v>7.25</v>
      </c>
      <c r="BI235" s="295">
        <f>4.12+(0.125*4)</f>
        <v>4.62</v>
      </c>
      <c r="BJ235" s="291">
        <f t="shared" si="91"/>
        <v>0.2083745659722222</v>
      </c>
      <c r="BK235" s="294">
        <f>(BF235*3)+0.25</f>
        <v>1.1500000000000001</v>
      </c>
      <c r="BL235" s="341"/>
      <c r="BM235" s="341"/>
      <c r="BN235" s="296" t="s">
        <v>68</v>
      </c>
      <c r="BO235" s="296">
        <v>3</v>
      </c>
      <c r="BP235" s="296">
        <v>20</v>
      </c>
      <c r="BQ235" s="296">
        <v>11</v>
      </c>
      <c r="BR235" s="32">
        <f t="shared" si="92"/>
        <v>660</v>
      </c>
      <c r="BS235" s="32">
        <f t="shared" si="93"/>
        <v>303</v>
      </c>
      <c r="BT235" s="296" t="s">
        <v>69</v>
      </c>
      <c r="BU235" s="32" t="s">
        <v>67</v>
      </c>
      <c r="BV235" s="82"/>
      <c r="BW235" s="82"/>
      <c r="BX235" s="82"/>
      <c r="BY235" s="1"/>
      <c r="BZ235" s="1"/>
      <c r="CA235" s="1"/>
      <c r="CB235" s="1"/>
      <c r="CC235" s="1"/>
      <c r="CD235" s="1"/>
      <c r="CE235" s="1"/>
      <c r="CF235" s="1"/>
    </row>
    <row r="236" spans="1:84" s="83" customFormat="1" ht="30" x14ac:dyDescent="0.25">
      <c r="A236" s="57">
        <v>42264</v>
      </c>
      <c r="B236" s="350" t="s">
        <v>14</v>
      </c>
      <c r="C236" s="52" t="s">
        <v>218</v>
      </c>
      <c r="D236" s="45" t="s">
        <v>73</v>
      </c>
      <c r="E236" s="45"/>
      <c r="F236" s="364" t="s">
        <v>3462</v>
      </c>
      <c r="G236" s="188" t="s">
        <v>219</v>
      </c>
      <c r="H236" s="37"/>
      <c r="I236" s="62"/>
      <c r="J236" s="37"/>
      <c r="K236" s="29"/>
      <c r="L236" s="30"/>
      <c r="M236" s="30"/>
      <c r="N236" s="30"/>
      <c r="O236" s="80"/>
      <c r="P236" s="80"/>
      <c r="Q236" s="80"/>
      <c r="R236" s="80"/>
      <c r="S236" s="80"/>
      <c r="T236" s="80"/>
      <c r="U236" s="29"/>
      <c r="V236" s="41"/>
      <c r="W236" s="29"/>
      <c r="X236" s="41"/>
      <c r="Y236" s="52"/>
      <c r="Z236" s="41"/>
      <c r="AA236" s="29"/>
      <c r="AB236" s="29"/>
      <c r="AC236" s="37"/>
      <c r="AD236" s="37"/>
      <c r="AE236" s="37"/>
      <c r="AF236" s="37"/>
      <c r="AG236" s="37"/>
      <c r="AH236" s="37"/>
      <c r="AI236" s="37"/>
      <c r="AJ236" s="37"/>
      <c r="AK236" s="28"/>
      <c r="AL236" s="37"/>
      <c r="AM236" s="37"/>
      <c r="AN236" s="37"/>
      <c r="AO236" s="37"/>
      <c r="AP236" s="37"/>
      <c r="AQ236" s="29"/>
      <c r="AR236" s="90">
        <v>283.43</v>
      </c>
      <c r="AS236" s="27">
        <f t="shared" si="90"/>
        <v>638.35585585585591</v>
      </c>
      <c r="AT236" s="50" t="s">
        <v>220</v>
      </c>
      <c r="AU236" s="51">
        <v>10038568739961</v>
      </c>
      <c r="AV236" s="49"/>
      <c r="AW236" s="44"/>
      <c r="AX236" s="44"/>
      <c r="AY236" s="49"/>
      <c r="AZ236" s="49"/>
      <c r="BA236" s="49"/>
      <c r="BB236" s="438" t="s">
        <v>80</v>
      </c>
      <c r="BC236" s="438"/>
      <c r="BD236" s="438"/>
      <c r="BE236" s="438"/>
      <c r="BF236" s="438"/>
      <c r="BG236" s="295">
        <f>11.13+(0.125*2)</f>
        <v>11.38</v>
      </c>
      <c r="BH236" s="295">
        <f>10.25+(0.125*2)</f>
        <v>10.5</v>
      </c>
      <c r="BI236" s="295">
        <f>5.63+(0.125*4)</f>
        <v>6.13</v>
      </c>
      <c r="BJ236" s="291">
        <f t="shared" si="91"/>
        <v>0.42388524305555558</v>
      </c>
      <c r="BK236" s="294">
        <f>(0.86+0.75+0.44)+0.25</f>
        <v>2.2999999999999998</v>
      </c>
      <c r="BL236" s="341"/>
      <c r="BM236" s="341"/>
      <c r="BN236" s="296" t="s">
        <v>68</v>
      </c>
      <c r="BO236" s="296">
        <v>1</v>
      </c>
      <c r="BP236" s="296">
        <v>12</v>
      </c>
      <c r="BQ236" s="296">
        <v>7</v>
      </c>
      <c r="BR236" s="32">
        <f t="shared" si="92"/>
        <v>84</v>
      </c>
      <c r="BS236" s="32">
        <f t="shared" si="93"/>
        <v>243.2</v>
      </c>
      <c r="BT236" s="61" t="s">
        <v>221</v>
      </c>
      <c r="BU236" s="32" t="s">
        <v>67</v>
      </c>
      <c r="BV236" s="82"/>
      <c r="BW236" s="82"/>
      <c r="BX236" s="82"/>
      <c r="BY236" s="1"/>
      <c r="BZ236" s="1"/>
      <c r="CA236" s="1"/>
      <c r="CB236" s="1"/>
      <c r="CC236" s="1"/>
      <c r="CD236" s="1"/>
      <c r="CE236" s="1"/>
      <c r="CF236" s="1"/>
    </row>
    <row r="237" spans="1:84" s="83" customFormat="1" x14ac:dyDescent="0.25">
      <c r="A237" s="57">
        <v>42264</v>
      </c>
      <c r="B237" s="350" t="s">
        <v>14</v>
      </c>
      <c r="C237" s="52" t="s">
        <v>222</v>
      </c>
      <c r="D237" s="45" t="s">
        <v>181</v>
      </c>
      <c r="E237" s="45" t="s">
        <v>133</v>
      </c>
      <c r="F237" s="364" t="s">
        <v>3463</v>
      </c>
      <c r="G237" s="188" t="s">
        <v>2051</v>
      </c>
      <c r="H237" s="37" t="s">
        <v>224</v>
      </c>
      <c r="I237" s="62"/>
      <c r="J237" s="37"/>
      <c r="K237" s="29"/>
      <c r="L237" s="30"/>
      <c r="M237" s="30"/>
      <c r="N237" s="30"/>
      <c r="O237" s="80"/>
      <c r="P237" s="80"/>
      <c r="Q237" s="80"/>
      <c r="R237" s="80"/>
      <c r="S237" s="80"/>
      <c r="T237" s="80"/>
      <c r="U237" s="29" t="s">
        <v>225</v>
      </c>
      <c r="V237" s="41"/>
      <c r="W237" s="29"/>
      <c r="X237" s="41"/>
      <c r="Y237" s="52"/>
      <c r="Z237" s="41"/>
      <c r="AA237" s="29"/>
      <c r="AB237" s="29" t="s">
        <v>226</v>
      </c>
      <c r="AC237" s="53" t="s">
        <v>227</v>
      </c>
      <c r="AD237" s="37"/>
      <c r="AE237" s="37"/>
      <c r="AF237" s="37"/>
      <c r="AG237" s="37"/>
      <c r="AH237" s="37"/>
      <c r="AI237" s="37"/>
      <c r="AJ237" s="37"/>
      <c r="AK237" s="28"/>
      <c r="AL237" s="52" t="s">
        <v>228</v>
      </c>
      <c r="AM237" s="37"/>
      <c r="AN237" s="37"/>
      <c r="AO237" s="37"/>
      <c r="AP237" s="37"/>
      <c r="AQ237" s="29" t="s">
        <v>229</v>
      </c>
      <c r="AR237" s="67">
        <v>18.37</v>
      </c>
      <c r="AS237" s="27">
        <f t="shared" si="90"/>
        <v>41.373873873873876</v>
      </c>
      <c r="AT237" s="50" t="s">
        <v>230</v>
      </c>
      <c r="AU237" s="51">
        <v>10038568742350</v>
      </c>
      <c r="AV237" s="293">
        <v>7.6</v>
      </c>
      <c r="AW237" s="293">
        <v>7.44</v>
      </c>
      <c r="AX237" s="293">
        <v>2.2799999999999998</v>
      </c>
      <c r="AY237" s="49"/>
      <c r="AZ237" s="49"/>
      <c r="BA237" s="49"/>
      <c r="BB237" s="294">
        <f>7.44+(0.018*2)</f>
        <v>7.476</v>
      </c>
      <c r="BC237" s="294">
        <f>2.75+(0.018*2)</f>
        <v>2.786</v>
      </c>
      <c r="BD237" s="294">
        <f>9.5+(0.018*4)</f>
        <v>9.5719999999999992</v>
      </c>
      <c r="BE237" s="291">
        <f t="shared" si="94"/>
        <v>0.11537437372222221</v>
      </c>
      <c r="BF237" s="294">
        <f>0.419+0.1</f>
        <v>0.51900000000000002</v>
      </c>
      <c r="BG237" s="295">
        <f>10+(0.125*2)</f>
        <v>10.25</v>
      </c>
      <c r="BH237" s="295">
        <f>7.5+(0.125*2)</f>
        <v>7.75</v>
      </c>
      <c r="BI237" s="295">
        <f>10+(0.125*4)</f>
        <v>10.5</v>
      </c>
      <c r="BJ237" s="291">
        <f t="shared" si="91"/>
        <v>0.4826931423611111</v>
      </c>
      <c r="BK237" s="294">
        <f>(BF237*3)+0.25</f>
        <v>1.8069999999999999</v>
      </c>
      <c r="BL237" s="341"/>
      <c r="BM237" s="341"/>
      <c r="BN237" s="296" t="s">
        <v>68</v>
      </c>
      <c r="BO237" s="296">
        <v>3</v>
      </c>
      <c r="BP237" s="296">
        <v>22</v>
      </c>
      <c r="BQ237" s="296">
        <v>4</v>
      </c>
      <c r="BR237" s="32">
        <f t="shared" si="92"/>
        <v>264</v>
      </c>
      <c r="BS237" s="32">
        <f t="shared" si="93"/>
        <v>209.01599999999999</v>
      </c>
      <c r="BT237" s="296" t="s">
        <v>182</v>
      </c>
      <c r="BU237" s="32" t="s">
        <v>67</v>
      </c>
      <c r="BV237" s="82"/>
      <c r="BW237" s="82"/>
      <c r="BX237" s="82"/>
      <c r="BY237" s="1"/>
      <c r="BZ237" s="1"/>
      <c r="CA237" s="1"/>
      <c r="CB237" s="1"/>
      <c r="CC237" s="1"/>
      <c r="CD237" s="1"/>
      <c r="CE237" s="1"/>
      <c r="CF237" s="1"/>
    </row>
    <row r="238" spans="1:84" s="83" customFormat="1" x14ac:dyDescent="0.25">
      <c r="A238" s="57">
        <v>42264</v>
      </c>
      <c r="B238" s="350" t="s">
        <v>14</v>
      </c>
      <c r="C238" s="296" t="s">
        <v>231</v>
      </c>
      <c r="D238" s="45" t="s">
        <v>181</v>
      </c>
      <c r="E238" s="45" t="s">
        <v>133</v>
      </c>
      <c r="F238" s="364" t="s">
        <v>3464</v>
      </c>
      <c r="G238" s="188" t="s">
        <v>2051</v>
      </c>
      <c r="H238" s="37" t="s">
        <v>232</v>
      </c>
      <c r="I238" s="62" t="s">
        <v>51</v>
      </c>
      <c r="J238" s="37" t="s">
        <v>233</v>
      </c>
      <c r="K238" s="29"/>
      <c r="L238" s="30"/>
      <c r="M238" s="30"/>
      <c r="N238" s="30"/>
      <c r="O238" s="80"/>
      <c r="P238" s="80"/>
      <c r="Q238" s="80"/>
      <c r="R238" s="80"/>
      <c r="S238" s="80"/>
      <c r="T238" s="80"/>
      <c r="U238" s="29" t="s">
        <v>234</v>
      </c>
      <c r="V238" s="41"/>
      <c r="W238" s="29"/>
      <c r="X238" s="41"/>
      <c r="Y238" s="52"/>
      <c r="Z238" s="41"/>
      <c r="AA238" s="29"/>
      <c r="AB238" s="29" t="s">
        <v>235</v>
      </c>
      <c r="AC238" s="53" t="s">
        <v>236</v>
      </c>
      <c r="AD238" s="37"/>
      <c r="AE238" s="37"/>
      <c r="AF238" s="37"/>
      <c r="AG238" s="37"/>
      <c r="AH238" s="37"/>
      <c r="AI238" s="37"/>
      <c r="AJ238" s="37"/>
      <c r="AK238" s="28"/>
      <c r="AL238" s="52" t="s">
        <v>237</v>
      </c>
      <c r="AM238" s="37"/>
      <c r="AN238" s="37"/>
      <c r="AO238" s="37"/>
      <c r="AP238" s="37"/>
      <c r="AQ238" s="29"/>
      <c r="AR238" s="67">
        <v>14.67</v>
      </c>
      <c r="AS238" s="27">
        <f t="shared" si="90"/>
        <v>33.04054054054054</v>
      </c>
      <c r="AT238" s="50" t="s">
        <v>238</v>
      </c>
      <c r="AU238" s="51">
        <v>10038568742367</v>
      </c>
      <c r="AV238" s="293">
        <v>8.0299999999999994</v>
      </c>
      <c r="AW238" s="293">
        <v>6.02</v>
      </c>
      <c r="AX238" s="293">
        <v>2.2200000000000002</v>
      </c>
      <c r="AY238" s="49"/>
      <c r="AZ238" s="49"/>
      <c r="BA238" s="49"/>
      <c r="BB238" s="294">
        <f>9.75+(0.018*2)</f>
        <v>9.7859999999999996</v>
      </c>
      <c r="BC238" s="294">
        <f>2.31+(0.018*2)</f>
        <v>2.3460000000000001</v>
      </c>
      <c r="BD238" s="294">
        <f>9.75+(0.018*4)</f>
        <v>9.8219999999999992</v>
      </c>
      <c r="BE238" s="291">
        <f t="shared" si="94"/>
        <v>0.13049365962499998</v>
      </c>
      <c r="BF238" s="294">
        <f>0.375+0.1</f>
        <v>0.47499999999999998</v>
      </c>
      <c r="BG238" s="295">
        <f>10+(0.125*2)</f>
        <v>10.25</v>
      </c>
      <c r="BH238" s="295">
        <f>7.5+(0.125*2)</f>
        <v>7.75</v>
      </c>
      <c r="BI238" s="295">
        <f>10+(0.125*4)</f>
        <v>10.5</v>
      </c>
      <c r="BJ238" s="291">
        <f t="shared" si="91"/>
        <v>0.4826931423611111</v>
      </c>
      <c r="BK238" s="294">
        <f t="shared" ref="BK238" si="95">(BF238*3)+0.25</f>
        <v>1.6749999999999998</v>
      </c>
      <c r="BL238" s="341"/>
      <c r="BM238" s="341"/>
      <c r="BN238" s="296" t="s">
        <v>68</v>
      </c>
      <c r="BO238" s="296">
        <v>3</v>
      </c>
      <c r="BP238" s="296">
        <v>22</v>
      </c>
      <c r="BQ238" s="296">
        <v>4</v>
      </c>
      <c r="BR238" s="32">
        <f t="shared" si="92"/>
        <v>264</v>
      </c>
      <c r="BS238" s="32">
        <f t="shared" si="93"/>
        <v>197.39999999999998</v>
      </c>
      <c r="BT238" s="296" t="s">
        <v>182</v>
      </c>
      <c r="BU238" s="32" t="s">
        <v>67</v>
      </c>
      <c r="BV238" s="82"/>
      <c r="BW238" s="82"/>
      <c r="BX238" s="82"/>
      <c r="BY238" s="1"/>
      <c r="BZ238" s="1"/>
      <c r="CA238" s="1"/>
      <c r="CB238" s="1"/>
      <c r="CC238" s="1"/>
      <c r="CD238" s="1"/>
      <c r="CE238" s="1"/>
      <c r="CF238" s="1"/>
    </row>
    <row r="239" spans="1:84" s="83" customFormat="1" ht="30" x14ac:dyDescent="0.25">
      <c r="A239" s="57">
        <v>42264</v>
      </c>
      <c r="B239" s="350" t="s">
        <v>14</v>
      </c>
      <c r="C239" s="52" t="s">
        <v>203</v>
      </c>
      <c r="D239" s="45" t="s">
        <v>73</v>
      </c>
      <c r="E239" s="45" t="s">
        <v>204</v>
      </c>
      <c r="F239" s="364" t="s">
        <v>3460</v>
      </c>
      <c r="G239" s="188" t="s">
        <v>2051</v>
      </c>
      <c r="H239" s="37" t="s">
        <v>205</v>
      </c>
      <c r="I239" s="62" t="s">
        <v>71</v>
      </c>
      <c r="J239" s="37">
        <v>1521527</v>
      </c>
      <c r="K239" s="29"/>
      <c r="L239" s="30"/>
      <c r="M239" s="30"/>
      <c r="N239" s="30"/>
      <c r="O239" s="80"/>
      <c r="P239" s="80"/>
      <c r="Q239" s="80"/>
      <c r="R239" s="80"/>
      <c r="S239" s="80"/>
      <c r="T239" s="80"/>
      <c r="U239" s="29" t="s">
        <v>206</v>
      </c>
      <c r="V239" s="41"/>
      <c r="W239" s="29"/>
      <c r="X239" s="41"/>
      <c r="Y239" s="52" t="s">
        <v>207</v>
      </c>
      <c r="Z239" s="41"/>
      <c r="AA239" s="29" t="s">
        <v>208</v>
      </c>
      <c r="AB239" s="29"/>
      <c r="AC239" s="37"/>
      <c r="AD239" s="37" t="s">
        <v>209</v>
      </c>
      <c r="AE239" s="37"/>
      <c r="AF239" s="37"/>
      <c r="AG239" s="37"/>
      <c r="AH239" s="37"/>
      <c r="AI239" s="37"/>
      <c r="AJ239" s="37"/>
      <c r="AK239" s="28"/>
      <c r="AL239" s="37"/>
      <c r="AM239" s="37"/>
      <c r="AN239" s="37"/>
      <c r="AO239" s="37"/>
      <c r="AP239" s="37"/>
      <c r="AQ239" s="29"/>
      <c r="AR239" s="90">
        <v>17.7</v>
      </c>
      <c r="AS239" s="27">
        <f t="shared" si="90"/>
        <v>39.864864864864863</v>
      </c>
      <c r="AT239" s="50" t="s">
        <v>210</v>
      </c>
      <c r="AU239" s="51">
        <v>10038568737998</v>
      </c>
      <c r="AV239" s="49"/>
      <c r="AW239" s="44"/>
      <c r="AX239" s="44"/>
      <c r="AY239" s="291">
        <v>2.52</v>
      </c>
      <c r="AZ239" s="291">
        <v>5.75</v>
      </c>
      <c r="BA239" s="291">
        <v>1.06</v>
      </c>
      <c r="BB239" s="294">
        <f>3.0625+(0.018*2)</f>
        <v>3.0985</v>
      </c>
      <c r="BC239" s="294">
        <f>3.0625+(0.018*2)</f>
        <v>3.0985</v>
      </c>
      <c r="BD239" s="294">
        <f>6.75+(0.018*4)</f>
        <v>6.8220000000000001</v>
      </c>
      <c r="BE239" s="291">
        <f t="shared" si="94"/>
        <v>3.7902772424479161E-2</v>
      </c>
      <c r="BF239" s="294">
        <f>0.16+0.1</f>
        <v>0.26</v>
      </c>
      <c r="BG239" s="295">
        <f>12.8125+(0.125*2)</f>
        <v>13.0625</v>
      </c>
      <c r="BH239" s="295">
        <f>9.625+(0.125*2)</f>
        <v>9.875</v>
      </c>
      <c r="BI239" s="295">
        <f>6.875+(0.125*4)</f>
        <v>7.375</v>
      </c>
      <c r="BJ239" s="291">
        <f t="shared" si="91"/>
        <v>0.55053089283130785</v>
      </c>
      <c r="BK239" s="294">
        <f>(BF239*12)+0.25</f>
        <v>3.37</v>
      </c>
      <c r="BL239" s="341"/>
      <c r="BM239" s="341"/>
      <c r="BN239" s="296" t="s">
        <v>68</v>
      </c>
      <c r="BO239" s="296">
        <v>12</v>
      </c>
      <c r="BP239" s="296">
        <v>14</v>
      </c>
      <c r="BQ239" s="296">
        <v>6</v>
      </c>
      <c r="BR239" s="32">
        <f t="shared" si="92"/>
        <v>1008</v>
      </c>
      <c r="BS239" s="32">
        <f t="shared" si="93"/>
        <v>333.08</v>
      </c>
      <c r="BT239" s="296" t="s">
        <v>62</v>
      </c>
      <c r="BU239" s="32" t="s">
        <v>67</v>
      </c>
      <c r="BV239" s="82"/>
      <c r="BW239" s="82"/>
      <c r="BX239" s="82"/>
      <c r="BY239" s="1"/>
      <c r="BZ239" s="1"/>
      <c r="CA239" s="1"/>
      <c r="CB239" s="1"/>
      <c r="CC239" s="1"/>
      <c r="CD239" s="1"/>
      <c r="CE239" s="1"/>
      <c r="CF239" s="1"/>
    </row>
    <row r="240" spans="1:84" s="83" customFormat="1" x14ac:dyDescent="0.25">
      <c r="A240" s="57">
        <v>42264</v>
      </c>
      <c r="B240" s="350" t="s">
        <v>14</v>
      </c>
      <c r="C240" s="52" t="s">
        <v>211</v>
      </c>
      <c r="D240" s="45" t="s">
        <v>73</v>
      </c>
      <c r="E240" s="45" t="s">
        <v>133</v>
      </c>
      <c r="F240" s="364" t="s">
        <v>3461</v>
      </c>
      <c r="G240" s="188" t="s">
        <v>2051</v>
      </c>
      <c r="H240" s="37" t="s">
        <v>212</v>
      </c>
      <c r="I240" s="62"/>
      <c r="J240" s="37"/>
      <c r="K240" s="29"/>
      <c r="L240" s="30"/>
      <c r="M240" s="30"/>
      <c r="N240" s="30"/>
      <c r="O240" s="80"/>
      <c r="P240" s="80"/>
      <c r="Q240" s="80"/>
      <c r="R240" s="80"/>
      <c r="S240" s="80"/>
      <c r="T240" s="80"/>
      <c r="U240" s="29" t="s">
        <v>213</v>
      </c>
      <c r="V240" s="41"/>
      <c r="W240" s="29"/>
      <c r="X240" s="41"/>
      <c r="Y240" s="52"/>
      <c r="Z240" s="41"/>
      <c r="AA240" s="29" t="s">
        <v>214</v>
      </c>
      <c r="AB240" s="29" t="s">
        <v>215</v>
      </c>
      <c r="AC240" s="37"/>
      <c r="AD240" s="37"/>
      <c r="AE240" s="37"/>
      <c r="AF240" s="37"/>
      <c r="AG240" s="37"/>
      <c r="AH240" s="37"/>
      <c r="AI240" s="37"/>
      <c r="AJ240" s="37"/>
      <c r="AK240" s="28"/>
      <c r="AL240" s="37"/>
      <c r="AM240" s="37"/>
      <c r="AN240" s="37"/>
      <c r="AO240" s="37"/>
      <c r="AP240" s="37"/>
      <c r="AQ240" s="29" t="s">
        <v>216</v>
      </c>
      <c r="AR240" s="90">
        <v>21.98</v>
      </c>
      <c r="AS240" s="27">
        <f t="shared" si="90"/>
        <v>49.504504504504503</v>
      </c>
      <c r="AT240" s="50" t="s">
        <v>217</v>
      </c>
      <c r="AU240" s="51">
        <v>10038568740417</v>
      </c>
      <c r="AV240" s="293">
        <v>10.26</v>
      </c>
      <c r="AW240" s="293">
        <v>5.57</v>
      </c>
      <c r="AX240" s="293">
        <v>0.77</v>
      </c>
      <c r="AY240" s="49"/>
      <c r="AZ240" s="49"/>
      <c r="BA240" s="49"/>
      <c r="BB240" s="294">
        <v>10.26</v>
      </c>
      <c r="BC240" s="294">
        <v>5.57</v>
      </c>
      <c r="BD240" s="294">
        <v>0.77</v>
      </c>
      <c r="BE240" s="291">
        <f t="shared" si="94"/>
        <v>2.5465343750000001E-2</v>
      </c>
      <c r="BF240" s="294">
        <f>0.2+0.1</f>
        <v>0.30000000000000004</v>
      </c>
      <c r="BG240" s="295">
        <f>10.5+(0.125*2)</f>
        <v>10.75</v>
      </c>
      <c r="BH240" s="295">
        <f>7+(0.125*2)</f>
        <v>7.25</v>
      </c>
      <c r="BI240" s="295">
        <f>4.12+(0.125*4)</f>
        <v>4.62</v>
      </c>
      <c r="BJ240" s="291">
        <f t="shared" si="91"/>
        <v>0.2083745659722222</v>
      </c>
      <c r="BK240" s="294">
        <f>(BF240*3)+0.25</f>
        <v>1.1500000000000001</v>
      </c>
      <c r="BL240" s="341"/>
      <c r="BM240" s="341"/>
      <c r="BN240" s="296" t="s">
        <v>68</v>
      </c>
      <c r="BO240" s="296">
        <v>3</v>
      </c>
      <c r="BP240" s="296">
        <v>20</v>
      </c>
      <c r="BQ240" s="296">
        <v>11</v>
      </c>
      <c r="BR240" s="32">
        <f t="shared" si="92"/>
        <v>660</v>
      </c>
      <c r="BS240" s="32">
        <f t="shared" si="93"/>
        <v>303</v>
      </c>
      <c r="BT240" s="296" t="s">
        <v>69</v>
      </c>
      <c r="BU240" s="32" t="s">
        <v>67</v>
      </c>
      <c r="BV240" s="82"/>
      <c r="BW240" s="82"/>
      <c r="BX240" s="82"/>
      <c r="BY240" s="1"/>
      <c r="BZ240" s="1"/>
      <c r="CA240" s="1"/>
      <c r="CB240" s="1"/>
      <c r="CC240" s="1"/>
      <c r="CD240" s="1"/>
      <c r="CE240" s="1"/>
      <c r="CF240" s="1"/>
    </row>
    <row r="241" spans="1:84" s="83" customFormat="1" ht="30" x14ac:dyDescent="0.25">
      <c r="A241" s="57">
        <v>42264</v>
      </c>
      <c r="B241" s="350" t="s">
        <v>14</v>
      </c>
      <c r="C241" s="52" t="s">
        <v>218</v>
      </c>
      <c r="D241" s="45" t="s">
        <v>73</v>
      </c>
      <c r="E241" s="45"/>
      <c r="F241" s="364" t="s">
        <v>3462</v>
      </c>
      <c r="G241" s="188" t="s">
        <v>219</v>
      </c>
      <c r="H241" s="37"/>
      <c r="I241" s="62"/>
      <c r="J241" s="37"/>
      <c r="K241" s="29"/>
      <c r="L241" s="30"/>
      <c r="M241" s="30"/>
      <c r="N241" s="30"/>
      <c r="O241" s="80"/>
      <c r="P241" s="80"/>
      <c r="Q241" s="80"/>
      <c r="R241" s="80"/>
      <c r="S241" s="80"/>
      <c r="T241" s="80"/>
      <c r="U241" s="29"/>
      <c r="V241" s="41"/>
      <c r="W241" s="29"/>
      <c r="X241" s="41"/>
      <c r="Y241" s="52"/>
      <c r="Z241" s="41"/>
      <c r="AA241" s="29"/>
      <c r="AB241" s="29"/>
      <c r="AC241" s="37"/>
      <c r="AD241" s="37"/>
      <c r="AE241" s="37"/>
      <c r="AF241" s="37"/>
      <c r="AG241" s="37"/>
      <c r="AH241" s="37"/>
      <c r="AI241" s="37"/>
      <c r="AJ241" s="37"/>
      <c r="AK241" s="28"/>
      <c r="AL241" s="37"/>
      <c r="AM241" s="37"/>
      <c r="AN241" s="37"/>
      <c r="AO241" s="37"/>
      <c r="AP241" s="37"/>
      <c r="AQ241" s="29"/>
      <c r="AR241" s="90">
        <v>283.43</v>
      </c>
      <c r="AS241" s="27">
        <f t="shared" si="90"/>
        <v>638.35585585585591</v>
      </c>
      <c r="AT241" s="50" t="s">
        <v>220</v>
      </c>
      <c r="AU241" s="51">
        <v>10038568739961</v>
      </c>
      <c r="AV241" s="49"/>
      <c r="AW241" s="44"/>
      <c r="AX241" s="44"/>
      <c r="AY241" s="49"/>
      <c r="AZ241" s="49"/>
      <c r="BA241" s="49"/>
      <c r="BB241" s="438" t="s">
        <v>80</v>
      </c>
      <c r="BC241" s="438"/>
      <c r="BD241" s="438"/>
      <c r="BE241" s="438"/>
      <c r="BF241" s="438"/>
      <c r="BG241" s="295">
        <f>11.13+(0.125*2)</f>
        <v>11.38</v>
      </c>
      <c r="BH241" s="295">
        <f>10.25+(0.125*2)</f>
        <v>10.5</v>
      </c>
      <c r="BI241" s="295">
        <f>5.63+(0.125*4)</f>
        <v>6.13</v>
      </c>
      <c r="BJ241" s="291">
        <f t="shared" si="91"/>
        <v>0.42388524305555558</v>
      </c>
      <c r="BK241" s="294">
        <f>(0.86+0.75+0.44)+0.25</f>
        <v>2.2999999999999998</v>
      </c>
      <c r="BL241" s="341"/>
      <c r="BM241" s="341"/>
      <c r="BN241" s="296" t="s">
        <v>68</v>
      </c>
      <c r="BO241" s="296">
        <v>1</v>
      </c>
      <c r="BP241" s="296">
        <v>12</v>
      </c>
      <c r="BQ241" s="296">
        <v>7</v>
      </c>
      <c r="BR241" s="32">
        <f t="shared" si="92"/>
        <v>84</v>
      </c>
      <c r="BS241" s="32">
        <f t="shared" si="93"/>
        <v>243.2</v>
      </c>
      <c r="BT241" s="61" t="s">
        <v>221</v>
      </c>
      <c r="BU241" s="32" t="s">
        <v>67</v>
      </c>
      <c r="BV241" s="82"/>
      <c r="BW241" s="82"/>
      <c r="BX241" s="82"/>
      <c r="BY241" s="1"/>
      <c r="BZ241" s="1"/>
      <c r="CA241" s="1"/>
      <c r="CB241" s="1"/>
      <c r="CC241" s="1"/>
      <c r="CD241" s="1"/>
      <c r="CE241" s="1"/>
      <c r="CF241" s="1"/>
    </row>
    <row r="242" spans="1:84" s="83" customFormat="1" x14ac:dyDescent="0.25">
      <c r="A242" s="57">
        <v>42264</v>
      </c>
      <c r="B242" s="350" t="s">
        <v>14</v>
      </c>
      <c r="C242" s="52" t="s">
        <v>222</v>
      </c>
      <c r="D242" s="45" t="s">
        <v>181</v>
      </c>
      <c r="E242" s="45" t="s">
        <v>133</v>
      </c>
      <c r="F242" s="364" t="s">
        <v>3463</v>
      </c>
      <c r="G242" s="188" t="s">
        <v>2051</v>
      </c>
      <c r="H242" s="37" t="s">
        <v>224</v>
      </c>
      <c r="I242" s="62"/>
      <c r="J242" s="37"/>
      <c r="K242" s="29"/>
      <c r="L242" s="30"/>
      <c r="M242" s="30"/>
      <c r="N242" s="30"/>
      <c r="O242" s="80"/>
      <c r="P242" s="80"/>
      <c r="Q242" s="80"/>
      <c r="R242" s="80"/>
      <c r="S242" s="80"/>
      <c r="T242" s="80"/>
      <c r="U242" s="29" t="s">
        <v>225</v>
      </c>
      <c r="V242" s="41"/>
      <c r="W242" s="29"/>
      <c r="X242" s="41"/>
      <c r="Y242" s="52"/>
      <c r="Z242" s="41"/>
      <c r="AA242" s="29"/>
      <c r="AB242" s="29" t="s">
        <v>226</v>
      </c>
      <c r="AC242" s="53" t="s">
        <v>227</v>
      </c>
      <c r="AD242" s="37"/>
      <c r="AE242" s="37"/>
      <c r="AF242" s="37"/>
      <c r="AG242" s="37"/>
      <c r="AH242" s="37"/>
      <c r="AI242" s="37"/>
      <c r="AJ242" s="37"/>
      <c r="AK242" s="28"/>
      <c r="AL242" s="52" t="s">
        <v>228</v>
      </c>
      <c r="AM242" s="37"/>
      <c r="AN242" s="37"/>
      <c r="AO242" s="37"/>
      <c r="AP242" s="37"/>
      <c r="AQ242" s="29" t="s">
        <v>229</v>
      </c>
      <c r="AR242" s="67">
        <v>18.37</v>
      </c>
      <c r="AS242" s="27">
        <f t="shared" si="90"/>
        <v>41.373873873873876</v>
      </c>
      <c r="AT242" s="50" t="s">
        <v>230</v>
      </c>
      <c r="AU242" s="51">
        <v>10038568742350</v>
      </c>
      <c r="AV242" s="293">
        <v>7.6</v>
      </c>
      <c r="AW242" s="293">
        <v>7.44</v>
      </c>
      <c r="AX242" s="293">
        <v>2.2799999999999998</v>
      </c>
      <c r="AY242" s="49"/>
      <c r="AZ242" s="49"/>
      <c r="BA242" s="49"/>
      <c r="BB242" s="294">
        <f>7.44+(0.018*2)</f>
        <v>7.476</v>
      </c>
      <c r="BC242" s="294">
        <f>2.75+(0.018*2)</f>
        <v>2.786</v>
      </c>
      <c r="BD242" s="294">
        <f>9.5+(0.018*4)</f>
        <v>9.5719999999999992</v>
      </c>
      <c r="BE242" s="291">
        <f t="shared" si="94"/>
        <v>0.11537437372222221</v>
      </c>
      <c r="BF242" s="294">
        <f>0.419+0.1</f>
        <v>0.51900000000000002</v>
      </c>
      <c r="BG242" s="295">
        <f>10+(0.125*2)</f>
        <v>10.25</v>
      </c>
      <c r="BH242" s="295">
        <f>7.5+(0.125*2)</f>
        <v>7.75</v>
      </c>
      <c r="BI242" s="295">
        <f>10+(0.125*4)</f>
        <v>10.5</v>
      </c>
      <c r="BJ242" s="291">
        <f t="shared" si="91"/>
        <v>0.4826931423611111</v>
      </c>
      <c r="BK242" s="294">
        <f>(BF242*3)+0.25</f>
        <v>1.8069999999999999</v>
      </c>
      <c r="BL242" s="341"/>
      <c r="BM242" s="341"/>
      <c r="BN242" s="296" t="s">
        <v>68</v>
      </c>
      <c r="BO242" s="296">
        <v>3</v>
      </c>
      <c r="BP242" s="296">
        <v>22</v>
      </c>
      <c r="BQ242" s="296">
        <v>4</v>
      </c>
      <c r="BR242" s="32">
        <f t="shared" si="92"/>
        <v>264</v>
      </c>
      <c r="BS242" s="32">
        <f t="shared" si="93"/>
        <v>209.01599999999999</v>
      </c>
      <c r="BT242" s="296" t="s">
        <v>182</v>
      </c>
      <c r="BU242" s="32" t="s">
        <v>67</v>
      </c>
      <c r="BV242" s="82"/>
      <c r="BW242" s="82"/>
      <c r="BX242" s="82"/>
      <c r="BY242" s="1"/>
      <c r="BZ242" s="1"/>
      <c r="CA242" s="1"/>
      <c r="CB242" s="1"/>
      <c r="CC242" s="1"/>
      <c r="CD242" s="1"/>
      <c r="CE242" s="1"/>
      <c r="CF242" s="1"/>
    </row>
    <row r="243" spans="1:84" s="83" customFormat="1" x14ac:dyDescent="0.25">
      <c r="A243" s="57">
        <v>42264</v>
      </c>
      <c r="B243" s="350" t="s">
        <v>14</v>
      </c>
      <c r="C243" s="296" t="s">
        <v>231</v>
      </c>
      <c r="D243" s="45" t="s">
        <v>181</v>
      </c>
      <c r="E243" s="45" t="s">
        <v>133</v>
      </c>
      <c r="F243" s="364" t="s">
        <v>3464</v>
      </c>
      <c r="G243" s="188" t="s">
        <v>2051</v>
      </c>
      <c r="H243" s="37" t="s">
        <v>232</v>
      </c>
      <c r="I243" s="62" t="s">
        <v>51</v>
      </c>
      <c r="J243" s="37" t="s">
        <v>233</v>
      </c>
      <c r="K243" s="29"/>
      <c r="L243" s="30"/>
      <c r="M243" s="30"/>
      <c r="N243" s="30"/>
      <c r="O243" s="80"/>
      <c r="P243" s="80"/>
      <c r="Q243" s="80"/>
      <c r="R243" s="80"/>
      <c r="S243" s="80"/>
      <c r="T243" s="80"/>
      <c r="U243" s="29" t="s">
        <v>234</v>
      </c>
      <c r="V243" s="41"/>
      <c r="W243" s="29"/>
      <c r="X243" s="41"/>
      <c r="Y243" s="52"/>
      <c r="Z243" s="41"/>
      <c r="AA243" s="29"/>
      <c r="AB243" s="29" t="s">
        <v>235</v>
      </c>
      <c r="AC243" s="53" t="s">
        <v>236</v>
      </c>
      <c r="AD243" s="37"/>
      <c r="AE243" s="37"/>
      <c r="AF243" s="37"/>
      <c r="AG243" s="37"/>
      <c r="AH243" s="37"/>
      <c r="AI243" s="37"/>
      <c r="AJ243" s="37"/>
      <c r="AK243" s="28"/>
      <c r="AL243" s="52" t="s">
        <v>237</v>
      </c>
      <c r="AM243" s="37"/>
      <c r="AN243" s="37"/>
      <c r="AO243" s="37"/>
      <c r="AP243" s="37"/>
      <c r="AQ243" s="29"/>
      <c r="AR243" s="67">
        <v>14.67</v>
      </c>
      <c r="AS243" s="27">
        <f t="shared" si="90"/>
        <v>33.04054054054054</v>
      </c>
      <c r="AT243" s="50" t="s">
        <v>238</v>
      </c>
      <c r="AU243" s="51">
        <v>10038568742367</v>
      </c>
      <c r="AV243" s="293">
        <v>8.0299999999999994</v>
      </c>
      <c r="AW243" s="293">
        <v>6.02</v>
      </c>
      <c r="AX243" s="293">
        <v>2.2200000000000002</v>
      </c>
      <c r="AY243" s="49"/>
      <c r="AZ243" s="49"/>
      <c r="BA243" s="49"/>
      <c r="BB243" s="294">
        <f>9.75+(0.018*2)</f>
        <v>9.7859999999999996</v>
      </c>
      <c r="BC243" s="294">
        <f>2.31+(0.018*2)</f>
        <v>2.3460000000000001</v>
      </c>
      <c r="BD243" s="294">
        <f>9.75+(0.018*4)</f>
        <v>9.8219999999999992</v>
      </c>
      <c r="BE243" s="291">
        <f t="shared" si="94"/>
        <v>0.13049365962499998</v>
      </c>
      <c r="BF243" s="294">
        <f>0.375+0.1</f>
        <v>0.47499999999999998</v>
      </c>
      <c r="BG243" s="295">
        <f>10+(0.125*2)</f>
        <v>10.25</v>
      </c>
      <c r="BH243" s="295">
        <f>7.5+(0.125*2)</f>
        <v>7.75</v>
      </c>
      <c r="BI243" s="295">
        <f>10+(0.125*4)</f>
        <v>10.5</v>
      </c>
      <c r="BJ243" s="291">
        <f t="shared" si="91"/>
        <v>0.4826931423611111</v>
      </c>
      <c r="BK243" s="294">
        <f t="shared" ref="BK243" si="96">(BF243*3)+0.25</f>
        <v>1.6749999999999998</v>
      </c>
      <c r="BL243" s="341"/>
      <c r="BM243" s="341"/>
      <c r="BN243" s="296" t="s">
        <v>68</v>
      </c>
      <c r="BO243" s="296">
        <v>3</v>
      </c>
      <c r="BP243" s="296">
        <v>22</v>
      </c>
      <c r="BQ243" s="296">
        <v>4</v>
      </c>
      <c r="BR243" s="32">
        <f t="shared" si="92"/>
        <v>264</v>
      </c>
      <c r="BS243" s="32">
        <f t="shared" si="93"/>
        <v>197.39999999999998</v>
      </c>
      <c r="BT243" s="296" t="s">
        <v>182</v>
      </c>
      <c r="BU243" s="32" t="s">
        <v>67</v>
      </c>
      <c r="BV243" s="82"/>
      <c r="BW243" s="82"/>
      <c r="BX243" s="82"/>
      <c r="BY243" s="1"/>
      <c r="BZ243" s="1"/>
      <c r="CA243" s="1"/>
      <c r="CB243" s="1"/>
      <c r="CC243" s="1"/>
      <c r="CD243" s="1"/>
      <c r="CE243" s="1"/>
      <c r="CF243" s="1"/>
    </row>
    <row r="244" spans="1:84" s="56" customFormat="1" ht="30" x14ac:dyDescent="0.25">
      <c r="A244" s="57">
        <v>42264</v>
      </c>
      <c r="B244" s="350" t="s">
        <v>14</v>
      </c>
      <c r="C244" s="45" t="s">
        <v>124</v>
      </c>
      <c r="D244" s="61" t="s">
        <v>73</v>
      </c>
      <c r="E244" s="45" t="s">
        <v>132</v>
      </c>
      <c r="F244" s="36" t="s">
        <v>3465</v>
      </c>
      <c r="G244" s="188" t="s">
        <v>2051</v>
      </c>
      <c r="H244" s="37" t="s">
        <v>161</v>
      </c>
      <c r="I244" s="62" t="s">
        <v>66</v>
      </c>
      <c r="J244" s="37" t="s">
        <v>162</v>
      </c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29" t="s">
        <v>134</v>
      </c>
      <c r="V244" s="41"/>
      <c r="W244" s="29"/>
      <c r="X244" s="41"/>
      <c r="Y244" s="52"/>
      <c r="Z244" s="41"/>
      <c r="AA244" s="29" t="s">
        <v>148</v>
      </c>
      <c r="AB244" s="29"/>
      <c r="AC244" s="37"/>
      <c r="AD244" s="37"/>
      <c r="AE244" s="37"/>
      <c r="AF244" s="37"/>
      <c r="AG244" s="37"/>
      <c r="AH244" s="37"/>
      <c r="AI244" s="37"/>
      <c r="AJ244" s="37"/>
      <c r="AK244" s="28"/>
      <c r="AL244" s="37"/>
      <c r="AM244" s="37"/>
      <c r="AN244" s="37"/>
      <c r="AO244" s="37"/>
      <c r="AP244" s="37"/>
      <c r="AQ244" s="29" t="s">
        <v>155</v>
      </c>
      <c r="AR244" s="90">
        <v>59.68</v>
      </c>
      <c r="AS244" s="27">
        <f t="shared" si="90"/>
        <v>134.41441441441441</v>
      </c>
      <c r="AT244" s="50" t="s">
        <v>172</v>
      </c>
      <c r="AU244" s="51">
        <v>10038568740295</v>
      </c>
      <c r="AV244" s="44"/>
      <c r="AW244" s="44"/>
      <c r="AX244" s="44"/>
      <c r="AY244" s="291">
        <v>6.3</v>
      </c>
      <c r="AZ244" s="291">
        <v>7.36</v>
      </c>
      <c r="BA244" s="49"/>
      <c r="BB244" s="438" t="s">
        <v>80</v>
      </c>
      <c r="BC244" s="438"/>
      <c r="BD244" s="438"/>
      <c r="BE244" s="438"/>
      <c r="BF244" s="438"/>
      <c r="BG244" s="294">
        <f>14.75+(0.153*2)</f>
        <v>15.055999999999999</v>
      </c>
      <c r="BH244" s="294">
        <f>9.75+(0.153*2)</f>
        <v>10.055999999999999</v>
      </c>
      <c r="BI244" s="294">
        <f>14.13+(0.153*4)</f>
        <v>14.742000000000001</v>
      </c>
      <c r="BJ244" s="291">
        <f t="shared" si="91"/>
        <v>1.2916580039999999</v>
      </c>
      <c r="BK244" s="294">
        <f>(2.5*6)+0.25</f>
        <v>15.25</v>
      </c>
      <c r="BL244" s="341"/>
      <c r="BM244" s="341"/>
      <c r="BN244" s="39" t="s">
        <v>68</v>
      </c>
      <c r="BO244" s="32">
        <v>6</v>
      </c>
      <c r="BP244" s="32">
        <v>12</v>
      </c>
      <c r="BQ244" s="32">
        <v>3</v>
      </c>
      <c r="BR244" s="32">
        <f t="shared" si="92"/>
        <v>216</v>
      </c>
      <c r="BS244" s="32">
        <f t="shared" si="93"/>
        <v>599</v>
      </c>
      <c r="BT244" s="32" t="s">
        <v>62</v>
      </c>
      <c r="BU244" s="32" t="s">
        <v>67</v>
      </c>
      <c r="BV244" s="92"/>
      <c r="BW244" s="92"/>
      <c r="BX244" s="92"/>
      <c r="BY244" s="15"/>
      <c r="BZ244" s="15"/>
      <c r="CA244" s="15"/>
      <c r="CB244" s="15"/>
      <c r="CC244" s="15"/>
      <c r="CD244" s="15"/>
      <c r="CE244" s="15"/>
      <c r="CF244" s="15"/>
    </row>
    <row r="245" spans="1:84" s="56" customFormat="1" ht="30" x14ac:dyDescent="0.25">
      <c r="A245" s="57">
        <v>42264</v>
      </c>
      <c r="B245" s="350" t="s">
        <v>14</v>
      </c>
      <c r="C245" s="45" t="s">
        <v>125</v>
      </c>
      <c r="D245" s="61" t="s">
        <v>73</v>
      </c>
      <c r="E245" s="45" t="s">
        <v>133</v>
      </c>
      <c r="F245" s="364" t="s">
        <v>3466</v>
      </c>
      <c r="G245" s="188" t="s">
        <v>2051</v>
      </c>
      <c r="H245" s="62" t="s">
        <v>163</v>
      </c>
      <c r="I245" s="37"/>
      <c r="J245" s="37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29" t="s">
        <v>135</v>
      </c>
      <c r="V245" s="41"/>
      <c r="W245" s="29"/>
      <c r="X245" s="41"/>
      <c r="Y245" s="29" t="s">
        <v>142</v>
      </c>
      <c r="Z245" s="41"/>
      <c r="AA245" s="29" t="s">
        <v>149</v>
      </c>
      <c r="AB245" s="29" t="s">
        <v>153</v>
      </c>
      <c r="AC245" s="37"/>
      <c r="AD245" s="37"/>
      <c r="AE245" s="37"/>
      <c r="AF245" s="37"/>
      <c r="AG245" s="37"/>
      <c r="AH245" s="37"/>
      <c r="AI245" s="37"/>
      <c r="AJ245" s="37"/>
      <c r="AK245" s="28"/>
      <c r="AL245" s="37"/>
      <c r="AM245" s="37"/>
      <c r="AN245" s="37"/>
      <c r="AO245" s="37"/>
      <c r="AP245" s="37"/>
      <c r="AQ245" s="29" t="s">
        <v>156</v>
      </c>
      <c r="AR245" s="90">
        <v>106.8</v>
      </c>
      <c r="AS245" s="27">
        <f t="shared" si="90"/>
        <v>240.54054054054052</v>
      </c>
      <c r="AT245" s="50" t="s">
        <v>173</v>
      </c>
      <c r="AU245" s="51">
        <v>10038568736526</v>
      </c>
      <c r="AV245" s="293">
        <v>12.2</v>
      </c>
      <c r="AW245" s="293">
        <v>4.87</v>
      </c>
      <c r="AX245" s="293">
        <v>7.2</v>
      </c>
      <c r="AY245" s="49"/>
      <c r="AZ245" s="49"/>
      <c r="BA245" s="49"/>
      <c r="BB245" s="438" t="s">
        <v>80</v>
      </c>
      <c r="BC245" s="438"/>
      <c r="BD245" s="438"/>
      <c r="BE245" s="438"/>
      <c r="BF245" s="438"/>
      <c r="BG245" s="294">
        <f>13.25+(0.153*2)</f>
        <v>13.555999999999999</v>
      </c>
      <c r="BH245" s="294">
        <f>6+(0.153*2)</f>
        <v>6.306</v>
      </c>
      <c r="BI245" s="294">
        <f>7.5+(0.153*4)</f>
        <v>8.1120000000000001</v>
      </c>
      <c r="BJ245" s="291">
        <f t="shared" si="91"/>
        <v>0.40130052733333332</v>
      </c>
      <c r="BK245" s="294">
        <f>2.5+0.25</f>
        <v>2.75</v>
      </c>
      <c r="BL245" s="341"/>
      <c r="BM245" s="341"/>
      <c r="BN245" s="296" t="s">
        <v>68</v>
      </c>
      <c r="BO245" s="296">
        <v>1</v>
      </c>
      <c r="BP245" s="296">
        <v>21</v>
      </c>
      <c r="BQ245" s="296">
        <v>5</v>
      </c>
      <c r="BR245" s="32">
        <f t="shared" si="92"/>
        <v>105</v>
      </c>
      <c r="BS245" s="32">
        <f t="shared" si="93"/>
        <v>338.75</v>
      </c>
      <c r="BT245" s="32" t="s">
        <v>62</v>
      </c>
      <c r="BU245" s="32" t="s">
        <v>67</v>
      </c>
      <c r="BV245" s="92"/>
      <c r="BW245" s="92"/>
      <c r="BX245" s="92"/>
      <c r="BY245" s="15"/>
      <c r="BZ245" s="15"/>
      <c r="CA245" s="15"/>
      <c r="CB245" s="15"/>
      <c r="CC245" s="15"/>
      <c r="CD245" s="15"/>
      <c r="CE245" s="15"/>
      <c r="CF245" s="15"/>
    </row>
    <row r="246" spans="1:84" s="56" customFormat="1" ht="30" x14ac:dyDescent="0.25">
      <c r="A246" s="57">
        <v>42264</v>
      </c>
      <c r="B246" s="350" t="s">
        <v>14</v>
      </c>
      <c r="C246" s="296" t="s">
        <v>126</v>
      </c>
      <c r="D246" s="61" t="s">
        <v>73</v>
      </c>
      <c r="E246" s="107" t="s">
        <v>3409</v>
      </c>
      <c r="F246" s="364" t="s">
        <v>3467</v>
      </c>
      <c r="G246" s="188" t="s">
        <v>2051</v>
      </c>
      <c r="H246" s="62"/>
      <c r="I246" s="37"/>
      <c r="J246" s="37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29" t="s">
        <v>136</v>
      </c>
      <c r="V246" s="41"/>
      <c r="W246" s="29"/>
      <c r="X246" s="41"/>
      <c r="Y246" s="296" t="s">
        <v>143</v>
      </c>
      <c r="Z246" s="41"/>
      <c r="AA246" s="296"/>
      <c r="AB246" s="29"/>
      <c r="AC246" s="37"/>
      <c r="AD246" s="37"/>
      <c r="AE246" s="37"/>
      <c r="AF246" s="37"/>
      <c r="AG246" s="37"/>
      <c r="AH246" s="37"/>
      <c r="AI246" s="37"/>
      <c r="AJ246" s="37"/>
      <c r="AK246" s="28"/>
      <c r="AL246" s="37"/>
      <c r="AM246" s="37"/>
      <c r="AN246" s="37"/>
      <c r="AO246" s="37"/>
      <c r="AP246" s="37"/>
      <c r="AQ246" s="296"/>
      <c r="AR246" s="90">
        <v>114.8</v>
      </c>
      <c r="AS246" s="27">
        <f t="shared" si="90"/>
        <v>258.55855855855856</v>
      </c>
      <c r="AT246" s="50" t="s">
        <v>174</v>
      </c>
      <c r="AU246" s="51">
        <v>10038568738445</v>
      </c>
      <c r="AV246" s="49"/>
      <c r="AW246" s="293">
        <v>12.85</v>
      </c>
      <c r="AX246" s="293">
        <v>8</v>
      </c>
      <c r="AY246" s="49"/>
      <c r="AZ246" s="49"/>
      <c r="BA246" s="49"/>
      <c r="BB246" s="438" t="s">
        <v>80</v>
      </c>
      <c r="BC246" s="438"/>
      <c r="BD246" s="438"/>
      <c r="BE246" s="438"/>
      <c r="BF246" s="438"/>
      <c r="BG246" s="295">
        <f>13.25+(0.153*2)</f>
        <v>13.555999999999999</v>
      </c>
      <c r="BH246" s="295">
        <f>13.25+(0.153*2)</f>
        <v>13.555999999999999</v>
      </c>
      <c r="BI246" s="295">
        <f>8.75+(0.153*4)</f>
        <v>9.3620000000000001</v>
      </c>
      <c r="BJ246" s="291">
        <f t="shared" si="91"/>
        <v>0.99560717779629615</v>
      </c>
      <c r="BK246" s="294">
        <f>2.8+0.25</f>
        <v>3.05</v>
      </c>
      <c r="BL246" s="341"/>
      <c r="BM246" s="341"/>
      <c r="BN246" s="296" t="s">
        <v>68</v>
      </c>
      <c r="BO246" s="296">
        <v>1</v>
      </c>
      <c r="BP246" s="296">
        <v>9</v>
      </c>
      <c r="BQ246" s="296">
        <v>5</v>
      </c>
      <c r="BR246" s="32">
        <f t="shared" si="92"/>
        <v>45</v>
      </c>
      <c r="BS246" s="32">
        <f t="shared" si="93"/>
        <v>187.25</v>
      </c>
      <c r="BT246" s="296" t="s">
        <v>62</v>
      </c>
      <c r="BU246" s="32" t="s">
        <v>67</v>
      </c>
      <c r="BV246" s="92"/>
      <c r="BW246" s="92"/>
      <c r="BX246" s="92"/>
      <c r="BY246" s="15"/>
      <c r="BZ246" s="15"/>
      <c r="CA246" s="15"/>
      <c r="CB246" s="15"/>
      <c r="CC246" s="15"/>
      <c r="CD246" s="15"/>
      <c r="CE246" s="15"/>
      <c r="CF246" s="15"/>
    </row>
    <row r="247" spans="1:84" s="56" customFormat="1" ht="30" x14ac:dyDescent="0.25">
      <c r="A247" s="57">
        <v>42264</v>
      </c>
      <c r="B247" s="350" t="s">
        <v>14</v>
      </c>
      <c r="C247" s="296" t="s">
        <v>127</v>
      </c>
      <c r="D247" s="61" t="s">
        <v>73</v>
      </c>
      <c r="E247" s="45" t="s">
        <v>133</v>
      </c>
      <c r="F247" s="364" t="s">
        <v>3468</v>
      </c>
      <c r="G247" s="188" t="s">
        <v>2051</v>
      </c>
      <c r="H247" s="37" t="s">
        <v>164</v>
      </c>
      <c r="I247" s="37"/>
      <c r="J247" s="37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29" t="s">
        <v>137</v>
      </c>
      <c r="V247" s="41"/>
      <c r="W247" s="29"/>
      <c r="X247" s="41"/>
      <c r="Y247" s="29" t="s">
        <v>144</v>
      </c>
      <c r="Z247" s="41"/>
      <c r="AA247" s="29" t="s">
        <v>150</v>
      </c>
      <c r="AB247" s="29"/>
      <c r="AC247" s="37"/>
      <c r="AD247" s="37"/>
      <c r="AE247" s="37"/>
      <c r="AF247" s="37"/>
      <c r="AG247" s="37"/>
      <c r="AH247" s="37"/>
      <c r="AI247" s="37"/>
      <c r="AJ247" s="37"/>
      <c r="AK247" s="28"/>
      <c r="AL247" s="37"/>
      <c r="AM247" s="37"/>
      <c r="AN247" s="37"/>
      <c r="AO247" s="37"/>
      <c r="AP247" s="37"/>
      <c r="AQ247" s="29" t="s">
        <v>157</v>
      </c>
      <c r="AR247" s="90">
        <v>118.22</v>
      </c>
      <c r="AS247" s="27">
        <f t="shared" si="90"/>
        <v>266.26126126126127</v>
      </c>
      <c r="AT247" s="50" t="s">
        <v>175</v>
      </c>
      <c r="AU247" s="51">
        <v>10038568738414</v>
      </c>
      <c r="AV247" s="293">
        <v>12.87</v>
      </c>
      <c r="AW247" s="293">
        <v>4.87</v>
      </c>
      <c r="AX247" s="293">
        <v>11.14</v>
      </c>
      <c r="AY247" s="49"/>
      <c r="AZ247" s="49"/>
      <c r="BA247" s="49"/>
      <c r="BB247" s="438" t="s">
        <v>80</v>
      </c>
      <c r="BC247" s="438"/>
      <c r="BD247" s="438"/>
      <c r="BE247" s="438"/>
      <c r="BF247" s="438"/>
      <c r="BG247" s="295">
        <f>13.25+(0.153*2)</f>
        <v>13.555999999999999</v>
      </c>
      <c r="BH247" s="295">
        <f>6+(0.153*2)</f>
        <v>6.306</v>
      </c>
      <c r="BI247" s="295">
        <f>11.25+(0.153*4)</f>
        <v>11.862</v>
      </c>
      <c r="BJ247" s="291">
        <f t="shared" si="91"/>
        <v>0.58681297524999998</v>
      </c>
      <c r="BK247" s="294">
        <f>2.5+0.25</f>
        <v>2.75</v>
      </c>
      <c r="BL247" s="341"/>
      <c r="BM247" s="341"/>
      <c r="BN247" s="296" t="s">
        <v>68</v>
      </c>
      <c r="BO247" s="296">
        <v>1</v>
      </c>
      <c r="BP247" s="296">
        <v>18</v>
      </c>
      <c r="BQ247" s="296">
        <v>3</v>
      </c>
      <c r="BR247" s="32">
        <f t="shared" si="92"/>
        <v>54</v>
      </c>
      <c r="BS247" s="32">
        <f t="shared" si="93"/>
        <v>198.5</v>
      </c>
      <c r="BT247" s="296" t="s">
        <v>62</v>
      </c>
      <c r="BU247" s="32" t="s">
        <v>67</v>
      </c>
      <c r="BV247" s="92"/>
      <c r="BW247" s="92"/>
      <c r="BX247" s="92"/>
      <c r="BY247" s="15"/>
      <c r="BZ247" s="15"/>
      <c r="CA247" s="15"/>
      <c r="CB247" s="15"/>
      <c r="CC247" s="15"/>
      <c r="CD247" s="15"/>
      <c r="CE247" s="15"/>
      <c r="CF247" s="15"/>
    </row>
    <row r="248" spans="1:84" s="56" customFormat="1" ht="30" x14ac:dyDescent="0.25">
      <c r="A248" s="57">
        <v>42264</v>
      </c>
      <c r="B248" s="350" t="s">
        <v>14</v>
      </c>
      <c r="C248" s="296" t="s">
        <v>128</v>
      </c>
      <c r="D248" s="61" t="s">
        <v>73</v>
      </c>
      <c r="E248" s="45" t="s">
        <v>133</v>
      </c>
      <c r="F248" s="364" t="s">
        <v>3469</v>
      </c>
      <c r="G248" s="188" t="s">
        <v>2051</v>
      </c>
      <c r="H248" s="62" t="s">
        <v>165</v>
      </c>
      <c r="I248" s="37"/>
      <c r="J248" s="37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29" t="s">
        <v>138</v>
      </c>
      <c r="V248" s="41"/>
      <c r="W248" s="29"/>
      <c r="X248" s="41"/>
      <c r="Y248" s="29" t="s">
        <v>145</v>
      </c>
      <c r="Z248" s="41"/>
      <c r="AA248" s="296"/>
      <c r="AB248" s="29"/>
      <c r="AC248" s="37"/>
      <c r="AD248" s="37"/>
      <c r="AE248" s="37"/>
      <c r="AF248" s="37"/>
      <c r="AG248" s="37"/>
      <c r="AH248" s="37"/>
      <c r="AI248" s="37"/>
      <c r="AJ248" s="37"/>
      <c r="AK248" s="28"/>
      <c r="AL248" s="37"/>
      <c r="AM248" s="37"/>
      <c r="AN248" s="37"/>
      <c r="AO248" s="37"/>
      <c r="AP248" s="37"/>
      <c r="AQ248" s="29" t="s">
        <v>158</v>
      </c>
      <c r="AR248" s="90">
        <v>59.46</v>
      </c>
      <c r="AS248" s="27">
        <f t="shared" si="90"/>
        <v>133.91891891891891</v>
      </c>
      <c r="AT248" s="50" t="s">
        <v>176</v>
      </c>
      <c r="AU248" s="51">
        <v>10038568738551</v>
      </c>
      <c r="AV248" s="49"/>
      <c r="AW248" s="49"/>
      <c r="AX248" s="49"/>
      <c r="AY248" s="293">
        <v>5.94</v>
      </c>
      <c r="AZ248" s="293">
        <v>13.03</v>
      </c>
      <c r="BA248" s="49"/>
      <c r="BB248" s="438" t="s">
        <v>80</v>
      </c>
      <c r="BC248" s="438"/>
      <c r="BD248" s="438"/>
      <c r="BE248" s="438"/>
      <c r="BF248" s="438"/>
      <c r="BG248" s="295">
        <f>7+(0.153*2)</f>
        <v>7.306</v>
      </c>
      <c r="BH248" s="295">
        <f>7+(0.153*2)</f>
        <v>7.306</v>
      </c>
      <c r="BI248" s="295">
        <f>14.5+(0.153*4)</f>
        <v>15.112</v>
      </c>
      <c r="BJ248" s="291">
        <f t="shared" si="91"/>
        <v>0.46680719631481477</v>
      </c>
      <c r="BK248" s="294">
        <f>1.3+0.25</f>
        <v>1.55</v>
      </c>
      <c r="BL248" s="341"/>
      <c r="BM248" s="341"/>
      <c r="BN248" s="296" t="s">
        <v>68</v>
      </c>
      <c r="BO248" s="296">
        <v>1</v>
      </c>
      <c r="BP248" s="296">
        <v>30</v>
      </c>
      <c r="BQ248" s="296">
        <v>3</v>
      </c>
      <c r="BR248" s="32">
        <f t="shared" si="92"/>
        <v>90</v>
      </c>
      <c r="BS248" s="32">
        <f t="shared" si="93"/>
        <v>189.5</v>
      </c>
      <c r="BT248" s="296" t="s">
        <v>62</v>
      </c>
      <c r="BU248" s="32" t="s">
        <v>67</v>
      </c>
      <c r="BV248" s="92"/>
      <c r="BW248" s="92"/>
      <c r="BX248" s="92"/>
      <c r="BY248" s="15"/>
      <c r="BZ248" s="15"/>
      <c r="CA248" s="15"/>
      <c r="CB248" s="15"/>
      <c r="CC248" s="15"/>
      <c r="CD248" s="15"/>
      <c r="CE248" s="15"/>
      <c r="CF248" s="15"/>
    </row>
    <row r="249" spans="1:84" s="56" customFormat="1" x14ac:dyDescent="0.25">
      <c r="A249" s="57">
        <v>42264</v>
      </c>
      <c r="B249" s="350" t="s">
        <v>14</v>
      </c>
      <c r="C249" s="296" t="s">
        <v>129</v>
      </c>
      <c r="D249" s="61" t="s">
        <v>73</v>
      </c>
      <c r="E249" s="45" t="s">
        <v>133</v>
      </c>
      <c r="F249" s="364" t="s">
        <v>3470</v>
      </c>
      <c r="G249" s="188" t="s">
        <v>2051</v>
      </c>
      <c r="H249" s="62" t="s">
        <v>166</v>
      </c>
      <c r="I249" s="37" t="s">
        <v>51</v>
      </c>
      <c r="J249" s="37" t="s">
        <v>168</v>
      </c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29" t="s">
        <v>139</v>
      </c>
      <c r="V249" s="41"/>
      <c r="W249" s="29"/>
      <c r="X249" s="41"/>
      <c r="Y249" s="29" t="s">
        <v>146</v>
      </c>
      <c r="Z249" s="41"/>
      <c r="AA249" s="29" t="s">
        <v>151</v>
      </c>
      <c r="AB249" s="29" t="s">
        <v>167</v>
      </c>
      <c r="AC249" s="37"/>
      <c r="AD249" s="37"/>
      <c r="AE249" s="37"/>
      <c r="AF249" s="37"/>
      <c r="AG249" s="37"/>
      <c r="AH249" s="37"/>
      <c r="AI249" s="37"/>
      <c r="AJ249" s="37"/>
      <c r="AK249" s="28"/>
      <c r="AL249" s="37"/>
      <c r="AM249" s="37"/>
      <c r="AN249" s="37"/>
      <c r="AO249" s="37"/>
      <c r="AP249" s="37"/>
      <c r="AQ249" s="29" t="s">
        <v>159</v>
      </c>
      <c r="AR249" s="90">
        <v>131.29</v>
      </c>
      <c r="AS249" s="27">
        <f t="shared" si="90"/>
        <v>295.69819819819816</v>
      </c>
      <c r="AT249" s="50" t="s">
        <v>177</v>
      </c>
      <c r="AU249" s="51">
        <v>10038568738568</v>
      </c>
      <c r="AV249" s="293">
        <v>13.05</v>
      </c>
      <c r="AW249" s="293">
        <v>8.75</v>
      </c>
      <c r="AX249" s="293" t="s">
        <v>178</v>
      </c>
      <c r="AY249" s="49"/>
      <c r="AZ249" s="49"/>
      <c r="BA249" s="49"/>
      <c r="BB249" s="438" t="s">
        <v>80</v>
      </c>
      <c r="BC249" s="438"/>
      <c r="BD249" s="438"/>
      <c r="BE249" s="438"/>
      <c r="BF249" s="438"/>
      <c r="BG249" s="295">
        <f>12.75+(0.153*2)</f>
        <v>13.055999999999999</v>
      </c>
      <c r="BH249" s="295">
        <f>8.5+(0.153*2)</f>
        <v>8.8059999999999992</v>
      </c>
      <c r="BI249" s="295">
        <f>9.5+(0.153*4)</f>
        <v>10.112</v>
      </c>
      <c r="BJ249" s="291">
        <f t="shared" si="91"/>
        <v>0.67279405511111101</v>
      </c>
      <c r="BK249" s="294">
        <f>1.3+0.25</f>
        <v>1.55</v>
      </c>
      <c r="BL249" s="341"/>
      <c r="BM249" s="341"/>
      <c r="BN249" s="296" t="s">
        <v>68</v>
      </c>
      <c r="BO249" s="296">
        <v>1</v>
      </c>
      <c r="BP249" s="296">
        <v>15</v>
      </c>
      <c r="BQ249" s="296">
        <v>4</v>
      </c>
      <c r="BR249" s="32">
        <f t="shared" si="92"/>
        <v>60</v>
      </c>
      <c r="BS249" s="32">
        <f t="shared" si="93"/>
        <v>143</v>
      </c>
      <c r="BT249" s="296" t="s">
        <v>62</v>
      </c>
      <c r="BU249" s="32" t="s">
        <v>67</v>
      </c>
      <c r="BV249" s="92"/>
      <c r="BW249" s="92"/>
      <c r="BX249" s="92"/>
      <c r="BY249" s="15"/>
      <c r="BZ249" s="15"/>
      <c r="CA249" s="15"/>
      <c r="CB249" s="15"/>
      <c r="CC249" s="15"/>
      <c r="CD249" s="15"/>
      <c r="CE249" s="15"/>
      <c r="CF249" s="15"/>
    </row>
    <row r="250" spans="1:84" s="56" customFormat="1" ht="30" x14ac:dyDescent="0.25">
      <c r="A250" s="57">
        <v>42264</v>
      </c>
      <c r="B250" s="350" t="s">
        <v>14</v>
      </c>
      <c r="C250" s="296" t="s">
        <v>130</v>
      </c>
      <c r="D250" s="61" t="s">
        <v>73</v>
      </c>
      <c r="E250" s="45" t="s">
        <v>133</v>
      </c>
      <c r="F250" s="364" t="s">
        <v>3471</v>
      </c>
      <c r="G250" s="188" t="s">
        <v>2051</v>
      </c>
      <c r="H250" s="62" t="s">
        <v>169</v>
      </c>
      <c r="I250" s="37"/>
      <c r="J250" s="37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29" t="s">
        <v>140</v>
      </c>
      <c r="V250" s="41"/>
      <c r="W250" s="29"/>
      <c r="X250" s="41"/>
      <c r="Y250" s="29" t="s">
        <v>147</v>
      </c>
      <c r="Z250" s="41"/>
      <c r="AA250" s="29"/>
      <c r="AB250" s="28"/>
      <c r="AC250" s="37"/>
      <c r="AD250" s="37"/>
      <c r="AE250" s="37"/>
      <c r="AF250" s="37"/>
      <c r="AG250" s="37"/>
      <c r="AH250" s="37"/>
      <c r="AI250" s="37"/>
      <c r="AJ250" s="37"/>
      <c r="AK250" s="28"/>
      <c r="AL250" s="37"/>
      <c r="AM250" s="37"/>
      <c r="AN250" s="37"/>
      <c r="AO250" s="37"/>
      <c r="AP250" s="37"/>
      <c r="AQ250" s="29" t="s">
        <v>160</v>
      </c>
      <c r="AR250" s="90">
        <v>128.28</v>
      </c>
      <c r="AS250" s="27">
        <f t="shared" si="90"/>
        <v>288.91891891891891</v>
      </c>
      <c r="AT250" s="50" t="s">
        <v>179</v>
      </c>
      <c r="AU250" s="51">
        <v>10038568739794</v>
      </c>
      <c r="AV250" s="293">
        <v>10.33</v>
      </c>
      <c r="AW250" s="293">
        <v>10.33</v>
      </c>
      <c r="AX250" s="293">
        <v>9.16</v>
      </c>
      <c r="AY250" s="49"/>
      <c r="AZ250" s="49"/>
      <c r="BA250" s="49"/>
      <c r="BB250" s="438" t="s">
        <v>80</v>
      </c>
      <c r="BC250" s="438"/>
      <c r="BD250" s="438"/>
      <c r="BE250" s="438"/>
      <c r="BF250" s="438"/>
      <c r="BG250" s="295">
        <f>6.5+(0.153*2)</f>
        <v>6.806</v>
      </c>
      <c r="BH250" s="295">
        <f>6.5+(0.153*2)</f>
        <v>6.806</v>
      </c>
      <c r="BI250" s="295">
        <f>5.5+(0.153*4)</f>
        <v>6.1120000000000001</v>
      </c>
      <c r="BJ250" s="291">
        <f t="shared" si="91"/>
        <v>0.16384134214814813</v>
      </c>
      <c r="BK250" s="294">
        <f>3+0.25</f>
        <v>3.25</v>
      </c>
      <c r="BL250" s="341"/>
      <c r="BM250" s="341"/>
      <c r="BN250" s="296" t="s">
        <v>68</v>
      </c>
      <c r="BO250" s="296">
        <v>1</v>
      </c>
      <c r="BP250" s="296">
        <v>12</v>
      </c>
      <c r="BQ250" s="296">
        <v>4</v>
      </c>
      <c r="BR250" s="32">
        <f t="shared" si="92"/>
        <v>48</v>
      </c>
      <c r="BS250" s="32">
        <f t="shared" si="93"/>
        <v>206</v>
      </c>
      <c r="BT250" s="296" t="s">
        <v>62</v>
      </c>
      <c r="BU250" s="32" t="s">
        <v>67</v>
      </c>
      <c r="BV250" s="92"/>
      <c r="BW250" s="92"/>
      <c r="BX250" s="92"/>
      <c r="BY250" s="15"/>
      <c r="BZ250" s="15"/>
      <c r="CA250" s="15"/>
      <c r="CB250" s="15"/>
      <c r="CC250" s="15"/>
      <c r="CD250" s="15"/>
      <c r="CE250" s="15"/>
      <c r="CF250" s="15"/>
    </row>
    <row r="251" spans="1:84" s="56" customFormat="1" x14ac:dyDescent="0.25">
      <c r="A251" s="57">
        <v>42264</v>
      </c>
      <c r="B251" s="350" t="s">
        <v>14</v>
      </c>
      <c r="C251" s="296" t="s">
        <v>131</v>
      </c>
      <c r="D251" s="61" t="s">
        <v>73</v>
      </c>
      <c r="E251" s="45" t="s">
        <v>133</v>
      </c>
      <c r="F251" s="61" t="s">
        <v>3472</v>
      </c>
      <c r="G251" s="188" t="s">
        <v>2051</v>
      </c>
      <c r="H251" s="62" t="s">
        <v>170</v>
      </c>
      <c r="I251" s="37" t="s">
        <v>70</v>
      </c>
      <c r="J251" s="37" t="s">
        <v>171</v>
      </c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29" t="s">
        <v>141</v>
      </c>
      <c r="V251" s="41"/>
      <c r="W251" s="29"/>
      <c r="X251" s="41"/>
      <c r="Y251" s="29"/>
      <c r="Z251" s="41"/>
      <c r="AA251" s="29" t="s">
        <v>152</v>
      </c>
      <c r="AB251" s="296" t="s">
        <v>154</v>
      </c>
      <c r="AC251" s="37"/>
      <c r="AD251" s="37"/>
      <c r="AE251" s="37"/>
      <c r="AF251" s="37"/>
      <c r="AG251" s="37"/>
      <c r="AH251" s="37"/>
      <c r="AI251" s="37"/>
      <c r="AJ251" s="37"/>
      <c r="AK251" s="28"/>
      <c r="AL251" s="37"/>
      <c r="AM251" s="37"/>
      <c r="AN251" s="37"/>
      <c r="AO251" s="37"/>
      <c r="AP251" s="37"/>
      <c r="AQ251" s="296">
        <v>24469</v>
      </c>
      <c r="AR251" s="90">
        <v>45.79</v>
      </c>
      <c r="AS251" s="27">
        <f t="shared" si="90"/>
        <v>103.13063063063063</v>
      </c>
      <c r="AT251" s="50" t="s">
        <v>180</v>
      </c>
      <c r="AU251" s="51">
        <v>10038568742138</v>
      </c>
      <c r="AV251" s="293">
        <v>8.86</v>
      </c>
      <c r="AW251" s="293">
        <v>6.5350000000000001</v>
      </c>
      <c r="AX251" s="293">
        <v>1.988</v>
      </c>
      <c r="AY251" s="49"/>
      <c r="AZ251" s="49"/>
      <c r="BA251" s="49"/>
      <c r="BB251" s="294">
        <f>8.86</f>
        <v>8.86</v>
      </c>
      <c r="BC251" s="294">
        <f>6.54</f>
        <v>6.54</v>
      </c>
      <c r="BD251" s="294">
        <f>1.99</f>
        <v>1.99</v>
      </c>
      <c r="BE251" s="291">
        <f t="shared" ref="BE251" si="97">(BD251*BC251*BB251)/1728</f>
        <v>6.6729951388888889E-2</v>
      </c>
      <c r="BF251" s="294">
        <f>1.2+0.1</f>
        <v>1.3</v>
      </c>
      <c r="BG251" s="294">
        <f>10+(0.153*2)</f>
        <v>10.305999999999999</v>
      </c>
      <c r="BH251" s="294">
        <f>7.5+(0.153*2)</f>
        <v>7.806</v>
      </c>
      <c r="BI251" s="294">
        <f>6.62+(0.153*4)</f>
        <v>7.2320000000000002</v>
      </c>
      <c r="BJ251" s="291">
        <f t="shared" si="91"/>
        <v>0.3366924395555555</v>
      </c>
      <c r="BK251" s="294">
        <f>(BF251*3)+0.25</f>
        <v>4.1500000000000004</v>
      </c>
      <c r="BL251" s="341"/>
      <c r="BM251" s="341"/>
      <c r="BN251" s="52" t="s">
        <v>68</v>
      </c>
      <c r="BO251" s="52">
        <v>3</v>
      </c>
      <c r="BP251" s="52">
        <v>22</v>
      </c>
      <c r="BQ251" s="52">
        <v>6</v>
      </c>
      <c r="BR251" s="32">
        <f t="shared" si="92"/>
        <v>396</v>
      </c>
      <c r="BS251" s="32">
        <f>(BK251*BP251*BQ251)+50</f>
        <v>597.80000000000007</v>
      </c>
      <c r="BT251" s="52" t="s">
        <v>69</v>
      </c>
      <c r="BU251" s="32" t="s">
        <v>67</v>
      </c>
      <c r="BV251" s="92"/>
      <c r="BW251" s="92"/>
      <c r="BX251" s="92"/>
      <c r="BY251" s="15"/>
      <c r="BZ251" s="15"/>
      <c r="CA251" s="15"/>
      <c r="CB251" s="15"/>
      <c r="CC251" s="15"/>
      <c r="CD251" s="15"/>
      <c r="CE251" s="15"/>
      <c r="CF251" s="15"/>
    </row>
    <row r="252" spans="1:84" s="56" customFormat="1" ht="30" x14ac:dyDescent="0.25">
      <c r="A252" s="57">
        <v>42264</v>
      </c>
      <c r="B252" s="350" t="s">
        <v>14</v>
      </c>
      <c r="C252" s="296" t="s">
        <v>118</v>
      </c>
      <c r="D252" s="61" t="s">
        <v>73</v>
      </c>
      <c r="E252" s="45" t="s">
        <v>84</v>
      </c>
      <c r="F252" s="365" t="s">
        <v>3473</v>
      </c>
      <c r="G252" s="188" t="s">
        <v>2051</v>
      </c>
      <c r="H252" s="62" t="s">
        <v>122</v>
      </c>
      <c r="I252" s="37" t="s">
        <v>119</v>
      </c>
      <c r="J252" s="37" t="s">
        <v>123</v>
      </c>
      <c r="K252" s="29"/>
      <c r="L252" s="30"/>
      <c r="M252" s="30"/>
      <c r="N252" s="30"/>
      <c r="O252" s="80"/>
      <c r="P252" s="80"/>
      <c r="Q252" s="80"/>
      <c r="R252" s="80"/>
      <c r="S252" s="80"/>
      <c r="T252" s="80"/>
      <c r="U252" s="29"/>
      <c r="V252" s="41"/>
      <c r="W252" s="29"/>
      <c r="X252" s="41"/>
      <c r="Y252" s="29"/>
      <c r="Z252" s="41"/>
      <c r="AA252" s="29"/>
      <c r="AB252" s="29"/>
      <c r="AC252" s="37"/>
      <c r="AD252" s="37"/>
      <c r="AE252" s="37"/>
      <c r="AF252" s="37"/>
      <c r="AG252" s="37"/>
      <c r="AH252" s="37"/>
      <c r="AI252" s="37"/>
      <c r="AJ252" s="37"/>
      <c r="AK252" s="28"/>
      <c r="AL252" s="37"/>
      <c r="AM252" s="37"/>
      <c r="AN252" s="37"/>
      <c r="AO252" s="37"/>
      <c r="AP252" s="37"/>
      <c r="AQ252" s="29"/>
      <c r="AR252" s="90">
        <v>9.8699999999999992</v>
      </c>
      <c r="AS252" s="27">
        <f t="shared" si="90"/>
        <v>22.229729729729726</v>
      </c>
      <c r="AT252" s="50" t="s">
        <v>120</v>
      </c>
      <c r="AU252" s="51">
        <v>10038568738223</v>
      </c>
      <c r="AV252" s="44"/>
      <c r="AW252" s="44"/>
      <c r="AX252" s="44"/>
      <c r="AY252" s="293">
        <v>2.9820000000000002</v>
      </c>
      <c r="AZ252" s="293">
        <v>3.9359999999999999</v>
      </c>
      <c r="BA252" s="293">
        <v>2.39</v>
      </c>
      <c r="BB252" s="439" t="s">
        <v>121</v>
      </c>
      <c r="BC252" s="440"/>
      <c r="BD252" s="440"/>
      <c r="BE252" s="440"/>
      <c r="BF252" s="295">
        <f>0.84+0.1</f>
        <v>0.94</v>
      </c>
      <c r="BG252" s="295">
        <f>10.5+(0.125*2)</f>
        <v>10.75</v>
      </c>
      <c r="BH252" s="295">
        <f>7+(0.125*2)</f>
        <v>7.25</v>
      </c>
      <c r="BI252" s="295">
        <f>4.12+(0.125*4)</f>
        <v>4.62</v>
      </c>
      <c r="BJ252" s="291">
        <f t="shared" si="91"/>
        <v>0.2083745659722222</v>
      </c>
      <c r="BK252" s="294">
        <f>(BF252*6)+0.25</f>
        <v>5.89</v>
      </c>
      <c r="BL252" s="341"/>
      <c r="BM252" s="341"/>
      <c r="BN252" s="296" t="s">
        <v>68</v>
      </c>
      <c r="BO252" s="296">
        <v>6</v>
      </c>
      <c r="BP252" s="296">
        <v>22</v>
      </c>
      <c r="BQ252" s="296">
        <v>9</v>
      </c>
      <c r="BR252" s="32">
        <f t="shared" si="92"/>
        <v>1188</v>
      </c>
      <c r="BS252" s="32">
        <f t="shared" ref="BS252:BS257" si="98">(BK252*BP252*BQ252)+50</f>
        <v>1216.2199999999998</v>
      </c>
      <c r="BT252" s="296" t="s">
        <v>62</v>
      </c>
      <c r="BU252" s="32" t="s">
        <v>67</v>
      </c>
      <c r="BV252" s="92"/>
      <c r="BW252" s="92"/>
      <c r="BX252" s="92"/>
      <c r="BY252" s="15"/>
      <c r="BZ252" s="15"/>
      <c r="CA252" s="15"/>
      <c r="CB252" s="15"/>
      <c r="CC252" s="15"/>
      <c r="CD252" s="15"/>
      <c r="CE252" s="15"/>
      <c r="CF252" s="15"/>
    </row>
    <row r="253" spans="1:84" s="56" customFormat="1" ht="30" x14ac:dyDescent="0.25">
      <c r="A253" s="57">
        <v>42264</v>
      </c>
      <c r="B253" s="350" t="s">
        <v>14</v>
      </c>
      <c r="C253" s="45" t="s">
        <v>3411</v>
      </c>
      <c r="D253" s="61" t="s">
        <v>73</v>
      </c>
      <c r="E253" s="45" t="s">
        <v>3410</v>
      </c>
      <c r="F253" s="36" t="s">
        <v>3474</v>
      </c>
      <c r="G253" s="188" t="s">
        <v>2051</v>
      </c>
      <c r="H253" s="358" t="s">
        <v>3412</v>
      </c>
      <c r="I253" s="37"/>
      <c r="J253" s="37"/>
      <c r="K253" s="29"/>
      <c r="L253" s="30"/>
      <c r="M253" s="30"/>
      <c r="N253" s="30">
        <v>76086226</v>
      </c>
      <c r="O253" s="80"/>
      <c r="P253" s="80"/>
      <c r="Q253" s="80"/>
      <c r="R253" s="80"/>
      <c r="S253" s="80"/>
      <c r="T253" s="80"/>
      <c r="U253" s="29" t="s">
        <v>112</v>
      </c>
      <c r="V253" s="41"/>
      <c r="W253" s="29"/>
      <c r="X253" s="41"/>
      <c r="Y253" s="29" t="s">
        <v>113</v>
      </c>
      <c r="Z253" s="41"/>
      <c r="AA253" s="29" t="s">
        <v>114</v>
      </c>
      <c r="AB253" s="29"/>
      <c r="AC253" s="37"/>
      <c r="AD253" s="37"/>
      <c r="AE253" s="37"/>
      <c r="AF253" s="37"/>
      <c r="AG253" s="37"/>
      <c r="AH253" s="37"/>
      <c r="AI253" s="37"/>
      <c r="AJ253" s="37"/>
      <c r="AK253" s="28"/>
      <c r="AL253" s="37"/>
      <c r="AM253" s="37"/>
      <c r="AN253" s="37"/>
      <c r="AO253" s="37"/>
      <c r="AP253" s="37"/>
      <c r="AQ253" s="29" t="s">
        <v>115</v>
      </c>
      <c r="AR253" s="38">
        <v>99.85</v>
      </c>
      <c r="AS253" s="27">
        <f t="shared" si="90"/>
        <v>224.88738738738738</v>
      </c>
      <c r="AT253" s="50" t="s">
        <v>116</v>
      </c>
      <c r="AU253" s="51">
        <v>10038568737981</v>
      </c>
      <c r="AV253" s="44"/>
      <c r="AW253" s="44"/>
      <c r="AX253" s="44"/>
      <c r="AY253" s="291">
        <v>3.75</v>
      </c>
      <c r="AZ253" s="291">
        <v>7.21</v>
      </c>
      <c r="BA253" s="49"/>
      <c r="BB253" s="295">
        <f>4.1875+(0.0625*2)</f>
        <v>4.3125</v>
      </c>
      <c r="BC253" s="295">
        <f>4.1875+(0.0625*2)</f>
        <v>4.3125</v>
      </c>
      <c r="BD253" s="295">
        <f>7.625+(0.0625*4)</f>
        <v>7.875</v>
      </c>
      <c r="BE253" s="291">
        <f t="shared" ref="BE253:BE256" si="99">(BD253*BC253*BB253)/1728</f>
        <v>8.475494384765625E-2</v>
      </c>
      <c r="BF253" s="295">
        <f>2.35+0.1</f>
        <v>2.4500000000000002</v>
      </c>
      <c r="BG253" s="294">
        <f>13.375+(0.125*2)</f>
        <v>13.625</v>
      </c>
      <c r="BH253" s="294">
        <f>8.9475+(0.125*2)</f>
        <v>9.1974999999999998</v>
      </c>
      <c r="BI253" s="294">
        <f>8.125+(0.125*4)</f>
        <v>8.625</v>
      </c>
      <c r="BJ253" s="291">
        <f t="shared" si="91"/>
        <v>0.6254918755425346</v>
      </c>
      <c r="BK253" s="294">
        <f>(BF253*6)+0.25</f>
        <v>14.950000000000001</v>
      </c>
      <c r="BL253" s="341"/>
      <c r="BM253" s="341"/>
      <c r="BN253" s="296" t="s">
        <v>68</v>
      </c>
      <c r="BO253" s="296">
        <v>6</v>
      </c>
      <c r="BP253" s="296">
        <v>13</v>
      </c>
      <c r="BQ253" s="296">
        <v>5</v>
      </c>
      <c r="BR253" s="32">
        <f t="shared" si="92"/>
        <v>390</v>
      </c>
      <c r="BS253" s="32">
        <f t="shared" si="98"/>
        <v>1021.7500000000001</v>
      </c>
      <c r="BT253" s="32" t="s">
        <v>62</v>
      </c>
      <c r="BU253" s="32" t="s">
        <v>67</v>
      </c>
      <c r="BV253" s="92"/>
      <c r="BW253" s="92"/>
      <c r="BX253" s="92"/>
      <c r="BY253" s="15"/>
      <c r="BZ253" s="15"/>
      <c r="CA253" s="15"/>
      <c r="CB253" s="15"/>
      <c r="CC253" s="15"/>
      <c r="CD253" s="15"/>
      <c r="CE253" s="15"/>
      <c r="CF253" s="15"/>
    </row>
    <row r="254" spans="1:84" s="56" customFormat="1" x14ac:dyDescent="0.25">
      <c r="A254" s="57">
        <v>42264</v>
      </c>
      <c r="B254" s="350" t="s">
        <v>14</v>
      </c>
      <c r="C254" s="45" t="s">
        <v>104</v>
      </c>
      <c r="D254" s="45" t="s">
        <v>73</v>
      </c>
      <c r="E254" s="45" t="s">
        <v>86</v>
      </c>
      <c r="F254" s="36" t="s">
        <v>3475</v>
      </c>
      <c r="G254" s="188" t="s">
        <v>2051</v>
      </c>
      <c r="H254" s="62" t="s">
        <v>106</v>
      </c>
      <c r="I254" s="37" t="s">
        <v>65</v>
      </c>
      <c r="J254" s="37" t="s">
        <v>110</v>
      </c>
      <c r="K254" s="29" t="s">
        <v>111</v>
      </c>
      <c r="L254" s="30">
        <v>12065155020</v>
      </c>
      <c r="M254" s="80"/>
      <c r="N254" s="80"/>
      <c r="O254" s="80"/>
      <c r="P254" s="80"/>
      <c r="Q254" s="80"/>
      <c r="R254" s="80"/>
      <c r="S254" s="80"/>
      <c r="T254" s="80"/>
      <c r="U254" s="29"/>
      <c r="V254" s="41"/>
      <c r="W254" s="29"/>
      <c r="X254" s="41"/>
      <c r="Y254" s="29"/>
      <c r="Z254" s="41"/>
      <c r="AA254" s="29" t="s">
        <v>107</v>
      </c>
      <c r="AB254" s="29" t="s">
        <v>108</v>
      </c>
      <c r="AC254" s="37"/>
      <c r="AD254" s="37"/>
      <c r="AE254" s="37"/>
      <c r="AF254" s="37"/>
      <c r="AG254" s="37"/>
      <c r="AH254" s="37" t="s">
        <v>109</v>
      </c>
      <c r="AI254" s="37"/>
      <c r="AJ254" s="37"/>
      <c r="AK254" s="28"/>
      <c r="AL254" s="37"/>
      <c r="AM254" s="37"/>
      <c r="AN254" s="37"/>
      <c r="AO254" s="37"/>
      <c r="AP254" s="37"/>
      <c r="AQ254" s="29"/>
      <c r="AR254" s="38">
        <v>66</v>
      </c>
      <c r="AS254" s="27">
        <f t="shared" si="90"/>
        <v>148.64864864864865</v>
      </c>
      <c r="AT254" s="50" t="s">
        <v>105</v>
      </c>
      <c r="AU254" s="51">
        <v>10038568738506</v>
      </c>
      <c r="AV254" s="44"/>
      <c r="AW254" s="44"/>
      <c r="AX254" s="44"/>
      <c r="AY254" s="94">
        <v>4.2300000000000004</v>
      </c>
      <c r="AZ254" s="94">
        <v>5.8</v>
      </c>
      <c r="BA254" s="49"/>
      <c r="BB254" s="291">
        <f>4.25+(0.018*2)</f>
        <v>4.2859999999999996</v>
      </c>
      <c r="BC254" s="291">
        <f>4.25+(0.018*2)</f>
        <v>4.2859999999999996</v>
      </c>
      <c r="BD254" s="291">
        <f>6+(0.018*4)</f>
        <v>6.0720000000000001</v>
      </c>
      <c r="BE254" s="291">
        <f t="shared" si="99"/>
        <v>6.4549422055555541E-2</v>
      </c>
      <c r="BF254" s="291">
        <f>1.7+0.1</f>
        <v>1.8</v>
      </c>
      <c r="BG254" s="295">
        <f>18+(0.153*2)</f>
        <v>18.306000000000001</v>
      </c>
      <c r="BH254" s="295">
        <f>13.5+(0.153*2)</f>
        <v>13.805999999999999</v>
      </c>
      <c r="BI254" s="295">
        <f>6.25+(0.153*4)</f>
        <v>6.8620000000000001</v>
      </c>
      <c r="BJ254" s="291">
        <f t="shared" si="91"/>
        <v>1.0036176783749999</v>
      </c>
      <c r="BK254" s="294">
        <f>(BF254*6)+0.25</f>
        <v>11.05</v>
      </c>
      <c r="BL254" s="341"/>
      <c r="BM254" s="341"/>
      <c r="BN254" s="296" t="s">
        <v>64</v>
      </c>
      <c r="BO254" s="296">
        <v>12</v>
      </c>
      <c r="BP254" s="296">
        <v>6</v>
      </c>
      <c r="BQ254" s="296">
        <v>6</v>
      </c>
      <c r="BR254" s="32">
        <f t="shared" si="92"/>
        <v>432</v>
      </c>
      <c r="BS254" s="32">
        <f t="shared" si="98"/>
        <v>447.80000000000007</v>
      </c>
      <c r="BT254" s="296" t="s">
        <v>62</v>
      </c>
      <c r="BU254" s="32" t="s">
        <v>67</v>
      </c>
      <c r="BV254" s="92"/>
      <c r="BW254" s="92"/>
      <c r="BX254" s="92"/>
      <c r="BY254" s="15"/>
      <c r="BZ254" s="15"/>
      <c r="CA254" s="15"/>
      <c r="CB254" s="15"/>
      <c r="CC254" s="15"/>
      <c r="CD254" s="15"/>
      <c r="CE254" s="15"/>
      <c r="CF254" s="15"/>
    </row>
    <row r="255" spans="1:84" s="56" customFormat="1" x14ac:dyDescent="0.25">
      <c r="A255" s="57">
        <v>42264</v>
      </c>
      <c r="B255" s="350" t="s">
        <v>14</v>
      </c>
      <c r="C255" s="45" t="s">
        <v>95</v>
      </c>
      <c r="D255" s="45" t="s">
        <v>73</v>
      </c>
      <c r="E255" s="45" t="s">
        <v>85</v>
      </c>
      <c r="F255" s="29" t="s">
        <v>3476</v>
      </c>
      <c r="G255" s="188" t="s">
        <v>2051</v>
      </c>
      <c r="H255" s="62" t="s">
        <v>92</v>
      </c>
      <c r="I255" s="37"/>
      <c r="J255" s="37"/>
      <c r="K255" s="29"/>
      <c r="L255" s="30"/>
      <c r="M255" s="80"/>
      <c r="N255" s="80"/>
      <c r="O255" s="80"/>
      <c r="P255" s="80"/>
      <c r="Q255" s="80"/>
      <c r="R255" s="80"/>
      <c r="S255" s="80"/>
      <c r="T255" s="80"/>
      <c r="U255" s="29" t="s">
        <v>93</v>
      </c>
      <c r="V255" s="41"/>
      <c r="W255" s="29"/>
      <c r="X255" s="41"/>
      <c r="Y255" s="29" t="s">
        <v>94</v>
      </c>
      <c r="Z255" s="41"/>
      <c r="AA255" s="29"/>
      <c r="AB255" s="29"/>
      <c r="AC255" s="37"/>
      <c r="AD255" s="37"/>
      <c r="AE255" s="37"/>
      <c r="AF255" s="37"/>
      <c r="AG255" s="37"/>
      <c r="AH255" s="37"/>
      <c r="AI255" s="37"/>
      <c r="AJ255" s="37"/>
      <c r="AK255" s="28"/>
      <c r="AL255" s="37"/>
      <c r="AM255" s="37"/>
      <c r="AN255" s="37"/>
      <c r="AO255" s="37"/>
      <c r="AP255" s="37"/>
      <c r="AQ255" s="29" t="s">
        <v>96</v>
      </c>
      <c r="AR255" s="38">
        <v>19.29</v>
      </c>
      <c r="AS255" s="27">
        <f t="shared" si="90"/>
        <v>43.445945945945944</v>
      </c>
      <c r="AT255" s="46" t="s">
        <v>102</v>
      </c>
      <c r="AU255" s="47">
        <v>10038568737615</v>
      </c>
      <c r="AV255" s="293">
        <v>7.87</v>
      </c>
      <c r="AW255" s="293">
        <v>8.0299999999999994</v>
      </c>
      <c r="AX255" s="293">
        <v>0.79</v>
      </c>
      <c r="AY255" s="49"/>
      <c r="AZ255" s="49"/>
      <c r="BA255" s="49"/>
      <c r="BB255" s="291">
        <f>8.07+(0.02*2)</f>
        <v>8.11</v>
      </c>
      <c r="BC255" s="291">
        <f>0.98+(0.02*2)</f>
        <v>1.02</v>
      </c>
      <c r="BD255" s="291">
        <f>8.27+(0.02*4)</f>
        <v>8.35</v>
      </c>
      <c r="BE255" s="291">
        <f t="shared" si="99"/>
        <v>3.997272569444444E-2</v>
      </c>
      <c r="BF255" s="291">
        <f>0.33+0.1</f>
        <v>0.43000000000000005</v>
      </c>
      <c r="BG255" s="295">
        <f>8.66+(0.125*2)</f>
        <v>8.91</v>
      </c>
      <c r="BH255" s="295">
        <f>8.46+(0.125*2)</f>
        <v>8.7100000000000009</v>
      </c>
      <c r="BI255" s="295">
        <f>6.5+(0.125*4)</f>
        <v>7</v>
      </c>
      <c r="BJ255" s="291">
        <f t="shared" si="91"/>
        <v>0.31437656250000001</v>
      </c>
      <c r="BK255" s="294">
        <f>(BF255*6)+0.25</f>
        <v>2.83</v>
      </c>
      <c r="BL255" s="341"/>
      <c r="BM255" s="341"/>
      <c r="BN255" s="296" t="s">
        <v>64</v>
      </c>
      <c r="BO255" s="296">
        <v>6</v>
      </c>
      <c r="BP255" s="296">
        <v>20</v>
      </c>
      <c r="BQ255" s="296">
        <v>7</v>
      </c>
      <c r="BR255" s="32">
        <f t="shared" si="92"/>
        <v>840</v>
      </c>
      <c r="BS255" s="32">
        <f t="shared" si="98"/>
        <v>446.2</v>
      </c>
      <c r="BT255" s="296" t="s">
        <v>69</v>
      </c>
      <c r="BU255" s="32" t="s">
        <v>67</v>
      </c>
      <c r="BV255" s="92"/>
      <c r="BW255" s="92"/>
      <c r="BX255" s="92"/>
      <c r="BY255" s="15"/>
      <c r="BZ255" s="15"/>
      <c r="CA255" s="15"/>
      <c r="CB255" s="15"/>
      <c r="CC255" s="15"/>
      <c r="CD255" s="15"/>
      <c r="CE255" s="15"/>
      <c r="CF255" s="15"/>
    </row>
    <row r="256" spans="1:84" s="56" customFormat="1" ht="30" x14ac:dyDescent="0.25">
      <c r="A256" s="57">
        <v>42264</v>
      </c>
      <c r="B256" s="350" t="s">
        <v>14</v>
      </c>
      <c r="C256" s="45" t="s">
        <v>97</v>
      </c>
      <c r="D256" s="45" t="s">
        <v>73</v>
      </c>
      <c r="E256" s="45" t="s">
        <v>85</v>
      </c>
      <c r="F256" s="30" t="s">
        <v>3477</v>
      </c>
      <c r="G256" s="188" t="s">
        <v>2051</v>
      </c>
      <c r="H256" s="62" t="s">
        <v>101</v>
      </c>
      <c r="I256" s="37"/>
      <c r="J256" s="37"/>
      <c r="K256" s="29"/>
      <c r="L256" s="30"/>
      <c r="M256" s="80"/>
      <c r="N256" s="80"/>
      <c r="O256" s="80"/>
      <c r="P256" s="80"/>
      <c r="Q256" s="80"/>
      <c r="R256" s="80"/>
      <c r="S256" s="80"/>
      <c r="T256" s="80"/>
      <c r="U256" s="29" t="s">
        <v>98</v>
      </c>
      <c r="V256" s="41"/>
      <c r="W256" s="29"/>
      <c r="X256" s="41"/>
      <c r="Y256" s="29" t="s">
        <v>99</v>
      </c>
      <c r="Z256" s="41"/>
      <c r="AA256" s="29" t="s">
        <v>100</v>
      </c>
      <c r="AB256" s="29"/>
      <c r="AC256" s="37"/>
      <c r="AD256" s="37"/>
      <c r="AE256" s="37"/>
      <c r="AF256" s="37"/>
      <c r="AG256" s="37"/>
      <c r="AH256" s="37"/>
      <c r="AI256" s="37"/>
      <c r="AJ256" s="37"/>
      <c r="AK256" s="28"/>
      <c r="AL256" s="37"/>
      <c r="AM256" s="37"/>
      <c r="AN256" s="37"/>
      <c r="AO256" s="37"/>
      <c r="AP256" s="37"/>
      <c r="AQ256" s="29">
        <v>49980</v>
      </c>
      <c r="AR256" s="38">
        <v>50.91</v>
      </c>
      <c r="AS256" s="27">
        <f t="shared" si="90"/>
        <v>114.66216216216215</v>
      </c>
      <c r="AT256" s="40" t="s">
        <v>103</v>
      </c>
      <c r="AU256" s="300">
        <v>10038568737851</v>
      </c>
      <c r="AV256" s="293">
        <v>19.84</v>
      </c>
      <c r="AW256" s="293">
        <v>2.34</v>
      </c>
      <c r="AX256" s="293">
        <v>11.26</v>
      </c>
      <c r="AY256" s="49"/>
      <c r="AZ256" s="49"/>
      <c r="BA256" s="49"/>
      <c r="BB256" s="291">
        <f>19.92+(0.02*2)</f>
        <v>19.96</v>
      </c>
      <c r="BC256" s="291">
        <f>11.42+(0.02*2)</f>
        <v>11.459999999999999</v>
      </c>
      <c r="BD256" s="291">
        <f>2.36+(0.02*4)</f>
        <v>2.44</v>
      </c>
      <c r="BE256" s="291">
        <f t="shared" si="99"/>
        <v>0.32299161111111113</v>
      </c>
      <c r="BF256" s="291">
        <f>1.4+0.1</f>
        <v>1.5</v>
      </c>
      <c r="BG256" s="295">
        <f>20.31+(0.125*2)</f>
        <v>20.56</v>
      </c>
      <c r="BH256" s="295">
        <f>11.81+(0.125*2)</f>
        <v>12.06</v>
      </c>
      <c r="BI256" s="295">
        <f>14.76+(0.125*4)</f>
        <v>15.26</v>
      </c>
      <c r="BJ256" s="291">
        <f t="shared" si="91"/>
        <v>2.1896828333333334</v>
      </c>
      <c r="BK256" s="294">
        <f>(BF256*6)+0.25</f>
        <v>9.25</v>
      </c>
      <c r="BL256" s="341"/>
      <c r="BM256" s="341"/>
      <c r="BN256" s="296" t="s">
        <v>64</v>
      </c>
      <c r="BO256" s="296">
        <v>6</v>
      </c>
      <c r="BP256" s="296">
        <v>6</v>
      </c>
      <c r="BQ256" s="296">
        <v>3</v>
      </c>
      <c r="BR256" s="32">
        <f t="shared" si="92"/>
        <v>108</v>
      </c>
      <c r="BS256" s="32">
        <f t="shared" si="98"/>
        <v>216.5</v>
      </c>
      <c r="BT256" s="296" t="s">
        <v>69</v>
      </c>
      <c r="BU256" s="32" t="s">
        <v>67</v>
      </c>
      <c r="BV256" s="92"/>
      <c r="BW256" s="92"/>
      <c r="BX256" s="92"/>
      <c r="BY256" s="15"/>
      <c r="BZ256" s="15"/>
      <c r="CA256" s="15"/>
      <c r="CB256" s="15"/>
      <c r="CC256" s="15"/>
      <c r="CD256" s="15"/>
      <c r="CE256" s="15"/>
      <c r="CF256" s="15"/>
    </row>
    <row r="257" spans="1:84" s="56" customFormat="1" x14ac:dyDescent="0.25">
      <c r="A257" s="57">
        <v>42264</v>
      </c>
      <c r="B257" s="350" t="s">
        <v>14</v>
      </c>
      <c r="C257" s="45" t="s">
        <v>1019</v>
      </c>
      <c r="D257" s="45" t="s">
        <v>73</v>
      </c>
      <c r="E257" s="45" t="s">
        <v>78</v>
      </c>
      <c r="F257" s="64" t="s">
        <v>3478</v>
      </c>
      <c r="G257" s="188" t="s">
        <v>2051</v>
      </c>
      <c r="H257" s="62" t="s">
        <v>1021</v>
      </c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38">
        <v>19.98</v>
      </c>
      <c r="AS257" s="27">
        <f t="shared" si="90"/>
        <v>45</v>
      </c>
      <c r="AT257" s="31" t="s">
        <v>1022</v>
      </c>
      <c r="AU257" s="31" t="s">
        <v>1023</v>
      </c>
      <c r="AV257" s="44"/>
      <c r="AW257" s="44"/>
      <c r="AX257" s="44"/>
      <c r="AY257" s="291">
        <v>3.65</v>
      </c>
      <c r="AZ257" s="291">
        <v>6.48</v>
      </c>
      <c r="BA257" s="44"/>
      <c r="BB257" s="432" t="s">
        <v>1024</v>
      </c>
      <c r="BC257" s="432"/>
      <c r="BD257" s="432"/>
      <c r="BE257" s="432"/>
      <c r="BF257" s="432"/>
      <c r="BG257" s="295">
        <v>15.81</v>
      </c>
      <c r="BH257" s="295">
        <v>11.93</v>
      </c>
      <c r="BI257" s="295">
        <v>7.5</v>
      </c>
      <c r="BJ257" s="291">
        <f t="shared" si="91"/>
        <v>0.81863411458333324</v>
      </c>
      <c r="BK257" s="295">
        <f>1.5*12+0.4</f>
        <v>18.399999999999999</v>
      </c>
      <c r="BL257" s="344"/>
      <c r="BM257" s="344"/>
      <c r="BN257" s="296" t="s">
        <v>64</v>
      </c>
      <c r="BO257" s="296">
        <v>12</v>
      </c>
      <c r="BP257" s="296">
        <v>10</v>
      </c>
      <c r="BQ257" s="296">
        <v>6</v>
      </c>
      <c r="BR257" s="32">
        <f t="shared" si="92"/>
        <v>720</v>
      </c>
      <c r="BS257" s="32">
        <f t="shared" si="98"/>
        <v>1154</v>
      </c>
      <c r="BT257" s="296" t="s">
        <v>62</v>
      </c>
      <c r="BU257" s="32" t="s">
        <v>67</v>
      </c>
      <c r="BV257" s="92"/>
      <c r="BW257" s="92"/>
      <c r="BX257" s="92"/>
      <c r="BY257" s="15"/>
      <c r="BZ257" s="15"/>
      <c r="CA257" s="15"/>
      <c r="CB257" s="15"/>
      <c r="CC257" s="15"/>
      <c r="CD257" s="15"/>
      <c r="CE257" s="15"/>
      <c r="CF257" s="15"/>
    </row>
    <row r="258" spans="1:84" s="56" customFormat="1" x14ac:dyDescent="0.25">
      <c r="A258" s="57">
        <v>42264</v>
      </c>
      <c r="B258" s="350" t="s">
        <v>14</v>
      </c>
      <c r="C258" s="45" t="s">
        <v>1025</v>
      </c>
      <c r="D258" s="45" t="s">
        <v>73</v>
      </c>
      <c r="E258" s="45" t="s">
        <v>1026</v>
      </c>
      <c r="F258" s="64" t="s">
        <v>3479</v>
      </c>
      <c r="G258" s="188" t="s">
        <v>2051</v>
      </c>
      <c r="H258" s="37" t="s">
        <v>1027</v>
      </c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5"/>
      <c r="V258" s="95"/>
      <c r="W258" s="95"/>
      <c r="X258" s="95"/>
      <c r="Y258" s="29" t="s">
        <v>1028</v>
      </c>
      <c r="Z258" s="41"/>
      <c r="AA258" s="29"/>
      <c r="AB258" s="29"/>
      <c r="AC258" s="37"/>
      <c r="AD258" s="37"/>
      <c r="AE258" s="37"/>
      <c r="AF258" s="37"/>
      <c r="AG258" s="37"/>
      <c r="AH258" s="37"/>
      <c r="AI258" s="37"/>
      <c r="AJ258" s="37"/>
      <c r="AK258" s="28"/>
      <c r="AL258" s="37"/>
      <c r="AM258" s="37"/>
      <c r="AN258" s="37"/>
      <c r="AO258" s="37"/>
      <c r="AP258" s="37"/>
      <c r="AQ258" s="29"/>
      <c r="AR258" s="38">
        <v>27.65</v>
      </c>
      <c r="AS258" s="27">
        <f t="shared" si="90"/>
        <v>62.27477477477477</v>
      </c>
      <c r="AT258" s="31" t="s">
        <v>1029</v>
      </c>
      <c r="AU258" s="31" t="s">
        <v>1030</v>
      </c>
      <c r="AV258" s="44"/>
      <c r="AW258" s="44"/>
      <c r="AX258" s="44"/>
      <c r="AY258" s="61">
        <v>4.66</v>
      </c>
      <c r="AZ258" s="61">
        <v>10.6</v>
      </c>
      <c r="BA258" s="44"/>
      <c r="BB258" s="434" t="s">
        <v>80</v>
      </c>
      <c r="BC258" s="434"/>
      <c r="BD258" s="434"/>
      <c r="BE258" s="434"/>
      <c r="BF258" s="434"/>
      <c r="BG258" s="294">
        <v>11.125</v>
      </c>
      <c r="BH258" s="294">
        <v>5.5</v>
      </c>
      <c r="BI258" s="294">
        <v>5.5</v>
      </c>
      <c r="BJ258" s="291">
        <f>(BI258*BH258*BG258)/1728</f>
        <v>0.19475188078703703</v>
      </c>
      <c r="BK258" s="296">
        <f>0.55+0.25</f>
        <v>0.8</v>
      </c>
      <c r="BL258" s="345"/>
      <c r="BM258" s="345"/>
      <c r="BN258" s="296" t="s">
        <v>64</v>
      </c>
      <c r="BO258" s="296">
        <v>1</v>
      </c>
      <c r="BP258" s="296">
        <v>48</v>
      </c>
      <c r="BQ258" s="296">
        <v>4</v>
      </c>
      <c r="BR258" s="32">
        <f>BO258*BP258*BQ258</f>
        <v>192</v>
      </c>
      <c r="BS258" s="32">
        <f>(BK258*BP258*BQ258)+50</f>
        <v>203.60000000000002</v>
      </c>
      <c r="BT258" s="32" t="s">
        <v>62</v>
      </c>
      <c r="BU258" s="32" t="s">
        <v>67</v>
      </c>
      <c r="BV258" s="92"/>
      <c r="BW258" s="92"/>
      <c r="BX258" s="92"/>
      <c r="BY258" s="15"/>
      <c r="BZ258" s="15"/>
      <c r="CA258" s="15"/>
      <c r="CB258" s="15"/>
      <c r="CC258" s="15"/>
      <c r="CD258" s="15"/>
      <c r="CE258" s="15"/>
      <c r="CF258" s="15"/>
    </row>
    <row r="259" spans="1:84" s="56" customFormat="1" x14ac:dyDescent="0.25">
      <c r="A259" s="57">
        <v>42264</v>
      </c>
      <c r="B259" s="350" t="s">
        <v>14</v>
      </c>
      <c r="C259" s="45" t="s">
        <v>1031</v>
      </c>
      <c r="D259" s="45" t="s">
        <v>73</v>
      </c>
      <c r="E259" s="45" t="s">
        <v>1026</v>
      </c>
      <c r="F259" s="96" t="s">
        <v>3480</v>
      </c>
      <c r="G259" s="188" t="s">
        <v>2051</v>
      </c>
      <c r="H259" s="37" t="s">
        <v>1033</v>
      </c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5"/>
      <c r="V259" s="95"/>
      <c r="W259" s="95"/>
      <c r="X259" s="95"/>
      <c r="Y259" s="29"/>
      <c r="Z259" s="41"/>
      <c r="AA259" s="29"/>
      <c r="AB259" s="29"/>
      <c r="AC259" s="37"/>
      <c r="AD259" s="37"/>
      <c r="AE259" s="37"/>
      <c r="AF259" s="37"/>
      <c r="AG259" s="37"/>
      <c r="AH259" s="37"/>
      <c r="AI259" s="37"/>
      <c r="AJ259" s="37"/>
      <c r="AK259" s="28"/>
      <c r="AL259" s="37"/>
      <c r="AM259" s="37"/>
      <c r="AN259" s="37"/>
      <c r="AO259" s="37"/>
      <c r="AP259" s="37"/>
      <c r="AQ259" s="29"/>
      <c r="AR259" s="38">
        <v>40.32</v>
      </c>
      <c r="AS259" s="27">
        <f t="shared" si="90"/>
        <v>90.810810810810807</v>
      </c>
      <c r="AT259" s="31" t="s">
        <v>1034</v>
      </c>
      <c r="AU259" s="31" t="s">
        <v>1035</v>
      </c>
      <c r="AV259" s="44"/>
      <c r="AW259" s="44"/>
      <c r="AX259" s="44"/>
      <c r="AY259" s="293">
        <v>4.13</v>
      </c>
      <c r="AZ259" s="293">
        <v>10.75</v>
      </c>
      <c r="BA259" s="44"/>
      <c r="BB259" s="434" t="s">
        <v>80</v>
      </c>
      <c r="BC259" s="434"/>
      <c r="BD259" s="434"/>
      <c r="BE259" s="434"/>
      <c r="BF259" s="434"/>
      <c r="BG259" s="294">
        <v>4.4939999999999998</v>
      </c>
      <c r="BH259" s="294">
        <v>4.4939999999999998</v>
      </c>
      <c r="BI259" s="294">
        <v>11.612</v>
      </c>
      <c r="BJ259" s="291">
        <f>(BI259*BH259*BG259)/1728</f>
        <v>0.13571549191666665</v>
      </c>
      <c r="BK259" s="52">
        <v>3.1</v>
      </c>
      <c r="BL259" s="52"/>
      <c r="BM259" s="52"/>
      <c r="BN259" s="39" t="s">
        <v>64</v>
      </c>
      <c r="BO259" s="32">
        <v>1</v>
      </c>
      <c r="BP259" s="32">
        <v>90</v>
      </c>
      <c r="BQ259" s="32">
        <v>3</v>
      </c>
      <c r="BR259" s="32">
        <f>BO259*BP259*BQ259</f>
        <v>270</v>
      </c>
      <c r="BS259" s="32">
        <f>(BK259*BP259*BQ259)+50</f>
        <v>887</v>
      </c>
      <c r="BT259" s="32" t="s">
        <v>62</v>
      </c>
      <c r="BU259" s="32" t="s">
        <v>67</v>
      </c>
      <c r="BV259" s="92"/>
      <c r="BW259" s="92"/>
      <c r="BX259" s="92"/>
      <c r="BY259" s="15"/>
      <c r="BZ259" s="15"/>
      <c r="CA259" s="15"/>
      <c r="CB259" s="15"/>
      <c r="CC259" s="15"/>
      <c r="CD259" s="15"/>
      <c r="CE259" s="15"/>
      <c r="CF259" s="15"/>
    </row>
    <row r="260" spans="1:84" s="56" customFormat="1" x14ac:dyDescent="0.25">
      <c r="A260" s="57">
        <v>42264</v>
      </c>
      <c r="B260" s="350" t="s">
        <v>14</v>
      </c>
      <c r="C260" s="45" t="s">
        <v>1036</v>
      </c>
      <c r="D260" s="45" t="s">
        <v>73</v>
      </c>
      <c r="E260" s="45" t="s">
        <v>78</v>
      </c>
      <c r="F260" s="64" t="s">
        <v>3481</v>
      </c>
      <c r="G260" s="188" t="s">
        <v>2051</v>
      </c>
      <c r="H260" s="37">
        <v>3619554</v>
      </c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5"/>
      <c r="V260" s="95"/>
      <c r="W260" s="95"/>
      <c r="X260" s="95"/>
      <c r="Y260" s="29"/>
      <c r="Z260" s="41"/>
      <c r="AA260" s="29"/>
      <c r="AB260" s="29"/>
      <c r="AC260" s="37"/>
      <c r="AD260" s="37"/>
      <c r="AE260" s="37"/>
      <c r="AF260" s="37"/>
      <c r="AG260" s="37"/>
      <c r="AH260" s="37"/>
      <c r="AI260" s="37"/>
      <c r="AJ260" s="37"/>
      <c r="AK260" s="28"/>
      <c r="AL260" s="37"/>
      <c r="AM260" s="37"/>
      <c r="AN260" s="37"/>
      <c r="AO260" s="37"/>
      <c r="AP260" s="37"/>
      <c r="AQ260" s="29"/>
      <c r="AR260" s="38">
        <v>34.68</v>
      </c>
      <c r="AS260" s="27">
        <f t="shared" si="90"/>
        <v>78.108108108108112</v>
      </c>
      <c r="AT260" s="31" t="s">
        <v>1037</v>
      </c>
      <c r="AU260" s="31" t="s">
        <v>1038</v>
      </c>
      <c r="AV260" s="44"/>
      <c r="AW260" s="44"/>
      <c r="AX260" s="44"/>
      <c r="AY260" s="61">
        <v>3.46</v>
      </c>
      <c r="AZ260" s="61">
        <v>6.04</v>
      </c>
      <c r="BA260" s="44"/>
      <c r="BB260" s="432" t="s">
        <v>1024</v>
      </c>
      <c r="BC260" s="432"/>
      <c r="BD260" s="432"/>
      <c r="BE260" s="432"/>
      <c r="BF260" s="432"/>
      <c r="BG260" s="295">
        <v>10.555999999999999</v>
      </c>
      <c r="BH260" s="295">
        <v>7.181</v>
      </c>
      <c r="BI260" s="295">
        <v>8.8620000000000001</v>
      </c>
      <c r="BJ260" s="291">
        <f>(BI260*BH260*BG260)/1728</f>
        <v>0.38875171309722217</v>
      </c>
      <c r="BK260" s="296">
        <v>6.4</v>
      </c>
      <c r="BL260" s="345"/>
      <c r="BM260" s="345"/>
      <c r="BN260" s="39" t="s">
        <v>64</v>
      </c>
      <c r="BO260" s="296">
        <v>6</v>
      </c>
      <c r="BP260" s="296">
        <v>20</v>
      </c>
      <c r="BQ260" s="296">
        <v>5</v>
      </c>
      <c r="BR260" s="32">
        <f>BO260*BP260*BQ260</f>
        <v>600</v>
      </c>
      <c r="BS260" s="32">
        <f>(BK260*BP260*BQ260)+50</f>
        <v>690</v>
      </c>
      <c r="BT260" s="32" t="s">
        <v>62</v>
      </c>
      <c r="BU260" s="32" t="s">
        <v>67</v>
      </c>
      <c r="BV260" s="92"/>
      <c r="BW260" s="92"/>
      <c r="BX260" s="92"/>
      <c r="BY260" s="15"/>
      <c r="BZ260" s="15"/>
      <c r="CA260" s="15"/>
      <c r="CB260" s="15"/>
      <c r="CC260" s="15"/>
      <c r="CD260" s="15"/>
      <c r="CE260" s="15"/>
      <c r="CF260" s="15"/>
    </row>
    <row r="261" spans="1:84" s="56" customFormat="1" x14ac:dyDescent="0.25">
      <c r="A261" s="57">
        <v>42264</v>
      </c>
      <c r="B261" s="350" t="s">
        <v>14</v>
      </c>
      <c r="C261" s="45" t="s">
        <v>1039</v>
      </c>
      <c r="D261" s="45" t="s">
        <v>73</v>
      </c>
      <c r="E261" s="45" t="s">
        <v>1102</v>
      </c>
      <c r="F261" s="96" t="s">
        <v>3482</v>
      </c>
      <c r="G261" s="188" t="s">
        <v>2051</v>
      </c>
      <c r="H261" s="359" t="s">
        <v>3413</v>
      </c>
      <c r="I261" s="37"/>
      <c r="J261" s="37"/>
      <c r="K261" s="29"/>
      <c r="L261" s="30"/>
      <c r="M261" s="80"/>
      <c r="N261" s="80"/>
      <c r="O261" s="80"/>
      <c r="P261" s="80"/>
      <c r="Q261" s="91"/>
      <c r="R261" s="91"/>
      <c r="S261" s="91"/>
      <c r="T261" s="91"/>
      <c r="U261" s="29" t="s">
        <v>1041</v>
      </c>
      <c r="V261" s="41"/>
      <c r="W261" s="29"/>
      <c r="X261" s="41"/>
      <c r="Y261" s="29" t="s">
        <v>1042</v>
      </c>
      <c r="Z261" s="41"/>
      <c r="AA261" s="29" t="s">
        <v>1043</v>
      </c>
      <c r="AB261" s="29"/>
      <c r="AC261" s="37"/>
      <c r="AD261" s="37"/>
      <c r="AE261" s="37"/>
      <c r="AF261" s="37"/>
      <c r="AG261" s="37"/>
      <c r="AH261" s="37"/>
      <c r="AI261" s="37"/>
      <c r="AJ261" s="37"/>
      <c r="AK261" s="28"/>
      <c r="AL261" s="37"/>
      <c r="AM261" s="37"/>
      <c r="AN261" s="37"/>
      <c r="AO261" s="37"/>
      <c r="AP261" s="37"/>
      <c r="AQ261" s="29"/>
      <c r="AR261" s="38">
        <v>62.99</v>
      </c>
      <c r="AS261" s="27">
        <f>AR261/0.444</f>
        <v>141.86936936936937</v>
      </c>
      <c r="AT261" s="31" t="s">
        <v>1044</v>
      </c>
      <c r="AU261" s="31" t="s">
        <v>1045</v>
      </c>
      <c r="AV261" s="31"/>
      <c r="AW261" s="31"/>
      <c r="AX261" s="31"/>
      <c r="AY261" s="31"/>
      <c r="AZ261" s="31"/>
      <c r="BA261" s="31"/>
      <c r="BB261" s="432" t="s">
        <v>1024</v>
      </c>
      <c r="BC261" s="432"/>
      <c r="BD261" s="432"/>
      <c r="BE261" s="432"/>
      <c r="BF261" s="432"/>
      <c r="BG261" s="294">
        <v>14.87</v>
      </c>
      <c r="BH261" s="294">
        <v>10</v>
      </c>
      <c r="BI261" s="294">
        <v>10.5</v>
      </c>
      <c r="BJ261" s="291">
        <f t="shared" ref="BJ261:BJ262" si="100">(BI261*BH261*BG261)/1728</f>
        <v>0.90355902777777775</v>
      </c>
      <c r="BK261" s="52">
        <f>4.012+0.25</f>
        <v>4.2619999999999996</v>
      </c>
      <c r="BL261" s="52"/>
      <c r="BM261" s="52"/>
      <c r="BN261" s="39" t="s">
        <v>64</v>
      </c>
      <c r="BO261" s="32">
        <v>6</v>
      </c>
      <c r="BP261" s="32">
        <v>12</v>
      </c>
      <c r="BQ261" s="32">
        <v>4</v>
      </c>
      <c r="BR261" s="32">
        <f>BO261*BP261*BQ261</f>
        <v>288</v>
      </c>
      <c r="BS261" s="32">
        <f>(BK261*BP261*BQ261)+50</f>
        <v>254.57599999999996</v>
      </c>
      <c r="BT261" s="32" t="s">
        <v>62</v>
      </c>
      <c r="BU261" s="32" t="s">
        <v>67</v>
      </c>
      <c r="BV261" s="92"/>
      <c r="BW261" s="92"/>
      <c r="BX261" s="92"/>
      <c r="BY261" s="15"/>
      <c r="BZ261" s="15"/>
      <c r="CA261" s="15"/>
      <c r="CB261" s="15"/>
      <c r="CC261" s="15"/>
      <c r="CD261" s="15"/>
      <c r="CE261" s="15"/>
      <c r="CF261" s="15"/>
    </row>
    <row r="262" spans="1:84" s="56" customFormat="1" x14ac:dyDescent="0.25">
      <c r="A262" s="57">
        <v>42264</v>
      </c>
      <c r="B262" s="350" t="s">
        <v>14</v>
      </c>
      <c r="C262" s="45" t="s">
        <v>91</v>
      </c>
      <c r="D262" s="45" t="s">
        <v>73</v>
      </c>
      <c r="E262" s="45" t="s">
        <v>78</v>
      </c>
      <c r="F262" s="96" t="s">
        <v>3483</v>
      </c>
      <c r="G262" s="188" t="s">
        <v>2051</v>
      </c>
      <c r="H262" s="37" t="s">
        <v>1046</v>
      </c>
      <c r="I262" s="37" t="s">
        <v>1047</v>
      </c>
      <c r="J262" s="37" t="s">
        <v>1048</v>
      </c>
      <c r="K262" s="29"/>
      <c r="L262" s="30"/>
      <c r="M262" s="80"/>
      <c r="N262" s="80"/>
      <c r="O262" s="80"/>
      <c r="P262" s="80"/>
      <c r="Q262" s="91"/>
      <c r="R262" s="91"/>
      <c r="S262" s="91"/>
      <c r="T262" s="91"/>
      <c r="U262" s="29"/>
      <c r="V262" s="41"/>
      <c r="W262" s="29"/>
      <c r="X262" s="41"/>
      <c r="Y262" s="29"/>
      <c r="Z262" s="41"/>
      <c r="AA262" s="29"/>
      <c r="AB262" s="29"/>
      <c r="AC262" s="37"/>
      <c r="AD262" s="37"/>
      <c r="AE262" s="37"/>
      <c r="AF262" s="37"/>
      <c r="AG262" s="37"/>
      <c r="AH262" s="37"/>
      <c r="AI262" s="37"/>
      <c r="AJ262" s="37"/>
      <c r="AK262" s="28"/>
      <c r="AL262" s="37"/>
      <c r="AM262" s="37"/>
      <c r="AN262" s="37"/>
      <c r="AO262" s="37"/>
      <c r="AP262" s="37"/>
      <c r="AQ262" s="29"/>
      <c r="AR262" s="38">
        <v>174.64</v>
      </c>
      <c r="AS262" s="27">
        <f>AR262/0.444</f>
        <v>393.33333333333331</v>
      </c>
      <c r="AT262" s="31" t="s">
        <v>1049</v>
      </c>
      <c r="AU262" s="31" t="s">
        <v>1050</v>
      </c>
      <c r="AV262" s="31"/>
      <c r="AW262" s="31"/>
      <c r="AX262" s="31"/>
      <c r="AY262" s="31"/>
      <c r="AZ262" s="31"/>
      <c r="BA262" s="31"/>
      <c r="BB262" s="434" t="s">
        <v>80</v>
      </c>
      <c r="BC262" s="434"/>
      <c r="BD262" s="434"/>
      <c r="BE262" s="434"/>
      <c r="BF262" s="434"/>
      <c r="BG262" s="294">
        <v>6.75</v>
      </c>
      <c r="BH262" s="294">
        <v>6.25</v>
      </c>
      <c r="BI262" s="294">
        <v>12.12</v>
      </c>
      <c r="BJ262" s="291">
        <f t="shared" si="100"/>
        <v>0.2958984375</v>
      </c>
      <c r="BK262" s="296">
        <v>1.65</v>
      </c>
      <c r="BL262" s="345"/>
      <c r="BM262" s="345"/>
      <c r="BN262" s="296" t="s">
        <v>64</v>
      </c>
      <c r="BO262" s="296">
        <v>1</v>
      </c>
      <c r="BP262" s="296">
        <v>42</v>
      </c>
      <c r="BQ262" s="296">
        <v>3</v>
      </c>
      <c r="BR262" s="32">
        <f t="shared" ref="BR262" si="101">BO262*BP262*BQ262</f>
        <v>126</v>
      </c>
      <c r="BS262" s="32">
        <f t="shared" ref="BS262" si="102">(BK262*BP262*BQ262)+50</f>
        <v>257.89999999999998</v>
      </c>
      <c r="BT262" s="32" t="s">
        <v>1011</v>
      </c>
      <c r="BU262" s="32" t="s">
        <v>67</v>
      </c>
      <c r="BV262" s="92"/>
      <c r="BW262" s="92"/>
      <c r="BX262" s="92"/>
      <c r="BY262" s="15"/>
      <c r="BZ262" s="15"/>
      <c r="CA262" s="15"/>
      <c r="CB262" s="15"/>
      <c r="CC262" s="15"/>
      <c r="CD262" s="15"/>
      <c r="CE262" s="15"/>
      <c r="CF262" s="15"/>
    </row>
    <row r="263" spans="1:84" s="56" customFormat="1" x14ac:dyDescent="0.25">
      <c r="A263" s="57">
        <v>42264</v>
      </c>
      <c r="B263" s="350" t="s">
        <v>14</v>
      </c>
      <c r="C263" s="45" t="s">
        <v>1051</v>
      </c>
      <c r="D263" s="45" t="s">
        <v>73</v>
      </c>
      <c r="E263" s="97" t="s">
        <v>1052</v>
      </c>
      <c r="F263" s="96" t="s">
        <v>3484</v>
      </c>
      <c r="G263" s="188" t="s">
        <v>2051</v>
      </c>
      <c r="H263" s="37" t="s">
        <v>1053</v>
      </c>
      <c r="I263" s="37" t="s">
        <v>66</v>
      </c>
      <c r="J263" s="37" t="s">
        <v>1054</v>
      </c>
      <c r="K263" s="29"/>
      <c r="L263" s="30"/>
      <c r="M263" s="80"/>
      <c r="N263" s="80"/>
      <c r="O263" s="80"/>
      <c r="P263" s="80"/>
      <c r="Q263" s="80"/>
      <c r="R263" s="80"/>
      <c r="S263" s="80"/>
      <c r="T263" s="80"/>
      <c r="U263" s="29" t="s">
        <v>1055</v>
      </c>
      <c r="V263" s="41"/>
      <c r="W263" s="29"/>
      <c r="X263" s="41"/>
      <c r="Y263" s="29" t="s">
        <v>1056</v>
      </c>
      <c r="Z263" s="41"/>
      <c r="AA263" s="29" t="s">
        <v>1057</v>
      </c>
      <c r="AB263" s="29"/>
      <c r="AC263" s="37"/>
      <c r="AD263" s="37"/>
      <c r="AE263" s="37"/>
      <c r="AF263" s="37"/>
      <c r="AG263" s="37"/>
      <c r="AH263" s="37"/>
      <c r="AI263" s="37"/>
      <c r="AJ263" s="37"/>
      <c r="AK263" s="28"/>
      <c r="AL263" s="37"/>
      <c r="AM263" s="37"/>
      <c r="AN263" s="37"/>
      <c r="AO263" s="37"/>
      <c r="AP263" s="37"/>
      <c r="AQ263" s="29">
        <v>49096</v>
      </c>
      <c r="AR263" s="38">
        <v>52.98</v>
      </c>
      <c r="AS263" s="27">
        <f>AR263/0.444</f>
        <v>119.32432432432432</v>
      </c>
      <c r="AT263" s="98" t="s">
        <v>1058</v>
      </c>
      <c r="AU263" s="99">
        <v>10038568738407</v>
      </c>
      <c r="AV263" s="99"/>
      <c r="AW263" s="99"/>
      <c r="AX263" s="99"/>
      <c r="AY263" s="99"/>
      <c r="AZ263" s="99"/>
      <c r="BA263" s="99"/>
      <c r="BB263" s="296" t="s">
        <v>1059</v>
      </c>
      <c r="BC263" s="296" t="s">
        <v>1059</v>
      </c>
      <c r="BD263" s="296" t="s">
        <v>1059</v>
      </c>
      <c r="BE263" s="291" t="s">
        <v>1060</v>
      </c>
      <c r="BF263" s="296" t="s">
        <v>1061</v>
      </c>
      <c r="BG263" s="294">
        <v>24</v>
      </c>
      <c r="BH263" s="294">
        <v>5.5</v>
      </c>
      <c r="BI263" s="294">
        <v>3.5</v>
      </c>
      <c r="BJ263" s="291" t="s">
        <v>1060</v>
      </c>
      <c r="BK263" s="296" t="s">
        <v>1061</v>
      </c>
      <c r="BL263" s="345"/>
      <c r="BM263" s="345"/>
      <c r="BN263" s="39" t="s">
        <v>64</v>
      </c>
      <c r="BO263" s="32">
        <v>1</v>
      </c>
      <c r="BP263" s="32">
        <v>14</v>
      </c>
      <c r="BQ263" s="32">
        <v>12</v>
      </c>
      <c r="BR263" s="32">
        <v>168</v>
      </c>
      <c r="BS263" s="32" t="s">
        <v>1062</v>
      </c>
      <c r="BT263" s="32" t="s">
        <v>1063</v>
      </c>
      <c r="BU263" s="32" t="s">
        <v>67</v>
      </c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s="56" customFormat="1" ht="30" x14ac:dyDescent="0.25">
      <c r="A264" s="57">
        <v>42264</v>
      </c>
      <c r="B264" s="350" t="s">
        <v>14</v>
      </c>
      <c r="C264" s="45" t="s">
        <v>1064</v>
      </c>
      <c r="D264" s="45" t="s">
        <v>73</v>
      </c>
      <c r="E264" s="45" t="s">
        <v>1018</v>
      </c>
      <c r="F264" s="96" t="s">
        <v>3485</v>
      </c>
      <c r="G264" s="188" t="s">
        <v>2051</v>
      </c>
      <c r="H264" s="37" t="s">
        <v>1066</v>
      </c>
      <c r="I264" s="37"/>
      <c r="J264" s="37"/>
      <c r="K264" s="29"/>
      <c r="L264" s="30"/>
      <c r="M264" s="80"/>
      <c r="N264" s="80"/>
      <c r="O264" s="80"/>
      <c r="P264" s="80"/>
      <c r="Q264" s="80"/>
      <c r="R264" s="80"/>
      <c r="S264" s="80"/>
      <c r="T264" s="80"/>
      <c r="U264" s="29" t="s">
        <v>1067</v>
      </c>
      <c r="V264" s="41"/>
      <c r="W264" s="29"/>
      <c r="X264" s="41"/>
      <c r="Y264" s="29" t="s">
        <v>1068</v>
      </c>
      <c r="Z264" s="41"/>
      <c r="AA264" s="29" t="s">
        <v>1069</v>
      </c>
      <c r="AB264" s="29"/>
      <c r="AC264" s="37"/>
      <c r="AD264" s="37"/>
      <c r="AE264" s="37"/>
      <c r="AF264" s="37"/>
      <c r="AG264" s="37"/>
      <c r="AH264" s="37"/>
      <c r="AI264" s="37"/>
      <c r="AJ264" s="37"/>
      <c r="AK264" s="28"/>
      <c r="AL264" s="37"/>
      <c r="AM264" s="37"/>
      <c r="AN264" s="37"/>
      <c r="AO264" s="37"/>
      <c r="AP264" s="37"/>
      <c r="AQ264" s="29"/>
      <c r="AR264" s="38">
        <v>50.81</v>
      </c>
      <c r="AS264" s="27">
        <f>AR264/0.444</f>
        <v>114.43693693693695</v>
      </c>
      <c r="AT264" s="98" t="s">
        <v>1070</v>
      </c>
      <c r="AU264" s="99">
        <v>10038568738452</v>
      </c>
      <c r="AV264" s="99"/>
      <c r="AW264" s="99"/>
      <c r="AX264" s="99"/>
      <c r="AY264" s="99"/>
      <c r="AZ264" s="99"/>
      <c r="BA264" s="99"/>
      <c r="BB264" s="296" t="s">
        <v>1059</v>
      </c>
      <c r="BC264" s="296" t="s">
        <v>1059</v>
      </c>
      <c r="BD264" s="296" t="s">
        <v>1059</v>
      </c>
      <c r="BE264" s="291" t="s">
        <v>1071</v>
      </c>
      <c r="BF264" s="296" t="s">
        <v>1072</v>
      </c>
      <c r="BG264" s="294">
        <v>3</v>
      </c>
      <c r="BH264" s="294">
        <v>3</v>
      </c>
      <c r="BI264" s="294">
        <v>5.5</v>
      </c>
      <c r="BJ264" s="291" t="s">
        <v>1071</v>
      </c>
      <c r="BK264" s="296" t="s">
        <v>1072</v>
      </c>
      <c r="BL264" s="345"/>
      <c r="BM264" s="345"/>
      <c r="BN264" s="39" t="s">
        <v>64</v>
      </c>
      <c r="BO264" s="296">
        <v>1</v>
      </c>
      <c r="BP264" s="296">
        <v>40</v>
      </c>
      <c r="BQ264" s="296">
        <v>11</v>
      </c>
      <c r="BR264" s="32">
        <v>440</v>
      </c>
      <c r="BS264" s="32" t="s">
        <v>1073</v>
      </c>
      <c r="BT264" s="32" t="s">
        <v>1074</v>
      </c>
      <c r="BU264" s="32" t="s">
        <v>67</v>
      </c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s="56" customFormat="1" ht="30" x14ac:dyDescent="0.25">
      <c r="A265" s="57">
        <v>42264</v>
      </c>
      <c r="B265" s="350" t="s">
        <v>14</v>
      </c>
      <c r="C265" s="45" t="s">
        <v>1075</v>
      </c>
      <c r="D265" s="45" t="s">
        <v>73</v>
      </c>
      <c r="E265" s="45" t="s">
        <v>1026</v>
      </c>
      <c r="F265" s="96" t="s">
        <v>3486</v>
      </c>
      <c r="G265" s="188" t="s">
        <v>2051</v>
      </c>
      <c r="H265" s="37" t="s">
        <v>1076</v>
      </c>
      <c r="I265" s="37" t="s">
        <v>278</v>
      </c>
      <c r="J265" s="37" t="s">
        <v>1077</v>
      </c>
      <c r="K265" s="29"/>
      <c r="L265" s="30"/>
      <c r="M265" s="80"/>
      <c r="N265" s="80"/>
      <c r="O265" s="80"/>
      <c r="P265" s="80"/>
      <c r="Q265" s="80"/>
      <c r="R265" s="80"/>
      <c r="S265" s="80"/>
      <c r="T265" s="80"/>
      <c r="U265" s="29" t="s">
        <v>1078</v>
      </c>
      <c r="V265" s="41"/>
      <c r="W265" s="29"/>
      <c r="X265" s="41"/>
      <c r="Y265" s="29" t="s">
        <v>1079</v>
      </c>
      <c r="Z265" s="41"/>
      <c r="AA265" s="29" t="s">
        <v>1080</v>
      </c>
      <c r="AB265" s="29" t="s">
        <v>1081</v>
      </c>
      <c r="AC265" s="37"/>
      <c r="AD265" s="37"/>
      <c r="AE265" s="37"/>
      <c r="AF265" s="37"/>
      <c r="AG265" s="37"/>
      <c r="AH265" s="37"/>
      <c r="AI265" s="37"/>
      <c r="AJ265" s="37"/>
      <c r="AK265" s="28"/>
      <c r="AL265" s="37"/>
      <c r="AM265" s="37"/>
      <c r="AN265" s="37"/>
      <c r="AO265" s="37"/>
      <c r="AP265" s="37"/>
      <c r="AQ265" s="29" t="s">
        <v>1082</v>
      </c>
      <c r="AR265" s="38">
        <v>53.25</v>
      </c>
      <c r="AS265" s="27">
        <f t="shared" ref="AS265:AS269" si="103">AR265/0.444</f>
        <v>119.93243243243244</v>
      </c>
      <c r="AT265" s="31" t="s">
        <v>1083</v>
      </c>
      <c r="AU265" s="31" t="s">
        <v>1084</v>
      </c>
      <c r="AV265" s="31"/>
      <c r="AW265" s="31"/>
      <c r="AX265" s="31"/>
      <c r="AY265" s="31"/>
      <c r="AZ265" s="31"/>
      <c r="BA265" s="31"/>
      <c r="BB265" s="434" t="s">
        <v>80</v>
      </c>
      <c r="BC265" s="434"/>
      <c r="BD265" s="434"/>
      <c r="BE265" s="434"/>
      <c r="BF265" s="434"/>
      <c r="BG265" s="294">
        <v>11.4</v>
      </c>
      <c r="BH265" s="294">
        <v>10.37</v>
      </c>
      <c r="BI265" s="294">
        <v>10.62</v>
      </c>
      <c r="BJ265" s="291">
        <f t="shared" ref="BJ265:BJ291" si="104">(BI265*BH265*BG265)/1728</f>
        <v>0.72654812499999999</v>
      </c>
      <c r="BK265" s="294">
        <f>3.94+0.25</f>
        <v>4.1899999999999995</v>
      </c>
      <c r="BL265" s="341"/>
      <c r="BM265" s="341"/>
      <c r="BN265" s="39" t="s">
        <v>64</v>
      </c>
      <c r="BO265" s="32">
        <v>1</v>
      </c>
      <c r="BP265" s="32">
        <v>12</v>
      </c>
      <c r="BQ265" s="32">
        <v>3</v>
      </c>
      <c r="BR265" s="32">
        <f t="shared" ref="BR265:BR283" si="105">BO265*BP265*BQ265</f>
        <v>36</v>
      </c>
      <c r="BS265" s="32">
        <f t="shared" ref="BS265:BS274" si="106">(BK265*BP265*BQ265)+50</f>
        <v>200.83999999999997</v>
      </c>
      <c r="BT265" s="32" t="s">
        <v>62</v>
      </c>
      <c r="BU265" s="32" t="s">
        <v>67</v>
      </c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s="56" customFormat="1" ht="30" x14ac:dyDescent="0.25">
      <c r="A266" s="57">
        <v>42264</v>
      </c>
      <c r="B266" s="350" t="s">
        <v>14</v>
      </c>
      <c r="C266" s="45" t="s">
        <v>1085</v>
      </c>
      <c r="D266" s="45" t="s">
        <v>73</v>
      </c>
      <c r="E266" s="45" t="s">
        <v>1026</v>
      </c>
      <c r="F266" s="96" t="s">
        <v>3487</v>
      </c>
      <c r="G266" s="188" t="s">
        <v>2051</v>
      </c>
      <c r="H266" s="37">
        <v>6001856110</v>
      </c>
      <c r="I266" s="37"/>
      <c r="J266" s="37"/>
      <c r="K266" s="29"/>
      <c r="L266" s="30"/>
      <c r="M266" s="80"/>
      <c r="N266" s="80"/>
      <c r="O266" s="80"/>
      <c r="P266" s="80"/>
      <c r="Q266" s="80"/>
      <c r="R266" s="80"/>
      <c r="S266" s="80"/>
      <c r="T266" s="80"/>
      <c r="U266" s="29" t="s">
        <v>1086</v>
      </c>
      <c r="V266" s="41"/>
      <c r="W266" s="29"/>
      <c r="X266" s="41"/>
      <c r="Y266" s="29" t="s">
        <v>1087</v>
      </c>
      <c r="Z266" s="41"/>
      <c r="AA266" s="29" t="s">
        <v>1088</v>
      </c>
      <c r="AB266" s="29" t="s">
        <v>1089</v>
      </c>
      <c r="AC266" s="37"/>
      <c r="AD266" s="37"/>
      <c r="AE266" s="37"/>
      <c r="AF266" s="37"/>
      <c r="AG266" s="37"/>
      <c r="AH266" s="37"/>
      <c r="AI266" s="37"/>
      <c r="AJ266" s="37"/>
      <c r="AK266" s="28"/>
      <c r="AL266" s="37"/>
      <c r="AM266" s="37"/>
      <c r="AN266" s="37"/>
      <c r="AO266" s="37"/>
      <c r="AP266" s="37"/>
      <c r="AQ266" s="29" t="s">
        <v>1090</v>
      </c>
      <c r="AR266" s="38">
        <v>105.79</v>
      </c>
      <c r="AS266" s="27">
        <f t="shared" si="103"/>
        <v>238.26576576576576</v>
      </c>
      <c r="AT266" s="31" t="s">
        <v>1083</v>
      </c>
      <c r="AU266" s="31" t="s">
        <v>1084</v>
      </c>
      <c r="AV266" s="31"/>
      <c r="AW266" s="31"/>
      <c r="AX266" s="31"/>
      <c r="AY266" s="31"/>
      <c r="AZ266" s="31"/>
      <c r="BA266" s="31"/>
      <c r="BB266" s="434" t="s">
        <v>80</v>
      </c>
      <c r="BC266" s="434"/>
      <c r="BD266" s="434"/>
      <c r="BE266" s="434"/>
      <c r="BF266" s="434"/>
      <c r="BG266" s="294">
        <v>21.306000000000001</v>
      </c>
      <c r="BH266" s="294">
        <v>13.366</v>
      </c>
      <c r="BI266" s="294">
        <v>13.672000000000001</v>
      </c>
      <c r="BJ266" s="291">
        <f t="shared" si="104"/>
        <v>2.2531582276111113</v>
      </c>
      <c r="BK266" s="294">
        <v>8.85</v>
      </c>
      <c r="BL266" s="341"/>
      <c r="BM266" s="341"/>
      <c r="BN266" s="39" t="s">
        <v>64</v>
      </c>
      <c r="BO266" s="32">
        <v>1</v>
      </c>
      <c r="BP266" s="32">
        <v>9</v>
      </c>
      <c r="BQ266" s="32">
        <v>2</v>
      </c>
      <c r="BR266" s="32">
        <f t="shared" si="105"/>
        <v>18</v>
      </c>
      <c r="BS266" s="32">
        <f t="shared" si="106"/>
        <v>209.29999999999998</v>
      </c>
      <c r="BT266" s="32" t="s">
        <v>62</v>
      </c>
      <c r="BU266" s="32" t="s">
        <v>67</v>
      </c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s="56" customFormat="1" x14ac:dyDescent="0.25">
      <c r="A267" s="57">
        <v>42264</v>
      </c>
      <c r="B267" s="350" t="s">
        <v>14</v>
      </c>
      <c r="C267" s="37" t="s">
        <v>1091</v>
      </c>
      <c r="D267" s="52" t="s">
        <v>73</v>
      </c>
      <c r="E267" s="45" t="s">
        <v>1092</v>
      </c>
      <c r="F267" s="36" t="s">
        <v>3488</v>
      </c>
      <c r="G267" s="188" t="s">
        <v>2051</v>
      </c>
      <c r="H267" s="37" t="s">
        <v>1094</v>
      </c>
      <c r="I267" s="37"/>
      <c r="J267" s="37"/>
      <c r="K267" s="29"/>
      <c r="L267" s="30"/>
      <c r="M267" s="80"/>
      <c r="N267" s="80"/>
      <c r="O267" s="80"/>
      <c r="P267" s="80"/>
      <c r="Q267" s="80"/>
      <c r="R267" s="80"/>
      <c r="S267" s="80"/>
      <c r="T267" s="80"/>
      <c r="U267" s="29" t="s">
        <v>1095</v>
      </c>
      <c r="V267" s="41"/>
      <c r="W267" s="29"/>
      <c r="X267" s="41"/>
      <c r="Y267" s="29" t="s">
        <v>1096</v>
      </c>
      <c r="Z267" s="41"/>
      <c r="AA267" s="29" t="s">
        <v>1097</v>
      </c>
      <c r="AB267" s="96"/>
      <c r="AC267" s="37"/>
      <c r="AD267" s="37"/>
      <c r="AE267" s="37"/>
      <c r="AF267" s="37"/>
      <c r="AG267" s="37"/>
      <c r="AH267" s="37"/>
      <c r="AI267" s="37"/>
      <c r="AJ267" s="37"/>
      <c r="AK267" s="28"/>
      <c r="AL267" s="37"/>
      <c r="AM267" s="37"/>
      <c r="AN267" s="37"/>
      <c r="AO267" s="37"/>
      <c r="AP267" s="37"/>
      <c r="AQ267" s="29" t="s">
        <v>1098</v>
      </c>
      <c r="AR267" s="38">
        <v>54.11</v>
      </c>
      <c r="AS267" s="27">
        <f t="shared" si="103"/>
        <v>121.86936936936937</v>
      </c>
      <c r="AT267" s="31" t="s">
        <v>1099</v>
      </c>
      <c r="AU267" s="31" t="s">
        <v>1100</v>
      </c>
      <c r="AV267" s="31"/>
      <c r="AW267" s="31"/>
      <c r="AX267" s="31"/>
      <c r="AY267" s="31"/>
      <c r="AZ267" s="31"/>
      <c r="BA267" s="31"/>
      <c r="BB267" s="434" t="s">
        <v>80</v>
      </c>
      <c r="BC267" s="434"/>
      <c r="BD267" s="434"/>
      <c r="BE267" s="434"/>
      <c r="BF267" s="434"/>
      <c r="BG267" s="294">
        <v>2.625</v>
      </c>
      <c r="BH267" s="294">
        <v>2.625</v>
      </c>
      <c r="BI267" s="294">
        <v>10.875</v>
      </c>
      <c r="BJ267" s="291">
        <f t="shared" si="104"/>
        <v>4.3365478515625E-2</v>
      </c>
      <c r="BK267" s="294">
        <f>0.3+0.25</f>
        <v>0.55000000000000004</v>
      </c>
      <c r="BL267" s="341"/>
      <c r="BM267" s="341"/>
      <c r="BN267" s="39" t="s">
        <v>64</v>
      </c>
      <c r="BO267" s="32">
        <v>1</v>
      </c>
      <c r="BP267" s="32">
        <v>40</v>
      </c>
      <c r="BQ267" s="32">
        <v>18</v>
      </c>
      <c r="BR267" s="32">
        <f t="shared" si="105"/>
        <v>720</v>
      </c>
      <c r="BS267" s="32">
        <f t="shared" si="106"/>
        <v>446</v>
      </c>
      <c r="BT267" s="32" t="s">
        <v>1000</v>
      </c>
      <c r="BU267" s="32" t="s">
        <v>67</v>
      </c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s="56" customFormat="1" ht="30" x14ac:dyDescent="0.25">
      <c r="A268" s="57">
        <v>42264</v>
      </c>
      <c r="B268" s="350" t="s">
        <v>14</v>
      </c>
      <c r="C268" s="100" t="s">
        <v>1101</v>
      </c>
      <c r="D268" s="52" t="s">
        <v>73</v>
      </c>
      <c r="E268" s="45" t="s">
        <v>1102</v>
      </c>
      <c r="F268" s="36" t="s">
        <v>3489</v>
      </c>
      <c r="G268" s="188" t="s">
        <v>2051</v>
      </c>
      <c r="H268" s="37" t="s">
        <v>1103</v>
      </c>
      <c r="I268" s="37"/>
      <c r="J268" s="37"/>
      <c r="K268" s="29"/>
      <c r="L268" s="30"/>
      <c r="M268" s="80"/>
      <c r="N268" s="80"/>
      <c r="O268" s="80"/>
      <c r="P268" s="80"/>
      <c r="Q268" s="80"/>
      <c r="R268" s="80"/>
      <c r="S268" s="80"/>
      <c r="T268" s="80"/>
      <c r="U268" s="29" t="s">
        <v>1104</v>
      </c>
      <c r="V268" s="41"/>
      <c r="W268" s="29"/>
      <c r="X268" s="41"/>
      <c r="Y268" s="29" t="s">
        <v>1105</v>
      </c>
      <c r="Z268" s="41"/>
      <c r="AA268" s="29"/>
      <c r="AB268" s="96"/>
      <c r="AC268" s="37"/>
      <c r="AD268" s="37"/>
      <c r="AE268" s="37"/>
      <c r="AF268" s="37"/>
      <c r="AG268" s="37"/>
      <c r="AH268" s="37"/>
      <c r="AI268" s="37"/>
      <c r="AJ268" s="37"/>
      <c r="AK268" s="28"/>
      <c r="AL268" s="37"/>
      <c r="AM268" s="37"/>
      <c r="AN268" s="37"/>
      <c r="AO268" s="37"/>
      <c r="AP268" s="37"/>
      <c r="AQ268" s="29" t="s">
        <v>1106</v>
      </c>
      <c r="AR268" s="38">
        <v>161.66</v>
      </c>
      <c r="AS268" s="27">
        <f t="shared" si="103"/>
        <v>364.09909909909908</v>
      </c>
      <c r="AT268" s="31" t="s">
        <v>1107</v>
      </c>
      <c r="AU268" s="31" t="s">
        <v>1108</v>
      </c>
      <c r="AV268" s="31"/>
      <c r="AW268" s="31"/>
      <c r="AX268" s="31"/>
      <c r="AY268" s="31"/>
      <c r="AZ268" s="31"/>
      <c r="BA268" s="31"/>
      <c r="BB268" s="434" t="s">
        <v>80</v>
      </c>
      <c r="BC268" s="434"/>
      <c r="BD268" s="434"/>
      <c r="BE268" s="434"/>
      <c r="BF268" s="434"/>
      <c r="BG268" s="294">
        <v>13.180999999999999</v>
      </c>
      <c r="BH268" s="294">
        <v>13.180999999999999</v>
      </c>
      <c r="BI268" s="294">
        <v>25.486999999999998</v>
      </c>
      <c r="BJ268" s="291">
        <f t="shared" si="104"/>
        <v>2.5625461814855317</v>
      </c>
      <c r="BK268" s="294">
        <f>1.75+0.25</f>
        <v>2</v>
      </c>
      <c r="BL268" s="341"/>
      <c r="BM268" s="341"/>
      <c r="BN268" s="39" t="s">
        <v>64</v>
      </c>
      <c r="BO268" s="32">
        <v>1</v>
      </c>
      <c r="BP268" s="32">
        <v>9</v>
      </c>
      <c r="BQ268" s="32">
        <v>1</v>
      </c>
      <c r="BR268" s="32">
        <f t="shared" si="105"/>
        <v>9</v>
      </c>
      <c r="BS268" s="32">
        <f t="shared" si="106"/>
        <v>68</v>
      </c>
      <c r="BT268" s="32" t="s">
        <v>62</v>
      </c>
      <c r="BU268" s="32" t="s">
        <v>67</v>
      </c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s="56" customFormat="1" ht="30" x14ac:dyDescent="0.25">
      <c r="A269" s="57">
        <v>42264</v>
      </c>
      <c r="B269" s="350" t="s">
        <v>14</v>
      </c>
      <c r="C269" s="100" t="s">
        <v>1109</v>
      </c>
      <c r="D269" s="52" t="s">
        <v>73</v>
      </c>
      <c r="E269" s="45" t="s">
        <v>1110</v>
      </c>
      <c r="F269" s="36" t="s">
        <v>3490</v>
      </c>
      <c r="G269" s="188" t="s">
        <v>2051</v>
      </c>
      <c r="H269" s="37" t="s">
        <v>1112</v>
      </c>
      <c r="I269" s="37"/>
      <c r="J269" s="37"/>
      <c r="K269" s="29"/>
      <c r="L269" s="30"/>
      <c r="M269" s="80"/>
      <c r="N269" s="80"/>
      <c r="O269" s="80"/>
      <c r="P269" s="80"/>
      <c r="Q269" s="80"/>
      <c r="R269" s="80"/>
      <c r="S269" s="80"/>
      <c r="T269" s="80"/>
      <c r="U269" s="29" t="s">
        <v>1113</v>
      </c>
      <c r="V269" s="41"/>
      <c r="W269" s="29"/>
      <c r="X269" s="41"/>
      <c r="Y269" s="29"/>
      <c r="Z269" s="41"/>
      <c r="AA269" s="29"/>
      <c r="AB269" s="96"/>
      <c r="AC269" s="37"/>
      <c r="AD269" s="37"/>
      <c r="AE269" s="37"/>
      <c r="AF269" s="37"/>
      <c r="AG269" s="37"/>
      <c r="AH269" s="37"/>
      <c r="AI269" s="37"/>
      <c r="AJ269" s="37"/>
      <c r="AK269" s="28"/>
      <c r="AL269" s="37"/>
      <c r="AM269" s="37"/>
      <c r="AN269" s="37"/>
      <c r="AO269" s="37"/>
      <c r="AP269" s="37"/>
      <c r="AQ269" s="29" t="s">
        <v>1114</v>
      </c>
      <c r="AR269" s="38">
        <v>26.31</v>
      </c>
      <c r="AS269" s="27">
        <f t="shared" si="103"/>
        <v>59.256756756756751</v>
      </c>
      <c r="AT269" s="31" t="s">
        <v>1115</v>
      </c>
      <c r="AU269" s="31" t="s">
        <v>1116</v>
      </c>
      <c r="AV269" s="31"/>
      <c r="AW269" s="31"/>
      <c r="AX269" s="31"/>
      <c r="AY269" s="31"/>
      <c r="AZ269" s="31"/>
      <c r="BA269" s="31"/>
      <c r="BB269" s="293">
        <v>3.4224999999999999</v>
      </c>
      <c r="BC269" s="293">
        <v>3.4224999999999999</v>
      </c>
      <c r="BD269" s="293">
        <v>5.9074999999999998</v>
      </c>
      <c r="BE269" s="291">
        <f t="shared" ref="BE269" si="107">(BD269*BC269*BB269)/1728</f>
        <v>4.0044871627242476E-2</v>
      </c>
      <c r="BF269" s="293">
        <v>0.95</v>
      </c>
      <c r="BG269" s="294">
        <v>13.055999999999999</v>
      </c>
      <c r="BH269" s="294">
        <v>9.9309999999999992</v>
      </c>
      <c r="BI269" s="294">
        <v>5.7995000000000001</v>
      </c>
      <c r="BJ269" s="291">
        <f t="shared" si="104"/>
        <v>0.43516097177777774</v>
      </c>
      <c r="BK269" s="294">
        <f>BO269*BF269+0.25</f>
        <v>11.649999999999999</v>
      </c>
      <c r="BL269" s="341"/>
      <c r="BM269" s="341"/>
      <c r="BN269" s="39" t="s">
        <v>64</v>
      </c>
      <c r="BO269" s="32">
        <v>12</v>
      </c>
      <c r="BP269" s="32">
        <v>14</v>
      </c>
      <c r="BQ269" s="32">
        <v>7</v>
      </c>
      <c r="BR269" s="32">
        <f t="shared" si="105"/>
        <v>1176</v>
      </c>
      <c r="BS269" s="32">
        <f t="shared" si="106"/>
        <v>1191.6999999999998</v>
      </c>
      <c r="BT269" s="32" t="s">
        <v>62</v>
      </c>
      <c r="BU269" s="32" t="s">
        <v>67</v>
      </c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s="56" customFormat="1" ht="30" x14ac:dyDescent="0.25">
      <c r="A270" s="57">
        <v>42264</v>
      </c>
      <c r="B270" s="350" t="s">
        <v>14</v>
      </c>
      <c r="C270" s="37" t="s">
        <v>1117</v>
      </c>
      <c r="D270" s="52" t="s">
        <v>73</v>
      </c>
      <c r="E270" s="101" t="s">
        <v>90</v>
      </c>
      <c r="F270" s="102" t="s">
        <v>3491</v>
      </c>
      <c r="G270" s="188" t="s">
        <v>2051</v>
      </c>
      <c r="H270" s="37" t="s">
        <v>1118</v>
      </c>
      <c r="I270" s="37"/>
      <c r="J270" s="37"/>
      <c r="K270" s="29"/>
      <c r="L270" s="30"/>
      <c r="M270" s="91"/>
      <c r="N270" s="91"/>
      <c r="O270" s="91"/>
      <c r="P270" s="91"/>
      <c r="Q270" s="91"/>
      <c r="R270" s="91"/>
      <c r="S270" s="91"/>
      <c r="T270" s="91"/>
      <c r="U270" s="29" t="s">
        <v>1119</v>
      </c>
      <c r="V270" s="41"/>
      <c r="W270" s="29">
        <v>85435</v>
      </c>
      <c r="X270" s="41"/>
      <c r="Y270" s="29" t="s">
        <v>1120</v>
      </c>
      <c r="Z270" s="41"/>
      <c r="AA270" s="29"/>
      <c r="AB270" s="29" t="s">
        <v>1121</v>
      </c>
      <c r="AC270" s="37" t="s">
        <v>1122</v>
      </c>
      <c r="AD270" s="37"/>
      <c r="AE270" s="37"/>
      <c r="AF270" s="37"/>
      <c r="AG270" s="37"/>
      <c r="AH270" s="37"/>
      <c r="AI270" s="37"/>
      <c r="AJ270" s="37"/>
      <c r="AK270" s="28">
        <v>1435</v>
      </c>
      <c r="AL270" s="37"/>
      <c r="AM270" s="37"/>
      <c r="AN270" s="37"/>
      <c r="AO270" s="37"/>
      <c r="AP270" s="37"/>
      <c r="AQ270" s="29" t="s">
        <v>1123</v>
      </c>
      <c r="AR270" s="38">
        <v>26.68</v>
      </c>
      <c r="AS270" s="27">
        <f>AR270/0.444</f>
        <v>60.090090090090087</v>
      </c>
      <c r="AT270" s="75" t="s">
        <v>1124</v>
      </c>
      <c r="AU270" s="75" t="s">
        <v>1125</v>
      </c>
      <c r="AV270" s="75"/>
      <c r="AW270" s="75"/>
      <c r="AX270" s="75"/>
      <c r="AY270" s="75"/>
      <c r="AZ270" s="75"/>
      <c r="BA270" s="75"/>
      <c r="BB270" s="297">
        <v>3.4224999999999999</v>
      </c>
      <c r="BC270" s="297">
        <v>3.423</v>
      </c>
      <c r="BD270" s="297">
        <v>5.9074999999999998</v>
      </c>
      <c r="BE270" s="103">
        <f>(BD270*BC270*BB270)/1728</f>
        <v>4.0050721864149305E-2</v>
      </c>
      <c r="BF270" s="297">
        <v>0.9</v>
      </c>
      <c r="BG270" s="297">
        <v>12.875</v>
      </c>
      <c r="BH270" s="297">
        <v>9.75</v>
      </c>
      <c r="BI270" s="297">
        <v>5.4375</v>
      </c>
      <c r="BJ270" s="103">
        <f t="shared" si="104"/>
        <v>0.39500935872395831</v>
      </c>
      <c r="BK270" s="297">
        <f>BF270*BO270+0.25</f>
        <v>11.05</v>
      </c>
      <c r="BL270" s="343"/>
      <c r="BM270" s="343"/>
      <c r="BN270" s="104" t="s">
        <v>64</v>
      </c>
      <c r="BO270" s="105">
        <v>12</v>
      </c>
      <c r="BP270" s="105">
        <v>14</v>
      </c>
      <c r="BQ270" s="105">
        <v>6</v>
      </c>
      <c r="BR270" s="105">
        <f t="shared" si="105"/>
        <v>1008</v>
      </c>
      <c r="BS270" s="105">
        <f t="shared" si="106"/>
        <v>978.2</v>
      </c>
      <c r="BT270" s="106" t="s">
        <v>62</v>
      </c>
      <c r="BU270" s="105" t="s">
        <v>67</v>
      </c>
      <c r="BV270" s="92"/>
      <c r="BW270" s="92"/>
      <c r="BX270" s="92"/>
      <c r="BY270" s="15"/>
      <c r="BZ270" s="15"/>
      <c r="CA270" s="15"/>
      <c r="CB270" s="15"/>
      <c r="CC270" s="15"/>
      <c r="CD270" s="15"/>
      <c r="CE270" s="15"/>
      <c r="CF270" s="15"/>
    </row>
    <row r="271" spans="1:84" s="56" customFormat="1" ht="30" x14ac:dyDescent="0.25">
      <c r="A271" s="57">
        <v>42264</v>
      </c>
      <c r="B271" s="350" t="s">
        <v>14</v>
      </c>
      <c r="C271" s="107" t="s">
        <v>1126</v>
      </c>
      <c r="D271" s="52" t="s">
        <v>73</v>
      </c>
      <c r="E271" s="101" t="s">
        <v>90</v>
      </c>
      <c r="F271" s="102" t="s">
        <v>3492</v>
      </c>
      <c r="G271" s="188" t="s">
        <v>2051</v>
      </c>
      <c r="H271" s="37" t="s">
        <v>1127</v>
      </c>
      <c r="I271" s="37"/>
      <c r="J271" s="37"/>
      <c r="K271" s="29"/>
      <c r="L271" s="30"/>
      <c r="M271" s="91"/>
      <c r="N271" s="91"/>
      <c r="O271" s="91"/>
      <c r="P271" s="91"/>
      <c r="Q271" s="91"/>
      <c r="R271" s="91"/>
      <c r="S271" s="91"/>
      <c r="T271" s="91"/>
      <c r="U271" s="29" t="s">
        <v>1128</v>
      </c>
      <c r="V271" s="41"/>
      <c r="W271" s="29"/>
      <c r="X271" s="41"/>
      <c r="Y271" s="29" t="s">
        <v>1129</v>
      </c>
      <c r="Z271" s="41"/>
      <c r="AA271" s="29"/>
      <c r="AB271" s="29"/>
      <c r="AC271" s="37"/>
      <c r="AD271" s="37"/>
      <c r="AE271" s="37"/>
      <c r="AF271" s="37"/>
      <c r="AG271" s="37"/>
      <c r="AH271" s="37"/>
      <c r="AI271" s="37"/>
      <c r="AJ271" s="37"/>
      <c r="AK271" s="28"/>
      <c r="AL271" s="37"/>
      <c r="AM271" s="37"/>
      <c r="AN271" s="37"/>
      <c r="AO271" s="37"/>
      <c r="AP271" s="37"/>
      <c r="AQ271" s="29">
        <v>57163</v>
      </c>
      <c r="AR271" s="28">
        <v>113.17</v>
      </c>
      <c r="AS271" s="27">
        <f>AR271/0.444</f>
        <v>254.88738738738738</v>
      </c>
      <c r="AT271" s="75" t="s">
        <v>1130</v>
      </c>
      <c r="AU271" s="75" t="s">
        <v>1131</v>
      </c>
      <c r="AV271" s="75"/>
      <c r="AW271" s="75"/>
      <c r="AX271" s="75"/>
      <c r="AY271" s="75"/>
      <c r="AZ271" s="75"/>
      <c r="BA271" s="75"/>
      <c r="BB271" s="297">
        <v>5.0270000000000001</v>
      </c>
      <c r="BC271" s="297">
        <v>5.0629999999999997</v>
      </c>
      <c r="BD271" s="297">
        <v>14.5</v>
      </c>
      <c r="BE271" s="103">
        <f t="shared" ref="BE271" si="108">(BD271*BC271*BB271)/1728</f>
        <v>0.21357040769675925</v>
      </c>
      <c r="BF271" s="297">
        <v>5.2</v>
      </c>
      <c r="BG271" s="297">
        <v>16.493500000000001</v>
      </c>
      <c r="BH271" s="297">
        <v>11.118499999999999</v>
      </c>
      <c r="BI271" s="297">
        <v>15.612</v>
      </c>
      <c r="BJ271" s="103">
        <f t="shared" si="104"/>
        <v>1.6568142823246528</v>
      </c>
      <c r="BK271" s="297">
        <f>BO271*BF271+0.25</f>
        <v>31.450000000000003</v>
      </c>
      <c r="BL271" s="343"/>
      <c r="BM271" s="343"/>
      <c r="BN271" s="104" t="s">
        <v>64</v>
      </c>
      <c r="BO271" s="105">
        <v>6</v>
      </c>
      <c r="BP271" s="105">
        <v>9</v>
      </c>
      <c r="BQ271" s="105">
        <v>2</v>
      </c>
      <c r="BR271" s="105">
        <f t="shared" si="105"/>
        <v>108</v>
      </c>
      <c r="BS271" s="105">
        <f t="shared" si="106"/>
        <v>616.1</v>
      </c>
      <c r="BT271" s="105" t="s">
        <v>62</v>
      </c>
      <c r="BU271" s="105" t="s">
        <v>67</v>
      </c>
      <c r="BV271" s="92"/>
      <c r="BW271" s="92"/>
      <c r="BX271" s="92"/>
      <c r="BY271" s="15"/>
      <c r="BZ271" s="15"/>
      <c r="CA271" s="15"/>
      <c r="CB271" s="15"/>
      <c r="CC271" s="15"/>
      <c r="CD271" s="15"/>
      <c r="CE271" s="15"/>
      <c r="CF271" s="15"/>
    </row>
    <row r="272" spans="1:84" s="56" customFormat="1" x14ac:dyDescent="0.25">
      <c r="A272" s="57">
        <v>42264</v>
      </c>
      <c r="B272" s="350" t="s">
        <v>14</v>
      </c>
      <c r="C272" s="107" t="s">
        <v>1132</v>
      </c>
      <c r="D272" s="52" t="s">
        <v>73</v>
      </c>
      <c r="E272" s="107" t="s">
        <v>86</v>
      </c>
      <c r="F272" s="102" t="s">
        <v>3493</v>
      </c>
      <c r="G272" s="188" t="s">
        <v>2051</v>
      </c>
      <c r="H272" s="37">
        <v>4771302</v>
      </c>
      <c r="I272" s="37"/>
      <c r="J272" s="37"/>
      <c r="K272" s="29"/>
      <c r="L272" s="30"/>
      <c r="M272" s="91"/>
      <c r="N272" s="91"/>
      <c r="O272" s="91"/>
      <c r="P272" s="91"/>
      <c r="Q272" s="91"/>
      <c r="R272" s="91"/>
      <c r="S272" s="91"/>
      <c r="T272" s="91"/>
      <c r="U272" s="41" t="s">
        <v>1133</v>
      </c>
      <c r="V272" s="41"/>
      <c r="W272" s="29"/>
      <c r="X272" s="41"/>
      <c r="Y272" s="29"/>
      <c r="Z272" s="41"/>
      <c r="AA272" s="29"/>
      <c r="AB272" s="96"/>
      <c r="AC272" s="37"/>
      <c r="AD272" s="37"/>
      <c r="AE272" s="37"/>
      <c r="AF272" s="37"/>
      <c r="AG272" s="37"/>
      <c r="AH272" s="37"/>
      <c r="AI272" s="37"/>
      <c r="AJ272" s="37"/>
      <c r="AK272" s="28"/>
      <c r="AL272" s="37"/>
      <c r="AM272" s="37"/>
      <c r="AN272" s="37"/>
      <c r="AO272" s="37"/>
      <c r="AP272" s="37"/>
      <c r="AQ272" s="37">
        <v>33683</v>
      </c>
      <c r="AR272" s="38">
        <v>75.989999999999995</v>
      </c>
      <c r="AS272" s="27">
        <f t="shared" ref="AS272:AS276" si="109">AR272/0.444</f>
        <v>171.14864864864865</v>
      </c>
      <c r="AT272" s="75" t="s">
        <v>1134</v>
      </c>
      <c r="AU272" s="75" t="s">
        <v>1135</v>
      </c>
      <c r="AV272" s="75"/>
      <c r="AW272" s="75"/>
      <c r="AX272" s="75"/>
      <c r="AY272" s="75"/>
      <c r="AZ272" s="75"/>
      <c r="BA272" s="75"/>
      <c r="BB272" s="297">
        <v>4.6875</v>
      </c>
      <c r="BC272" s="297">
        <v>4.6875</v>
      </c>
      <c r="BD272" s="297">
        <v>9.5</v>
      </c>
      <c r="BE272" s="103">
        <f>(BD272*BC272*BB272)/1728</f>
        <v>0.12079874674479167</v>
      </c>
      <c r="BF272" s="297">
        <f>2.92+0.1</f>
        <v>3.02</v>
      </c>
      <c r="BG272" s="297">
        <v>14.805999999999999</v>
      </c>
      <c r="BH272" s="297">
        <v>10.055999999999999</v>
      </c>
      <c r="BI272" s="297">
        <v>10.362</v>
      </c>
      <c r="BJ272" s="103">
        <f t="shared" si="104"/>
        <v>0.89281783983333318</v>
      </c>
      <c r="BK272" s="297">
        <f>BF272*BO272+0.25</f>
        <v>18.37</v>
      </c>
      <c r="BL272" s="343"/>
      <c r="BM272" s="343"/>
      <c r="BN272" s="104"/>
      <c r="BO272" s="105">
        <v>6</v>
      </c>
      <c r="BP272" s="105">
        <v>12</v>
      </c>
      <c r="BQ272" s="105">
        <v>4</v>
      </c>
      <c r="BR272" s="105">
        <f t="shared" si="105"/>
        <v>288</v>
      </c>
      <c r="BS272" s="105">
        <f t="shared" si="106"/>
        <v>931.76</v>
      </c>
      <c r="BT272" s="106" t="s">
        <v>69</v>
      </c>
      <c r="BU272" s="105" t="s">
        <v>67</v>
      </c>
      <c r="BV272" s="92"/>
      <c r="BW272" s="92"/>
      <c r="BX272" s="92"/>
      <c r="BY272" s="15"/>
      <c r="BZ272" s="15"/>
      <c r="CA272" s="15"/>
      <c r="CB272" s="15"/>
      <c r="CC272" s="15"/>
      <c r="CD272" s="15"/>
      <c r="CE272" s="15"/>
      <c r="CF272" s="15"/>
    </row>
    <row r="273" spans="1:84" s="56" customFormat="1" ht="30" x14ac:dyDescent="0.25">
      <c r="A273" s="57">
        <v>42264</v>
      </c>
      <c r="B273" s="350" t="s">
        <v>14</v>
      </c>
      <c r="C273" s="107" t="s">
        <v>1136</v>
      </c>
      <c r="D273" s="52" t="s">
        <v>73</v>
      </c>
      <c r="E273" s="107" t="s">
        <v>86</v>
      </c>
      <c r="F273" s="107" t="s">
        <v>3494</v>
      </c>
      <c r="G273" s="188" t="s">
        <v>2051</v>
      </c>
      <c r="H273" s="37">
        <v>87803182</v>
      </c>
      <c r="I273" s="37" t="s">
        <v>1040</v>
      </c>
      <c r="J273" s="37">
        <v>2830359</v>
      </c>
      <c r="K273" s="29" t="s">
        <v>63</v>
      </c>
      <c r="L273" s="30">
        <v>87803180</v>
      </c>
      <c r="M273" s="91"/>
      <c r="N273" s="91"/>
      <c r="O273" s="91"/>
      <c r="P273" s="91"/>
      <c r="Q273" s="91"/>
      <c r="R273" s="91"/>
      <c r="S273" s="91"/>
      <c r="T273" s="91"/>
      <c r="U273" s="29" t="s">
        <v>1137</v>
      </c>
      <c r="V273" s="41"/>
      <c r="W273" s="29"/>
      <c r="X273" s="41"/>
      <c r="Y273" s="29"/>
      <c r="Z273" s="41"/>
      <c r="AA273" s="29" t="s">
        <v>1138</v>
      </c>
      <c r="AB273" s="96"/>
      <c r="AC273" s="37"/>
      <c r="AD273" s="37"/>
      <c r="AE273" s="37"/>
      <c r="AF273" s="37"/>
      <c r="AG273" s="37"/>
      <c r="AH273" s="37"/>
      <c r="AI273" s="37"/>
      <c r="AJ273" s="37"/>
      <c r="AK273" s="28"/>
      <c r="AL273" s="37"/>
      <c r="AM273" s="37"/>
      <c r="AN273" s="37"/>
      <c r="AO273" s="37"/>
      <c r="AP273" s="37"/>
      <c r="AQ273" s="37"/>
      <c r="AR273" s="38">
        <v>22.5</v>
      </c>
      <c r="AS273" s="27">
        <f t="shared" si="109"/>
        <v>50.675675675675677</v>
      </c>
      <c r="AT273" s="74" t="s">
        <v>1139</v>
      </c>
      <c r="AU273" s="74" t="s">
        <v>1140</v>
      </c>
      <c r="AV273" s="74"/>
      <c r="AW273" s="74"/>
      <c r="AX273" s="74"/>
      <c r="AY273" s="74"/>
      <c r="AZ273" s="74"/>
      <c r="BA273" s="74"/>
      <c r="BB273" s="297">
        <v>3.875</v>
      </c>
      <c r="BC273" s="297">
        <v>3.875</v>
      </c>
      <c r="BD273" s="297">
        <v>7.25</v>
      </c>
      <c r="BE273" s="103">
        <f>(BD273*BC273*BB273)/1728</f>
        <v>6.2999584056712965E-2</v>
      </c>
      <c r="BF273" s="297">
        <v>1.6</v>
      </c>
      <c r="BG273" s="297">
        <v>15.805999999999999</v>
      </c>
      <c r="BH273" s="297">
        <v>11.805999999999999</v>
      </c>
      <c r="BI273" s="297">
        <v>8.1120000000000001</v>
      </c>
      <c r="BJ273" s="103">
        <f t="shared" si="104"/>
        <v>0.87600979122222211</v>
      </c>
      <c r="BK273" s="297">
        <f>BF273*BO273+0.25</f>
        <v>19.450000000000003</v>
      </c>
      <c r="BL273" s="343"/>
      <c r="BM273" s="343"/>
      <c r="BN273" s="104" t="s">
        <v>64</v>
      </c>
      <c r="BO273" s="105">
        <v>12</v>
      </c>
      <c r="BP273" s="105">
        <v>10</v>
      </c>
      <c r="BQ273" s="105">
        <v>5</v>
      </c>
      <c r="BR273" s="105">
        <f t="shared" si="105"/>
        <v>600</v>
      </c>
      <c r="BS273" s="105">
        <f t="shared" si="106"/>
        <v>1022.5000000000001</v>
      </c>
      <c r="BT273" s="105" t="s">
        <v>62</v>
      </c>
      <c r="BU273" s="105" t="s">
        <v>67</v>
      </c>
      <c r="BV273" s="92"/>
      <c r="BW273" s="92"/>
      <c r="BX273" s="92"/>
      <c r="BY273" s="15"/>
      <c r="BZ273" s="15"/>
      <c r="CA273" s="15"/>
      <c r="CB273" s="15"/>
      <c r="CC273" s="15"/>
      <c r="CD273" s="15"/>
      <c r="CE273" s="15"/>
      <c r="CF273" s="15"/>
    </row>
    <row r="274" spans="1:84" s="56" customFormat="1" ht="30" x14ac:dyDescent="0.25">
      <c r="A274" s="57">
        <v>42264</v>
      </c>
      <c r="B274" s="350" t="s">
        <v>14</v>
      </c>
      <c r="C274" s="108" t="s">
        <v>1141</v>
      </c>
      <c r="D274" s="52" t="s">
        <v>73</v>
      </c>
      <c r="E274" s="108" t="s">
        <v>84</v>
      </c>
      <c r="F274" s="96" t="s">
        <v>3495</v>
      </c>
      <c r="G274" s="188" t="s">
        <v>2051</v>
      </c>
      <c r="H274" s="37" t="s">
        <v>1142</v>
      </c>
      <c r="I274" s="37"/>
      <c r="J274" s="37"/>
      <c r="K274" s="29"/>
      <c r="L274" s="30"/>
      <c r="M274" s="91"/>
      <c r="N274" s="91"/>
      <c r="O274" s="91"/>
      <c r="P274" s="91"/>
      <c r="Q274" s="91"/>
      <c r="R274" s="91"/>
      <c r="S274" s="91"/>
      <c r="T274" s="91"/>
      <c r="U274" s="29" t="s">
        <v>1143</v>
      </c>
      <c r="V274" s="41"/>
      <c r="W274" s="29"/>
      <c r="X274" s="41"/>
      <c r="Y274" s="29"/>
      <c r="Z274" s="41"/>
      <c r="AA274" s="29" t="s">
        <v>1144</v>
      </c>
      <c r="AB274" s="96"/>
      <c r="AC274" s="37"/>
      <c r="AD274" s="37"/>
      <c r="AE274" s="37"/>
      <c r="AF274" s="37"/>
      <c r="AG274" s="37"/>
      <c r="AH274" s="37"/>
      <c r="AI274" s="37"/>
      <c r="AJ274" s="37"/>
      <c r="AK274" s="28"/>
      <c r="AL274" s="37"/>
      <c r="AM274" s="37"/>
      <c r="AN274" s="37"/>
      <c r="AO274" s="37"/>
      <c r="AP274" s="37"/>
      <c r="AQ274" s="29" t="s">
        <v>1145</v>
      </c>
      <c r="AR274" s="38">
        <v>47.42</v>
      </c>
      <c r="AS274" s="27">
        <f t="shared" si="109"/>
        <v>106.8018018018018</v>
      </c>
      <c r="AT274" s="74" t="s">
        <v>1146</v>
      </c>
      <c r="AU274" s="74" t="s">
        <v>1147</v>
      </c>
      <c r="AV274" s="74"/>
      <c r="AW274" s="74"/>
      <c r="AX274" s="74"/>
      <c r="AY274" s="74"/>
      <c r="AZ274" s="74"/>
      <c r="BA274" s="74"/>
      <c r="BB274" s="297">
        <v>5.1875</v>
      </c>
      <c r="BC274" s="297">
        <v>5.1875</v>
      </c>
      <c r="BD274" s="297">
        <v>14.75</v>
      </c>
      <c r="BE274" s="103">
        <f>(BD274*BC274*BB274)/1728</f>
        <v>0.22970185456452547</v>
      </c>
      <c r="BF274" s="297">
        <v>4.83</v>
      </c>
      <c r="BG274" s="297">
        <v>16.493500000000001</v>
      </c>
      <c r="BH274" s="297">
        <v>11.118499999999999</v>
      </c>
      <c r="BI274" s="297">
        <v>15.612</v>
      </c>
      <c r="BJ274" s="103">
        <f t="shared" si="104"/>
        <v>1.6568142823246528</v>
      </c>
      <c r="BK274" s="297">
        <f>BF274*BO274+0.4</f>
        <v>29.38</v>
      </c>
      <c r="BL274" s="343"/>
      <c r="BM274" s="343"/>
      <c r="BN274" s="104" t="s">
        <v>64</v>
      </c>
      <c r="BO274" s="105">
        <v>6</v>
      </c>
      <c r="BP274" s="105">
        <v>9</v>
      </c>
      <c r="BQ274" s="105">
        <v>2</v>
      </c>
      <c r="BR274" s="105">
        <f t="shared" si="105"/>
        <v>108</v>
      </c>
      <c r="BS274" s="105">
        <f t="shared" si="106"/>
        <v>578.84</v>
      </c>
      <c r="BT274" s="105" t="s">
        <v>62</v>
      </c>
      <c r="BU274" s="105" t="s">
        <v>67</v>
      </c>
      <c r="BV274" s="92"/>
      <c r="BW274" s="92"/>
      <c r="BX274" s="92"/>
      <c r="BY274" s="15"/>
      <c r="BZ274" s="15"/>
      <c r="CA274" s="15"/>
      <c r="CB274" s="15"/>
      <c r="CC274" s="15"/>
      <c r="CD274" s="15"/>
      <c r="CE274" s="15"/>
      <c r="CF274" s="15"/>
    </row>
    <row r="275" spans="1:84" s="56" customFormat="1" x14ac:dyDescent="0.25">
      <c r="A275" s="57">
        <v>42264</v>
      </c>
      <c r="B275" s="350" t="s">
        <v>14</v>
      </c>
      <c r="C275" s="107" t="s">
        <v>1148</v>
      </c>
      <c r="D275" s="52" t="s">
        <v>73</v>
      </c>
      <c r="E275" s="107" t="s">
        <v>86</v>
      </c>
      <c r="F275" s="38" t="s">
        <v>3496</v>
      </c>
      <c r="G275" s="188" t="s">
        <v>2051</v>
      </c>
      <c r="H275" s="37">
        <v>3685306</v>
      </c>
      <c r="I275" s="37"/>
      <c r="J275" s="37"/>
      <c r="K275" s="29"/>
      <c r="L275" s="30"/>
      <c r="M275" s="91"/>
      <c r="N275" s="91"/>
      <c r="O275" s="91"/>
      <c r="P275" s="91"/>
      <c r="Q275" s="91"/>
      <c r="R275" s="91"/>
      <c r="S275" s="91"/>
      <c r="T275" s="91"/>
      <c r="U275" s="29" t="s">
        <v>1149</v>
      </c>
      <c r="V275" s="41"/>
      <c r="W275" s="29"/>
      <c r="X275" s="41"/>
      <c r="Y275" s="29" t="s">
        <v>1150</v>
      </c>
      <c r="Z275" s="41"/>
      <c r="AA275" s="29" t="s">
        <v>1151</v>
      </c>
      <c r="AB275" s="96"/>
      <c r="AC275" s="37"/>
      <c r="AD275" s="37"/>
      <c r="AE275" s="37"/>
      <c r="AF275" s="37"/>
      <c r="AG275" s="37"/>
      <c r="AH275" s="37"/>
      <c r="AI275" s="37"/>
      <c r="AJ275" s="37"/>
      <c r="AK275" s="28"/>
      <c r="AL275" s="37"/>
      <c r="AM275" s="37"/>
      <c r="AN275" s="37"/>
      <c r="AO275" s="37"/>
      <c r="AP275" s="37"/>
      <c r="AQ275" s="29" t="s">
        <v>1152</v>
      </c>
      <c r="AR275" s="38">
        <v>67.849999999999994</v>
      </c>
      <c r="AS275" s="27">
        <f t="shared" si="109"/>
        <v>152.8153153153153</v>
      </c>
      <c r="AT275" s="75" t="s">
        <v>1153</v>
      </c>
      <c r="AU275" s="75" t="s">
        <v>1154</v>
      </c>
      <c r="AV275" s="75"/>
      <c r="AW275" s="75"/>
      <c r="AX275" s="75"/>
      <c r="AY275" s="75"/>
      <c r="AZ275" s="75"/>
      <c r="BA275" s="75"/>
      <c r="BB275" s="436" t="s">
        <v>1024</v>
      </c>
      <c r="BC275" s="436"/>
      <c r="BD275" s="436"/>
      <c r="BE275" s="436"/>
      <c r="BF275" s="436"/>
      <c r="BG275" s="297">
        <v>15.055999999999999</v>
      </c>
      <c r="BH275" s="297">
        <v>10.305999999999999</v>
      </c>
      <c r="BI275" s="297">
        <v>13.362</v>
      </c>
      <c r="BJ275" s="103">
        <f t="shared" si="104"/>
        <v>1.199851430111111</v>
      </c>
      <c r="BK275" s="297">
        <v>32.247999999999998</v>
      </c>
      <c r="BL275" s="343"/>
      <c r="BM275" s="343"/>
      <c r="BN275" s="28" t="s">
        <v>64</v>
      </c>
      <c r="BO275" s="105">
        <v>6</v>
      </c>
      <c r="BP275" s="105">
        <v>10</v>
      </c>
      <c r="BQ275" s="105">
        <v>3</v>
      </c>
      <c r="BR275" s="105">
        <f t="shared" si="105"/>
        <v>180</v>
      </c>
      <c r="BS275" s="105">
        <f>(BJ275*BP275*BQ275)+50</f>
        <v>85.99554290333333</v>
      </c>
      <c r="BT275" s="105" t="s">
        <v>62</v>
      </c>
      <c r="BU275" s="105" t="s">
        <v>67</v>
      </c>
      <c r="BV275" s="92"/>
      <c r="BW275" s="92"/>
      <c r="BX275" s="92"/>
      <c r="BY275" s="15"/>
      <c r="BZ275" s="15"/>
      <c r="CA275" s="15"/>
      <c r="CB275" s="15"/>
      <c r="CC275" s="15"/>
      <c r="CD275" s="15"/>
      <c r="CE275" s="15"/>
      <c r="CF275" s="15"/>
    </row>
    <row r="276" spans="1:84" s="56" customFormat="1" ht="45" x14ac:dyDescent="0.25">
      <c r="A276" s="57">
        <v>42264</v>
      </c>
      <c r="B276" s="350" t="s">
        <v>14</v>
      </c>
      <c r="C276" s="107" t="s">
        <v>1155</v>
      </c>
      <c r="D276" s="52" t="s">
        <v>73</v>
      </c>
      <c r="E276" s="107" t="s">
        <v>86</v>
      </c>
      <c r="F276" s="38" t="s">
        <v>3497</v>
      </c>
      <c r="G276" s="188" t="s">
        <v>2051</v>
      </c>
      <c r="H276" s="37" t="s">
        <v>1156</v>
      </c>
      <c r="I276" s="37"/>
      <c r="J276" s="37"/>
      <c r="K276" s="29"/>
      <c r="L276" s="30"/>
      <c r="M276" s="91"/>
      <c r="N276" s="91"/>
      <c r="O276" s="91"/>
      <c r="P276" s="91"/>
      <c r="Q276" s="91"/>
      <c r="R276" s="91"/>
      <c r="S276" s="91"/>
      <c r="T276" s="91"/>
      <c r="U276" s="41" t="s">
        <v>1157</v>
      </c>
      <c r="V276" s="41"/>
      <c r="W276" s="29"/>
      <c r="X276" s="41"/>
      <c r="Y276" s="29" t="s">
        <v>1158</v>
      </c>
      <c r="Z276" s="41"/>
      <c r="AA276" s="29" t="s">
        <v>1159</v>
      </c>
      <c r="AB276" s="96"/>
      <c r="AC276" s="37"/>
      <c r="AD276" s="37"/>
      <c r="AE276" s="37"/>
      <c r="AF276" s="37"/>
      <c r="AG276" s="37"/>
      <c r="AH276" s="37"/>
      <c r="AI276" s="37"/>
      <c r="AJ276" s="37"/>
      <c r="AK276" s="28"/>
      <c r="AL276" s="37"/>
      <c r="AM276" s="37"/>
      <c r="AN276" s="37"/>
      <c r="AO276" s="37"/>
      <c r="AP276" s="37"/>
      <c r="AQ276" s="37">
        <v>33822</v>
      </c>
      <c r="AR276" s="38">
        <v>62.81</v>
      </c>
      <c r="AS276" s="27">
        <f t="shared" si="109"/>
        <v>141.46396396396398</v>
      </c>
      <c r="AT276" s="75" t="s">
        <v>1160</v>
      </c>
      <c r="AU276" s="75" t="s">
        <v>1161</v>
      </c>
      <c r="AV276" s="75"/>
      <c r="AW276" s="75"/>
      <c r="AX276" s="75"/>
      <c r="AY276" s="75"/>
      <c r="AZ276" s="75"/>
      <c r="BA276" s="75"/>
      <c r="BB276" s="297">
        <v>4.7859999999999996</v>
      </c>
      <c r="BC276" s="297">
        <v>4.7859999999999996</v>
      </c>
      <c r="BD276" s="297">
        <v>10.692</v>
      </c>
      <c r="BE276" s="103">
        <f t="shared" ref="BE276" si="110">(BD276*BC276*BB276)/1728</f>
        <v>0.14172961274999998</v>
      </c>
      <c r="BF276" s="297">
        <v>2.65</v>
      </c>
      <c r="BG276" s="297">
        <v>14.75</v>
      </c>
      <c r="BH276" s="297">
        <v>10</v>
      </c>
      <c r="BI276" s="297">
        <v>12.12</v>
      </c>
      <c r="BJ276" s="103">
        <f t="shared" si="104"/>
        <v>1.0345486111111111</v>
      </c>
      <c r="BK276" s="297">
        <f>BO276*BF276+0.25</f>
        <v>16.149999999999999</v>
      </c>
      <c r="BL276" s="343"/>
      <c r="BM276" s="343"/>
      <c r="BN276" s="104" t="s">
        <v>64</v>
      </c>
      <c r="BO276" s="105">
        <v>6</v>
      </c>
      <c r="BP276" s="105">
        <v>12</v>
      </c>
      <c r="BQ276" s="105">
        <v>3</v>
      </c>
      <c r="BR276" s="105">
        <f t="shared" si="105"/>
        <v>216</v>
      </c>
      <c r="BS276" s="105">
        <f t="shared" ref="BS276:BS291" si="111">(BK276*BP276*BQ276)+50</f>
        <v>631.4</v>
      </c>
      <c r="BT276" s="105" t="s">
        <v>62</v>
      </c>
      <c r="BU276" s="105" t="s">
        <v>67</v>
      </c>
      <c r="BV276" s="92"/>
      <c r="BW276" s="92"/>
      <c r="BX276" s="92"/>
      <c r="BY276" s="15"/>
      <c r="BZ276" s="15"/>
      <c r="CA276" s="15"/>
      <c r="CB276" s="15"/>
      <c r="CC276" s="15"/>
      <c r="CD276" s="15"/>
      <c r="CE276" s="15"/>
      <c r="CF276" s="15"/>
    </row>
    <row r="277" spans="1:84" s="56" customFormat="1" ht="30" x14ac:dyDescent="0.25">
      <c r="A277" s="57">
        <v>42264</v>
      </c>
      <c r="B277" s="350" t="s">
        <v>14</v>
      </c>
      <c r="C277" s="45" t="s">
        <v>1162</v>
      </c>
      <c r="D277" s="52" t="s">
        <v>73</v>
      </c>
      <c r="E277" s="109" t="s">
        <v>1163</v>
      </c>
      <c r="F277" s="45" t="s">
        <v>3498</v>
      </c>
      <c r="G277" s="188" t="s">
        <v>2051</v>
      </c>
      <c r="H277" s="78" t="s">
        <v>1164</v>
      </c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 t="s">
        <v>1165</v>
      </c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 t="s">
        <v>1166</v>
      </c>
      <c r="AR277" s="38">
        <v>53.49</v>
      </c>
      <c r="AS277" s="27">
        <f>AR277/0.444</f>
        <v>120.47297297297298</v>
      </c>
      <c r="AT277" s="40" t="s">
        <v>1167</v>
      </c>
      <c r="AU277" s="40" t="s">
        <v>1168</v>
      </c>
      <c r="AV277" s="40"/>
      <c r="AW277" s="40"/>
      <c r="AX277" s="40"/>
      <c r="AY277" s="40"/>
      <c r="AZ277" s="40"/>
      <c r="BA277" s="40"/>
      <c r="BB277" s="432" t="s">
        <v>1024</v>
      </c>
      <c r="BC277" s="432"/>
      <c r="BD277" s="432"/>
      <c r="BE277" s="432"/>
      <c r="BF277" s="432"/>
      <c r="BG277" s="294">
        <v>15.055999999999999</v>
      </c>
      <c r="BH277" s="294">
        <v>10.305999999999999</v>
      </c>
      <c r="BI277" s="294">
        <v>13.362</v>
      </c>
      <c r="BJ277" s="291">
        <f t="shared" si="104"/>
        <v>1.199851430111111</v>
      </c>
      <c r="BK277" s="294">
        <f>2.4*6+0.4</f>
        <v>14.799999999999999</v>
      </c>
      <c r="BL277" s="341"/>
      <c r="BM277" s="341"/>
      <c r="BN277" s="39"/>
      <c r="BO277" s="32">
        <v>6</v>
      </c>
      <c r="BP277" s="32">
        <v>10</v>
      </c>
      <c r="BQ277" s="32">
        <v>3</v>
      </c>
      <c r="BR277" s="32">
        <f t="shared" si="105"/>
        <v>180</v>
      </c>
      <c r="BS277" s="32">
        <f t="shared" si="111"/>
        <v>494</v>
      </c>
      <c r="BT277" s="32" t="s">
        <v>62</v>
      </c>
      <c r="BU277" s="32" t="s">
        <v>67</v>
      </c>
      <c r="BV277" s="92"/>
      <c r="BW277" s="92"/>
      <c r="BX277" s="92"/>
      <c r="BY277" s="15"/>
      <c r="BZ277" s="15"/>
      <c r="CA277" s="15"/>
      <c r="CB277" s="15"/>
      <c r="CC277" s="15"/>
      <c r="CD277" s="15"/>
      <c r="CE277" s="15"/>
      <c r="CF277" s="15"/>
    </row>
    <row r="278" spans="1:84" s="56" customFormat="1" x14ac:dyDescent="0.25">
      <c r="A278" s="57">
        <v>42264</v>
      </c>
      <c r="B278" s="350" t="s">
        <v>14</v>
      </c>
      <c r="C278" s="45" t="s">
        <v>1169</v>
      </c>
      <c r="D278" s="52" t="s">
        <v>73</v>
      </c>
      <c r="E278" s="45" t="s">
        <v>85</v>
      </c>
      <c r="F278" s="36" t="s">
        <v>3499</v>
      </c>
      <c r="G278" s="188" t="s">
        <v>2051</v>
      </c>
      <c r="H278" s="78" t="s">
        <v>1170</v>
      </c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 t="s">
        <v>1171</v>
      </c>
      <c r="V278" s="78"/>
      <c r="W278" s="78"/>
      <c r="X278" s="78"/>
      <c r="Y278" s="78" t="s">
        <v>1172</v>
      </c>
      <c r="Z278" s="78"/>
      <c r="AA278" s="78" t="s">
        <v>1173</v>
      </c>
      <c r="AB278" s="78" t="s">
        <v>1174</v>
      </c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38">
        <v>33.840000000000003</v>
      </c>
      <c r="AS278" s="27">
        <f>AR278/0.444</f>
        <v>76.216216216216225</v>
      </c>
      <c r="AT278" s="40" t="s">
        <v>1175</v>
      </c>
      <c r="AU278" s="40" t="s">
        <v>1176</v>
      </c>
      <c r="AV278" s="40"/>
      <c r="AW278" s="40"/>
      <c r="AX278" s="40"/>
      <c r="AY278" s="40"/>
      <c r="AZ278" s="40"/>
      <c r="BA278" s="40"/>
      <c r="BB278" s="434" t="s">
        <v>80</v>
      </c>
      <c r="BC278" s="434"/>
      <c r="BD278" s="434"/>
      <c r="BE278" s="434"/>
      <c r="BF278" s="434"/>
      <c r="BG278" s="294">
        <v>6.806</v>
      </c>
      <c r="BH278" s="294">
        <v>6.806</v>
      </c>
      <c r="BI278" s="294">
        <v>6.1120000000000001</v>
      </c>
      <c r="BJ278" s="291">
        <f t="shared" si="104"/>
        <v>0.16384134214814813</v>
      </c>
      <c r="BK278" s="294">
        <f>1.5+0.25</f>
        <v>1.75</v>
      </c>
      <c r="BL278" s="341"/>
      <c r="BM278" s="341"/>
      <c r="BN278" s="39"/>
      <c r="BO278" s="32">
        <v>1</v>
      </c>
      <c r="BP278" s="32">
        <v>35</v>
      </c>
      <c r="BQ278" s="32">
        <v>7</v>
      </c>
      <c r="BR278" s="32">
        <f t="shared" si="105"/>
        <v>245</v>
      </c>
      <c r="BS278" s="32">
        <f t="shared" si="111"/>
        <v>478.75</v>
      </c>
      <c r="BT278" s="32" t="s">
        <v>62</v>
      </c>
      <c r="BU278" s="32" t="s">
        <v>67</v>
      </c>
      <c r="BV278" s="92"/>
      <c r="BW278" s="92"/>
      <c r="BX278" s="92"/>
      <c r="BY278" s="15"/>
      <c r="BZ278" s="15"/>
      <c r="CA278" s="15"/>
      <c r="CB278" s="15"/>
      <c r="CC278" s="15"/>
      <c r="CD278" s="15"/>
      <c r="CE278" s="15"/>
      <c r="CF278" s="15"/>
    </row>
    <row r="279" spans="1:84" s="56" customFormat="1" x14ac:dyDescent="0.25">
      <c r="A279" s="57">
        <v>42264</v>
      </c>
      <c r="B279" s="350" t="s">
        <v>14</v>
      </c>
      <c r="C279" s="45" t="s">
        <v>1177</v>
      </c>
      <c r="D279" s="52" t="s">
        <v>73</v>
      </c>
      <c r="E279" s="45" t="s">
        <v>85</v>
      </c>
      <c r="F279" s="36" t="s">
        <v>3500</v>
      </c>
      <c r="G279" s="188" t="s">
        <v>2051</v>
      </c>
      <c r="H279" s="78">
        <v>9179832</v>
      </c>
      <c r="I279" s="78" t="s">
        <v>1178</v>
      </c>
      <c r="J279" s="78" t="s">
        <v>1179</v>
      </c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 t="s">
        <v>1180</v>
      </c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>
        <v>49832</v>
      </c>
      <c r="AR279" s="38">
        <v>102.947</v>
      </c>
      <c r="AS279" s="27">
        <f>AR279/0.444</f>
        <v>231.86261261261262</v>
      </c>
      <c r="AT279" s="40" t="s">
        <v>1181</v>
      </c>
      <c r="AU279" s="40" t="s">
        <v>1182</v>
      </c>
      <c r="AV279" s="40"/>
      <c r="AW279" s="40"/>
      <c r="AX279" s="40"/>
      <c r="AY279" s="40"/>
      <c r="AZ279" s="40"/>
      <c r="BA279" s="40"/>
      <c r="BB279" s="434" t="s">
        <v>80</v>
      </c>
      <c r="BC279" s="434"/>
      <c r="BD279" s="434"/>
      <c r="BE279" s="434"/>
      <c r="BF279" s="434"/>
      <c r="BG279" s="294">
        <v>9.6809999999999992</v>
      </c>
      <c r="BH279" s="294">
        <v>9.6809999999999992</v>
      </c>
      <c r="BI279" s="294">
        <v>20.486999999999998</v>
      </c>
      <c r="BJ279" s="291">
        <f t="shared" si="104"/>
        <v>1.1111560865781247</v>
      </c>
      <c r="BK279" s="294">
        <f>3.87+0.25</f>
        <v>4.12</v>
      </c>
      <c r="BL279" s="341"/>
      <c r="BM279" s="341"/>
      <c r="BN279" s="39" t="s">
        <v>64</v>
      </c>
      <c r="BO279" s="32">
        <v>1</v>
      </c>
      <c r="BP279" s="32">
        <v>16</v>
      </c>
      <c r="BQ279" s="32">
        <v>2</v>
      </c>
      <c r="BR279" s="32">
        <f t="shared" si="105"/>
        <v>32</v>
      </c>
      <c r="BS279" s="32">
        <f t="shared" si="111"/>
        <v>181.84</v>
      </c>
      <c r="BT279" s="32" t="s">
        <v>62</v>
      </c>
      <c r="BU279" s="32" t="s">
        <v>67</v>
      </c>
      <c r="BV279" s="92"/>
      <c r="BW279" s="92"/>
      <c r="BX279" s="92"/>
      <c r="BY279" s="15"/>
      <c r="BZ279" s="15"/>
      <c r="CA279" s="15"/>
      <c r="CB279" s="15"/>
      <c r="CC279" s="15"/>
      <c r="CD279" s="15"/>
      <c r="CE279" s="15"/>
      <c r="CF279" s="15"/>
    </row>
    <row r="280" spans="1:84" s="56" customFormat="1" x14ac:dyDescent="0.25">
      <c r="A280" s="57">
        <v>42264</v>
      </c>
      <c r="B280" s="350" t="s">
        <v>14</v>
      </c>
      <c r="C280" s="45" t="s">
        <v>1183</v>
      </c>
      <c r="D280" s="52" t="s">
        <v>73</v>
      </c>
      <c r="E280" s="45" t="s">
        <v>85</v>
      </c>
      <c r="F280" s="45" t="s">
        <v>3501</v>
      </c>
      <c r="G280" s="188" t="s">
        <v>2051</v>
      </c>
      <c r="H280" s="78" t="s">
        <v>1184</v>
      </c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 t="s">
        <v>1185</v>
      </c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38">
        <v>242.03</v>
      </c>
      <c r="AS280" s="27">
        <f>AR280/0.444</f>
        <v>545.11261261261257</v>
      </c>
      <c r="AT280" s="40" t="s">
        <v>1186</v>
      </c>
      <c r="AU280" s="40" t="s">
        <v>1187</v>
      </c>
      <c r="AV280" s="40"/>
      <c r="AW280" s="40"/>
      <c r="AX280" s="40"/>
      <c r="AY280" s="40"/>
      <c r="AZ280" s="40"/>
      <c r="BA280" s="40"/>
      <c r="BB280" s="434" t="s">
        <v>80</v>
      </c>
      <c r="BC280" s="434"/>
      <c r="BD280" s="434"/>
      <c r="BE280" s="434"/>
      <c r="BF280" s="434"/>
      <c r="BG280" s="294">
        <v>10.99</v>
      </c>
      <c r="BH280" s="294">
        <v>10.25</v>
      </c>
      <c r="BI280" s="294">
        <v>8.57</v>
      </c>
      <c r="BJ280" s="291">
        <f t="shared" si="104"/>
        <v>0.55867423321759258</v>
      </c>
      <c r="BK280" s="294">
        <f>2.84+0.25</f>
        <v>3.09</v>
      </c>
      <c r="BL280" s="341"/>
      <c r="BM280" s="341"/>
      <c r="BN280" s="39"/>
      <c r="BO280" s="32">
        <v>1</v>
      </c>
      <c r="BP280" s="32">
        <v>6</v>
      </c>
      <c r="BQ280" s="32">
        <v>6</v>
      </c>
      <c r="BR280" s="32">
        <f t="shared" si="105"/>
        <v>36</v>
      </c>
      <c r="BS280" s="32">
        <f t="shared" si="111"/>
        <v>161.24</v>
      </c>
      <c r="BT280" s="32" t="s">
        <v>62</v>
      </c>
      <c r="BU280" s="32" t="s">
        <v>67</v>
      </c>
      <c r="BV280" s="92"/>
      <c r="BW280" s="92"/>
      <c r="BX280" s="92"/>
      <c r="BY280" s="15"/>
      <c r="BZ280" s="15"/>
      <c r="CA280" s="15"/>
      <c r="CB280" s="15"/>
      <c r="CC280" s="15"/>
      <c r="CD280" s="15"/>
      <c r="CE280" s="15"/>
      <c r="CF280" s="15"/>
    </row>
    <row r="281" spans="1:84" s="56" customFormat="1" x14ac:dyDescent="0.25">
      <c r="A281" s="57">
        <v>42264</v>
      </c>
      <c r="B281" s="350" t="s">
        <v>14</v>
      </c>
      <c r="C281" s="45" t="s">
        <v>1188</v>
      </c>
      <c r="D281" s="52" t="s">
        <v>73</v>
      </c>
      <c r="E281" s="45" t="s">
        <v>85</v>
      </c>
      <c r="F281" s="45" t="s">
        <v>3502</v>
      </c>
      <c r="G281" s="188" t="s">
        <v>2051</v>
      </c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 t="s">
        <v>1189</v>
      </c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38">
        <v>291.88</v>
      </c>
      <c r="AS281" s="27">
        <f>AR281/0.444</f>
        <v>657.38738738738732</v>
      </c>
      <c r="AT281" s="40" t="s">
        <v>1190</v>
      </c>
      <c r="AU281" s="40" t="s">
        <v>1191</v>
      </c>
      <c r="AV281" s="40"/>
      <c r="AW281" s="40"/>
      <c r="AX281" s="40"/>
      <c r="AY281" s="40"/>
      <c r="AZ281" s="40"/>
      <c r="BA281" s="40"/>
      <c r="BB281" s="434" t="s">
        <v>80</v>
      </c>
      <c r="BC281" s="434"/>
      <c r="BD281" s="434"/>
      <c r="BE281" s="434"/>
      <c r="BF281" s="434"/>
      <c r="BG281" s="294">
        <v>15</v>
      </c>
      <c r="BH281" s="294">
        <v>15</v>
      </c>
      <c r="BI281" s="294">
        <v>10.52</v>
      </c>
      <c r="BJ281" s="291">
        <f t="shared" si="104"/>
        <v>1.3697916666666663</v>
      </c>
      <c r="BK281" s="294">
        <f>5.53+0.25</f>
        <v>5.78</v>
      </c>
      <c r="BL281" s="341"/>
      <c r="BM281" s="341"/>
      <c r="BN281" s="39"/>
      <c r="BO281" s="32">
        <v>1</v>
      </c>
      <c r="BP281" s="32">
        <v>6</v>
      </c>
      <c r="BQ281" s="32">
        <v>3</v>
      </c>
      <c r="BR281" s="32">
        <f t="shared" si="105"/>
        <v>18</v>
      </c>
      <c r="BS281" s="32">
        <f t="shared" si="111"/>
        <v>154.04</v>
      </c>
      <c r="BT281" s="32" t="s">
        <v>62</v>
      </c>
      <c r="BU281" s="32" t="s">
        <v>67</v>
      </c>
      <c r="BV281" s="110"/>
      <c r="BW281" s="92"/>
      <c r="BX281" s="92"/>
      <c r="BY281" s="15"/>
      <c r="BZ281" s="15"/>
      <c r="CA281" s="15"/>
      <c r="CB281" s="15"/>
      <c r="CC281" s="15"/>
      <c r="CD281" s="15"/>
      <c r="CE281" s="15"/>
      <c r="CF281" s="15"/>
    </row>
    <row r="282" spans="1:84" s="56" customFormat="1" x14ac:dyDescent="0.25">
      <c r="A282" s="57">
        <v>42264</v>
      </c>
      <c r="B282" s="350" t="s">
        <v>14</v>
      </c>
      <c r="C282" s="52">
        <v>1152</v>
      </c>
      <c r="D282" s="52" t="s">
        <v>73</v>
      </c>
      <c r="E282" s="45" t="s">
        <v>1192</v>
      </c>
      <c r="F282" s="38" t="s">
        <v>3503</v>
      </c>
      <c r="G282" s="188" t="s">
        <v>2051</v>
      </c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38"/>
      <c r="AS282" s="27"/>
      <c r="AT282" s="31" t="s">
        <v>1193</v>
      </c>
      <c r="AU282" s="31" t="s">
        <v>1194</v>
      </c>
      <c r="AV282" s="31"/>
      <c r="AW282" s="31"/>
      <c r="AX282" s="31"/>
      <c r="AY282" s="31"/>
      <c r="AZ282" s="31"/>
      <c r="BA282" s="31"/>
      <c r="BB282" s="432" t="s">
        <v>1195</v>
      </c>
      <c r="BC282" s="432"/>
      <c r="BD282" s="432"/>
      <c r="BE282" s="432"/>
      <c r="BF282" s="432"/>
      <c r="BG282" s="294">
        <v>9</v>
      </c>
      <c r="BH282" s="294">
        <v>9</v>
      </c>
      <c r="BI282" s="294">
        <v>4.5</v>
      </c>
      <c r="BJ282" s="291">
        <f t="shared" si="104"/>
        <v>0.2109375</v>
      </c>
      <c r="BK282" s="294">
        <v>0.5</v>
      </c>
      <c r="BL282" s="341"/>
      <c r="BM282" s="341"/>
      <c r="BN282" s="39" t="s">
        <v>64</v>
      </c>
      <c r="BO282" s="32">
        <v>6</v>
      </c>
      <c r="BP282" s="32">
        <v>10</v>
      </c>
      <c r="BQ282" s="32">
        <v>10</v>
      </c>
      <c r="BR282" s="32">
        <f t="shared" si="105"/>
        <v>600</v>
      </c>
      <c r="BS282" s="32">
        <f t="shared" si="111"/>
        <v>100</v>
      </c>
      <c r="BT282" s="111" t="s">
        <v>62</v>
      </c>
      <c r="BU282" s="32" t="s">
        <v>67</v>
      </c>
      <c r="BV282" s="110"/>
      <c r="BW282" s="92"/>
      <c r="BX282" s="92"/>
      <c r="BY282" s="15"/>
      <c r="BZ282" s="15"/>
      <c r="CA282" s="15"/>
      <c r="CB282" s="15"/>
      <c r="CC282" s="15"/>
      <c r="CD282" s="15"/>
      <c r="CE282" s="15"/>
      <c r="CF282" s="15"/>
    </row>
    <row r="283" spans="1:84" s="56" customFormat="1" ht="75" x14ac:dyDescent="0.25">
      <c r="A283" s="57">
        <v>42264</v>
      </c>
      <c r="B283" s="350" t="s">
        <v>14</v>
      </c>
      <c r="C283" s="78" t="s">
        <v>1196</v>
      </c>
      <c r="D283" s="52" t="s">
        <v>73</v>
      </c>
      <c r="E283" s="45" t="s">
        <v>1197</v>
      </c>
      <c r="F283" s="102" t="s">
        <v>3504</v>
      </c>
      <c r="G283" s="188" t="s">
        <v>2051</v>
      </c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112">
        <v>35.29</v>
      </c>
      <c r="AS283" s="27">
        <f>AR283/0.444</f>
        <v>79.481981981981974</v>
      </c>
      <c r="AT283" s="40" t="s">
        <v>1198</v>
      </c>
      <c r="AU283" s="40" t="s">
        <v>1199</v>
      </c>
      <c r="AV283" s="40"/>
      <c r="AW283" s="40"/>
      <c r="AX283" s="40"/>
      <c r="AY283" s="40"/>
      <c r="AZ283" s="40"/>
      <c r="BA283" s="40"/>
      <c r="BB283" s="432" t="s">
        <v>1024</v>
      </c>
      <c r="BC283" s="432"/>
      <c r="BD283" s="432"/>
      <c r="BE283" s="432"/>
      <c r="BF283" s="432"/>
      <c r="BG283" s="294">
        <v>20.625</v>
      </c>
      <c r="BH283" s="294">
        <v>14.625</v>
      </c>
      <c r="BI283" s="294">
        <v>5.9370000000000003</v>
      </c>
      <c r="BJ283" s="291">
        <f t="shared" si="104"/>
        <v>1.036365966796875</v>
      </c>
      <c r="BK283" s="294">
        <f>1.2*BO283+0.25</f>
        <v>7.4499999999999993</v>
      </c>
      <c r="BL283" s="341"/>
      <c r="BM283" s="341"/>
      <c r="BN283" s="39" t="s">
        <v>64</v>
      </c>
      <c r="BO283" s="32">
        <v>6</v>
      </c>
      <c r="BP283" s="32">
        <v>6</v>
      </c>
      <c r="BQ283" s="32">
        <v>6</v>
      </c>
      <c r="BR283" s="32">
        <f t="shared" si="105"/>
        <v>216</v>
      </c>
      <c r="BS283" s="32">
        <f t="shared" si="111"/>
        <v>318.2</v>
      </c>
      <c r="BT283" s="32" t="s">
        <v>69</v>
      </c>
      <c r="BU283" s="32" t="s">
        <v>67</v>
      </c>
      <c r="BV283" s="110"/>
      <c r="BW283" s="92"/>
      <c r="BX283" s="92"/>
      <c r="BY283" s="15"/>
      <c r="BZ283" s="15"/>
      <c r="CA283" s="15"/>
      <c r="CB283" s="15"/>
      <c r="CC283" s="15"/>
      <c r="CD283" s="15"/>
      <c r="CE283" s="15"/>
      <c r="CF283" s="15"/>
    </row>
    <row r="284" spans="1:84" s="56" customFormat="1" x14ac:dyDescent="0.25">
      <c r="A284" s="57">
        <v>42264</v>
      </c>
      <c r="B284" s="350" t="s">
        <v>14</v>
      </c>
      <c r="C284" s="45" t="s">
        <v>1200</v>
      </c>
      <c r="D284" s="52" t="s">
        <v>73</v>
      </c>
      <c r="E284" s="45" t="s">
        <v>1201</v>
      </c>
      <c r="F284" s="59" t="s">
        <v>3505</v>
      </c>
      <c r="G284" s="188" t="s">
        <v>1040</v>
      </c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38">
        <v>95.66</v>
      </c>
      <c r="AS284" s="27">
        <f t="shared" ref="AS284:AS330" si="112">AR284/0.444</f>
        <v>215.45045045045043</v>
      </c>
      <c r="AT284" s="40" t="s">
        <v>1202</v>
      </c>
      <c r="AU284" s="40" t="s">
        <v>1203</v>
      </c>
      <c r="AV284" s="40"/>
      <c r="AW284" s="40"/>
      <c r="AX284" s="40"/>
      <c r="AY284" s="40"/>
      <c r="AZ284" s="40"/>
      <c r="BA284" s="40"/>
      <c r="BB284" s="434" t="s">
        <v>80</v>
      </c>
      <c r="BC284" s="434"/>
      <c r="BD284" s="434"/>
      <c r="BE284" s="434"/>
      <c r="BF284" s="434"/>
      <c r="BG284" s="294">
        <v>10.25</v>
      </c>
      <c r="BH284" s="294">
        <v>7.75</v>
      </c>
      <c r="BI284" s="294">
        <v>10.5</v>
      </c>
      <c r="BJ284" s="291">
        <f t="shared" si="104"/>
        <v>0.4826931423611111</v>
      </c>
      <c r="BK284" s="294">
        <f>1.32+1.54+1.04+1.25+0.4</f>
        <v>5.5500000000000007</v>
      </c>
      <c r="BL284" s="341"/>
      <c r="BM284" s="341"/>
      <c r="BN284" s="39" t="s">
        <v>64</v>
      </c>
      <c r="BO284" s="32">
        <v>1</v>
      </c>
      <c r="BP284" s="32">
        <v>22</v>
      </c>
      <c r="BQ284" s="32">
        <v>4</v>
      </c>
      <c r="BR284" s="32">
        <f>BO284*BP284*BQ284</f>
        <v>88</v>
      </c>
      <c r="BS284" s="32">
        <f t="shared" si="111"/>
        <v>538.40000000000009</v>
      </c>
      <c r="BT284" s="32" t="s">
        <v>62</v>
      </c>
      <c r="BU284" s="32" t="s">
        <v>67</v>
      </c>
      <c r="BV284" s="110"/>
      <c r="BW284" s="92"/>
      <c r="BX284" s="92"/>
      <c r="BY284" s="15"/>
      <c r="BZ284" s="15"/>
      <c r="CA284" s="15"/>
      <c r="CB284" s="15"/>
      <c r="CC284" s="15"/>
      <c r="CD284" s="15"/>
      <c r="CE284" s="15"/>
      <c r="CF284" s="15"/>
    </row>
    <row r="285" spans="1:84" s="56" customFormat="1" ht="30" x14ac:dyDescent="0.25">
      <c r="A285" s="57">
        <v>42264</v>
      </c>
      <c r="B285" s="350" t="s">
        <v>14</v>
      </c>
      <c r="C285" s="78" t="s">
        <v>1204</v>
      </c>
      <c r="D285" s="52" t="s">
        <v>73</v>
      </c>
      <c r="E285" s="45" t="s">
        <v>86</v>
      </c>
      <c r="F285" s="102" t="s">
        <v>3506</v>
      </c>
      <c r="G285" s="188" t="s">
        <v>2051</v>
      </c>
      <c r="H285" s="37" t="s">
        <v>1205</v>
      </c>
      <c r="I285" s="37"/>
      <c r="J285" s="37"/>
      <c r="K285" s="29"/>
      <c r="L285" s="30"/>
      <c r="M285" s="91"/>
      <c r="N285" s="91"/>
      <c r="O285" s="91"/>
      <c r="P285" s="91"/>
      <c r="Q285" s="91"/>
      <c r="R285" s="91"/>
      <c r="S285" s="91"/>
      <c r="T285" s="91"/>
      <c r="U285" s="113"/>
      <c r="V285" s="113"/>
      <c r="W285" s="29"/>
      <c r="X285" s="113"/>
      <c r="Y285" s="114"/>
      <c r="Z285" s="113"/>
      <c r="AA285" s="114"/>
      <c r="AB285" s="88"/>
      <c r="AC285" s="52"/>
      <c r="AD285" s="52"/>
      <c r="AE285" s="52"/>
      <c r="AF285" s="52"/>
      <c r="AG285" s="52"/>
      <c r="AH285" s="52"/>
      <c r="AI285" s="52"/>
      <c r="AJ285" s="52"/>
      <c r="AK285" s="78"/>
      <c r="AL285" s="52"/>
      <c r="AM285" s="52"/>
      <c r="AN285" s="52"/>
      <c r="AO285" s="52"/>
      <c r="AP285" s="52"/>
      <c r="AQ285" s="52"/>
      <c r="AR285" s="112">
        <v>78.75</v>
      </c>
      <c r="AS285" s="27">
        <f t="shared" si="112"/>
        <v>177.36486486486487</v>
      </c>
      <c r="AT285" s="40" t="s">
        <v>1206</v>
      </c>
      <c r="AU285" s="40" t="s">
        <v>1207</v>
      </c>
      <c r="AV285" s="40"/>
      <c r="AW285" s="40"/>
      <c r="AX285" s="40"/>
      <c r="AY285" s="40"/>
      <c r="AZ285" s="40"/>
      <c r="BA285" s="40"/>
      <c r="BB285" s="293" t="s">
        <v>80</v>
      </c>
      <c r="BC285" s="293"/>
      <c r="BD285" s="293"/>
      <c r="BE285" s="293"/>
      <c r="BF285" s="293"/>
      <c r="BG285" s="294">
        <v>5.13</v>
      </c>
      <c r="BH285" s="294">
        <v>5.13</v>
      </c>
      <c r="BI285" s="294">
        <v>9.25</v>
      </c>
      <c r="BJ285" s="291">
        <f t="shared" si="104"/>
        <v>0.14087460937499999</v>
      </c>
      <c r="BK285" s="294">
        <f>0.9+0.25</f>
        <v>1.1499999999999999</v>
      </c>
      <c r="BL285" s="341"/>
      <c r="BM285" s="341"/>
      <c r="BN285" s="39" t="s">
        <v>64</v>
      </c>
      <c r="BO285" s="32">
        <v>1</v>
      </c>
      <c r="BP285" s="32">
        <v>48</v>
      </c>
      <c r="BQ285" s="32">
        <v>3</v>
      </c>
      <c r="BR285" s="32">
        <f t="shared" ref="BR285:BR291" si="113">BO285*BP285*BQ285</f>
        <v>144</v>
      </c>
      <c r="BS285" s="32">
        <f t="shared" si="111"/>
        <v>215.6</v>
      </c>
      <c r="BT285" s="32" t="s">
        <v>62</v>
      </c>
      <c r="BU285" s="32"/>
      <c r="BV285" s="92"/>
      <c r="BW285" s="92"/>
      <c r="BX285" s="92"/>
      <c r="BY285" s="15"/>
      <c r="BZ285" s="15"/>
      <c r="CA285" s="15"/>
      <c r="CB285" s="15"/>
      <c r="CC285" s="15"/>
      <c r="CD285" s="15"/>
      <c r="CE285" s="15"/>
      <c r="CF285" s="15"/>
    </row>
    <row r="286" spans="1:84" s="56" customFormat="1" x14ac:dyDescent="0.25">
      <c r="A286" s="57">
        <v>42264</v>
      </c>
      <c r="B286" s="350" t="s">
        <v>14</v>
      </c>
      <c r="C286" s="78" t="s">
        <v>1208</v>
      </c>
      <c r="D286" s="52" t="s">
        <v>73</v>
      </c>
      <c r="E286" s="45" t="s">
        <v>86</v>
      </c>
      <c r="F286" s="102" t="s">
        <v>3507</v>
      </c>
      <c r="G286" s="188" t="s">
        <v>2051</v>
      </c>
      <c r="H286" s="37">
        <v>230029</v>
      </c>
      <c r="I286" s="37"/>
      <c r="J286" s="37"/>
      <c r="K286" s="29"/>
      <c r="L286" s="30"/>
      <c r="M286" s="91"/>
      <c r="N286" s="91"/>
      <c r="O286" s="91"/>
      <c r="P286" s="91"/>
      <c r="Q286" s="91"/>
      <c r="R286" s="91"/>
      <c r="S286" s="91"/>
      <c r="T286" s="91"/>
      <c r="U286" s="113"/>
      <c r="V286" s="113"/>
      <c r="W286" s="29"/>
      <c r="X286" s="113"/>
      <c r="Y286" s="114"/>
      <c r="Z286" s="113"/>
      <c r="AA286" s="114" t="s">
        <v>1209</v>
      </c>
      <c r="AB286" s="88"/>
      <c r="AC286" s="52"/>
      <c r="AD286" s="52"/>
      <c r="AE286" s="52"/>
      <c r="AF286" s="52"/>
      <c r="AG286" s="52"/>
      <c r="AH286" s="52"/>
      <c r="AI286" s="52"/>
      <c r="AJ286" s="52"/>
      <c r="AK286" s="78"/>
      <c r="AL286" s="52"/>
      <c r="AM286" s="52"/>
      <c r="AN286" s="52"/>
      <c r="AO286" s="52"/>
      <c r="AP286" s="52"/>
      <c r="AQ286" s="52"/>
      <c r="AR286" s="112">
        <v>20.190000000000001</v>
      </c>
      <c r="AS286" s="27">
        <f t="shared" si="112"/>
        <v>45.472972972972975</v>
      </c>
      <c r="AT286" s="31" t="s">
        <v>1210</v>
      </c>
      <c r="AU286" s="31" t="s">
        <v>1211</v>
      </c>
      <c r="AV286" s="31"/>
      <c r="AW286" s="31"/>
      <c r="AX286" s="31"/>
      <c r="AY286" s="31"/>
      <c r="AZ286" s="31"/>
      <c r="BA286" s="31"/>
      <c r="BB286" s="294" t="s">
        <v>1024</v>
      </c>
      <c r="BC286" s="298"/>
      <c r="BD286" s="298"/>
      <c r="BE286" s="298"/>
      <c r="BF286" s="298"/>
      <c r="BG286" s="294">
        <v>15.81</v>
      </c>
      <c r="BH286" s="294">
        <v>11.93</v>
      </c>
      <c r="BI286" s="294">
        <v>5.0599999999999996</v>
      </c>
      <c r="BJ286" s="291">
        <f t="shared" si="104"/>
        <v>0.55230514930555552</v>
      </c>
      <c r="BK286" s="294">
        <f>0.38*BO286+0.25</f>
        <v>4.8100000000000005</v>
      </c>
      <c r="BL286" s="341"/>
      <c r="BM286" s="341"/>
      <c r="BN286" s="39" t="s">
        <v>64</v>
      </c>
      <c r="BO286" s="32">
        <v>12</v>
      </c>
      <c r="BP286" s="32">
        <v>10</v>
      </c>
      <c r="BQ286" s="32">
        <v>7</v>
      </c>
      <c r="BR286" s="32">
        <f t="shared" si="113"/>
        <v>840</v>
      </c>
      <c r="BS286" s="32">
        <f t="shared" si="111"/>
        <v>386.70000000000005</v>
      </c>
      <c r="BT286" s="32" t="s">
        <v>62</v>
      </c>
      <c r="BU286" s="32" t="s">
        <v>67</v>
      </c>
      <c r="BV286" s="92"/>
      <c r="BW286" s="92"/>
      <c r="BX286" s="92"/>
      <c r="BY286" s="15"/>
      <c r="BZ286" s="15"/>
      <c r="CA286" s="15"/>
      <c r="CB286" s="15"/>
      <c r="CC286" s="15"/>
      <c r="CD286" s="15"/>
      <c r="CE286" s="15"/>
      <c r="CF286" s="15"/>
    </row>
    <row r="287" spans="1:84" s="56" customFormat="1" x14ac:dyDescent="0.25">
      <c r="A287" s="57">
        <v>42264</v>
      </c>
      <c r="B287" s="350" t="s">
        <v>14</v>
      </c>
      <c r="C287" s="45" t="s">
        <v>1212</v>
      </c>
      <c r="D287" s="52" t="s">
        <v>73</v>
      </c>
      <c r="E287" s="45" t="s">
        <v>1197</v>
      </c>
      <c r="F287" s="36" t="s">
        <v>3508</v>
      </c>
      <c r="G287" s="188" t="s">
        <v>2051</v>
      </c>
      <c r="H287" s="37">
        <v>300110625</v>
      </c>
      <c r="I287" s="37" t="s">
        <v>1213</v>
      </c>
      <c r="J287" s="37">
        <v>232006</v>
      </c>
      <c r="K287" s="29" t="s">
        <v>219</v>
      </c>
      <c r="L287" s="30">
        <v>23538565</v>
      </c>
      <c r="M287" s="91"/>
      <c r="N287" s="91"/>
      <c r="O287" s="91"/>
      <c r="P287" s="91"/>
      <c r="Q287" s="91"/>
      <c r="R287" s="91"/>
      <c r="S287" s="91"/>
      <c r="T287" s="91"/>
      <c r="U287" s="113" t="s">
        <v>1214</v>
      </c>
      <c r="V287" s="113"/>
      <c r="W287" s="29">
        <v>86661</v>
      </c>
      <c r="X287" s="113"/>
      <c r="Y287" s="114" t="s">
        <v>1215</v>
      </c>
      <c r="Z287" s="113"/>
      <c r="AA287" s="114" t="s">
        <v>1216</v>
      </c>
      <c r="AB287" s="88" t="s">
        <v>1217</v>
      </c>
      <c r="AC287" s="52"/>
      <c r="AD287" s="52"/>
      <c r="AE287" s="52"/>
      <c r="AF287" s="52"/>
      <c r="AG287" s="52"/>
      <c r="AH287" s="52"/>
      <c r="AI287" s="52"/>
      <c r="AJ287" s="52"/>
      <c r="AK287" s="78">
        <v>3661</v>
      </c>
      <c r="AL287" s="52"/>
      <c r="AM287" s="52"/>
      <c r="AN287" s="52"/>
      <c r="AO287" s="52"/>
      <c r="AP287" s="52"/>
      <c r="AQ287" s="52">
        <v>33661</v>
      </c>
      <c r="AR287" s="112">
        <v>17.2</v>
      </c>
      <c r="AS287" s="27">
        <f t="shared" si="112"/>
        <v>38.738738738738739</v>
      </c>
      <c r="AT287" s="40" t="s">
        <v>1218</v>
      </c>
      <c r="AU287" s="40" t="s">
        <v>1219</v>
      </c>
      <c r="AV287" s="40"/>
      <c r="AW287" s="40"/>
      <c r="AX287" s="40"/>
      <c r="AY287" s="40"/>
      <c r="AZ287" s="40"/>
      <c r="BA287" s="40"/>
      <c r="BB287" s="294">
        <v>3.8479999999999999</v>
      </c>
      <c r="BC287" s="294">
        <v>3.8479999999999999</v>
      </c>
      <c r="BD287" s="294">
        <v>5.4470000000000001</v>
      </c>
      <c r="BE287" s="291">
        <f>(BD287*BC287*BB287)/1728</f>
        <v>4.6674939518518511E-2</v>
      </c>
      <c r="BF287" s="294">
        <v>0.46200000000000002</v>
      </c>
      <c r="BG287" s="294">
        <v>15.81</v>
      </c>
      <c r="BH287" s="294">
        <v>11.93</v>
      </c>
      <c r="BI287" s="294">
        <v>6</v>
      </c>
      <c r="BJ287" s="291">
        <f t="shared" si="104"/>
        <v>0.65490729166666672</v>
      </c>
      <c r="BK287" s="294">
        <f>0.462*BO287+0.25</f>
        <v>5.7940000000000005</v>
      </c>
      <c r="BL287" s="341"/>
      <c r="BM287" s="341"/>
      <c r="BN287" s="39" t="s">
        <v>64</v>
      </c>
      <c r="BO287" s="32">
        <v>12</v>
      </c>
      <c r="BP287" s="32">
        <v>10</v>
      </c>
      <c r="BQ287" s="32">
        <v>7</v>
      </c>
      <c r="BR287" s="32">
        <f t="shared" si="113"/>
        <v>840</v>
      </c>
      <c r="BS287" s="32">
        <f t="shared" si="111"/>
        <v>455.58000000000004</v>
      </c>
      <c r="BT287" s="32" t="s">
        <v>62</v>
      </c>
      <c r="BU287" s="32" t="s">
        <v>67</v>
      </c>
      <c r="BV287" s="92"/>
      <c r="BW287" s="92"/>
      <c r="BX287" s="92"/>
      <c r="BY287" s="15"/>
      <c r="BZ287" s="15"/>
      <c r="CA287" s="15"/>
      <c r="CB287" s="15"/>
      <c r="CC287" s="15"/>
      <c r="CD287" s="15"/>
      <c r="CE287" s="15"/>
      <c r="CF287" s="15"/>
    </row>
    <row r="288" spans="1:84" s="56" customFormat="1" ht="30" x14ac:dyDescent="0.25">
      <c r="A288" s="57">
        <v>42264</v>
      </c>
      <c r="B288" s="350" t="s">
        <v>14</v>
      </c>
      <c r="C288" s="45" t="s">
        <v>1220</v>
      </c>
      <c r="D288" s="52" t="s">
        <v>73</v>
      </c>
      <c r="E288" s="45" t="s">
        <v>85</v>
      </c>
      <c r="F288" s="36" t="s">
        <v>3509</v>
      </c>
      <c r="G288" s="188" t="s">
        <v>2051</v>
      </c>
      <c r="H288" s="37" t="s">
        <v>1221</v>
      </c>
      <c r="I288" s="37"/>
      <c r="J288" s="37"/>
      <c r="K288" s="29"/>
      <c r="L288" s="30"/>
      <c r="M288" s="91"/>
      <c r="N288" s="91"/>
      <c r="O288" s="91"/>
      <c r="P288" s="91"/>
      <c r="Q288" s="91"/>
      <c r="R288" s="91"/>
      <c r="S288" s="91"/>
      <c r="T288" s="91"/>
      <c r="U288" s="113"/>
      <c r="V288" s="113"/>
      <c r="W288" s="29"/>
      <c r="X288" s="113"/>
      <c r="Y288" s="114" t="s">
        <v>1221</v>
      </c>
      <c r="Z288" s="113"/>
      <c r="AA288" s="114"/>
      <c r="AB288" s="88"/>
      <c r="AC288" s="52"/>
      <c r="AD288" s="52"/>
      <c r="AE288" s="52"/>
      <c r="AF288" s="52"/>
      <c r="AG288" s="52"/>
      <c r="AH288" s="52"/>
      <c r="AI288" s="52"/>
      <c r="AJ288" s="52"/>
      <c r="AK288" s="78"/>
      <c r="AL288" s="52"/>
      <c r="AM288" s="52"/>
      <c r="AN288" s="52"/>
      <c r="AO288" s="52"/>
      <c r="AP288" s="52"/>
      <c r="AQ288" s="52"/>
      <c r="AR288" s="112">
        <v>290.89999999999998</v>
      </c>
      <c r="AS288" s="27">
        <f t="shared" si="112"/>
        <v>655.18018018018017</v>
      </c>
      <c r="AT288" s="31" t="s">
        <v>1222</v>
      </c>
      <c r="AU288" s="31" t="s">
        <v>1223</v>
      </c>
      <c r="AV288" s="31"/>
      <c r="AW288" s="31"/>
      <c r="AX288" s="31"/>
      <c r="AY288" s="31"/>
      <c r="AZ288" s="31"/>
      <c r="BA288" s="31"/>
      <c r="BB288" s="293" t="s">
        <v>80</v>
      </c>
      <c r="BC288" s="293"/>
      <c r="BD288" s="293"/>
      <c r="BE288" s="293"/>
      <c r="BF288" s="293"/>
      <c r="BG288" s="294">
        <v>13.25</v>
      </c>
      <c r="BH288" s="294">
        <v>13.25</v>
      </c>
      <c r="BI288" s="294">
        <v>26.59</v>
      </c>
      <c r="BJ288" s="291">
        <f t="shared" si="104"/>
        <v>2.7015086082175923</v>
      </c>
      <c r="BK288" s="294">
        <f>10.92+0.25</f>
        <v>11.17</v>
      </c>
      <c r="BL288" s="341"/>
      <c r="BM288" s="341"/>
      <c r="BN288" s="39" t="s">
        <v>64</v>
      </c>
      <c r="BO288" s="32">
        <v>1</v>
      </c>
      <c r="BP288" s="32">
        <v>6</v>
      </c>
      <c r="BQ288" s="32">
        <v>1</v>
      </c>
      <c r="BR288" s="32">
        <f t="shared" si="113"/>
        <v>6</v>
      </c>
      <c r="BS288" s="32">
        <f t="shared" si="111"/>
        <v>117.02</v>
      </c>
      <c r="BT288" s="32" t="s">
        <v>62</v>
      </c>
      <c r="BU288" s="32" t="s">
        <v>67</v>
      </c>
      <c r="BV288" s="92"/>
      <c r="BW288" s="92"/>
      <c r="BX288" s="92"/>
      <c r="BY288" s="15"/>
      <c r="BZ288" s="15"/>
      <c r="CA288" s="15"/>
      <c r="CB288" s="15"/>
      <c r="CC288" s="15"/>
      <c r="CD288" s="15"/>
      <c r="CE288" s="15"/>
      <c r="CF288" s="15"/>
    </row>
    <row r="289" spans="1:84" s="56" customFormat="1" ht="30" x14ac:dyDescent="0.25">
      <c r="A289" s="57">
        <v>42264</v>
      </c>
      <c r="B289" s="350" t="s">
        <v>14</v>
      </c>
      <c r="C289" s="78" t="s">
        <v>1224</v>
      </c>
      <c r="D289" s="52" t="s">
        <v>73</v>
      </c>
      <c r="E289" s="45" t="s">
        <v>85</v>
      </c>
      <c r="F289" s="102" t="s">
        <v>3510</v>
      </c>
      <c r="G289" s="188" t="s">
        <v>2051</v>
      </c>
      <c r="H289" s="37" t="s">
        <v>1225</v>
      </c>
      <c r="I289" s="37"/>
      <c r="J289" s="37"/>
      <c r="K289" s="29"/>
      <c r="L289" s="30"/>
      <c r="M289" s="91"/>
      <c r="N289" s="91"/>
      <c r="O289" s="91"/>
      <c r="P289" s="91"/>
      <c r="Q289" s="91"/>
      <c r="R289" s="91"/>
      <c r="S289" s="91"/>
      <c r="T289" s="91"/>
      <c r="U289" s="113"/>
      <c r="V289" s="113"/>
      <c r="W289" s="29"/>
      <c r="X289" s="113"/>
      <c r="Y289" s="37" t="s">
        <v>1225</v>
      </c>
      <c r="Z289" s="113"/>
      <c r="AA289" s="114"/>
      <c r="AB289" s="88"/>
      <c r="AC289" s="52"/>
      <c r="AD289" s="52"/>
      <c r="AE289" s="52"/>
      <c r="AF289" s="52"/>
      <c r="AG289" s="52"/>
      <c r="AH289" s="52"/>
      <c r="AI289" s="52"/>
      <c r="AJ289" s="52"/>
      <c r="AK289" s="78"/>
      <c r="AL289" s="52"/>
      <c r="AM289" s="52"/>
      <c r="AN289" s="52"/>
      <c r="AO289" s="52"/>
      <c r="AP289" s="52"/>
      <c r="AQ289" s="52"/>
      <c r="AR289" s="112">
        <v>347.53</v>
      </c>
      <c r="AS289" s="27">
        <f t="shared" si="112"/>
        <v>782.72522522522513</v>
      </c>
      <c r="AT289" s="52"/>
      <c r="AU289" s="52"/>
      <c r="AV289" s="52"/>
      <c r="AW289" s="52"/>
      <c r="AX289" s="52"/>
      <c r="AY289" s="52"/>
      <c r="AZ289" s="52"/>
      <c r="BA289" s="52"/>
      <c r="BB289" s="293" t="s">
        <v>80</v>
      </c>
      <c r="BC289" s="293"/>
      <c r="BD289" s="293"/>
      <c r="BE289" s="293"/>
      <c r="BF289" s="293"/>
      <c r="BG289" s="294">
        <v>19.25</v>
      </c>
      <c r="BH289" s="294">
        <v>8.6</v>
      </c>
      <c r="BI289" s="294">
        <v>12.5</v>
      </c>
      <c r="BJ289" s="291">
        <f t="shared" si="104"/>
        <v>1.1975549768518519</v>
      </c>
      <c r="BK289" s="294">
        <f>5.51+0.25</f>
        <v>5.76</v>
      </c>
      <c r="BL289" s="341"/>
      <c r="BM289" s="341"/>
      <c r="BN289" s="39" t="s">
        <v>64</v>
      </c>
      <c r="BO289" s="32">
        <v>1</v>
      </c>
      <c r="BP289" s="32">
        <v>10</v>
      </c>
      <c r="BQ289" s="32">
        <v>3</v>
      </c>
      <c r="BR289" s="32">
        <f t="shared" si="113"/>
        <v>30</v>
      </c>
      <c r="BS289" s="32">
        <f t="shared" si="111"/>
        <v>222.79999999999998</v>
      </c>
      <c r="BT289" s="32" t="s">
        <v>62</v>
      </c>
      <c r="BU289" s="32"/>
      <c r="BV289" s="92"/>
      <c r="BW289" s="92"/>
      <c r="BX289" s="92"/>
      <c r="BY289" s="15"/>
      <c r="BZ289" s="15"/>
      <c r="CA289" s="15"/>
      <c r="CB289" s="15"/>
      <c r="CC289" s="15"/>
      <c r="CD289" s="15"/>
      <c r="CE289" s="15"/>
      <c r="CF289" s="15"/>
    </row>
    <row r="290" spans="1:84" s="56" customFormat="1" ht="30" x14ac:dyDescent="0.25">
      <c r="A290" s="57">
        <v>42264</v>
      </c>
      <c r="B290" s="350" t="s">
        <v>14</v>
      </c>
      <c r="C290" s="78" t="s">
        <v>1226</v>
      </c>
      <c r="D290" s="52" t="s">
        <v>73</v>
      </c>
      <c r="E290" s="45" t="s">
        <v>85</v>
      </c>
      <c r="F290" s="102" t="s">
        <v>3511</v>
      </c>
      <c r="G290" s="188" t="s">
        <v>2051</v>
      </c>
      <c r="H290" s="37" t="s">
        <v>1227</v>
      </c>
      <c r="I290" s="37"/>
      <c r="J290" s="37"/>
      <c r="K290" s="29"/>
      <c r="L290" s="30"/>
      <c r="M290" s="91"/>
      <c r="N290" s="91"/>
      <c r="O290" s="91"/>
      <c r="P290" s="91"/>
      <c r="Q290" s="91"/>
      <c r="R290" s="91"/>
      <c r="S290" s="91"/>
      <c r="T290" s="91"/>
      <c r="U290" s="113"/>
      <c r="V290" s="113"/>
      <c r="W290" s="29"/>
      <c r="X290" s="113"/>
      <c r="Y290" s="37" t="s">
        <v>1227</v>
      </c>
      <c r="Z290" s="113"/>
      <c r="AA290" s="114"/>
      <c r="AB290" s="88"/>
      <c r="AC290" s="52"/>
      <c r="AD290" s="52"/>
      <c r="AE290" s="52"/>
      <c r="AF290" s="52"/>
      <c r="AG290" s="52"/>
      <c r="AH290" s="52"/>
      <c r="AI290" s="52"/>
      <c r="AJ290" s="52"/>
      <c r="AK290" s="78"/>
      <c r="AL290" s="52"/>
      <c r="AM290" s="52"/>
      <c r="AN290" s="52"/>
      <c r="AO290" s="52"/>
      <c r="AP290" s="52"/>
      <c r="AQ290" s="52"/>
      <c r="AR290" s="112">
        <v>268.5</v>
      </c>
      <c r="AS290" s="27">
        <f t="shared" si="112"/>
        <v>604.72972972972968</v>
      </c>
      <c r="AT290" s="40" t="s">
        <v>1228</v>
      </c>
      <c r="AU290" s="40" t="s">
        <v>1229</v>
      </c>
      <c r="AV290" s="40"/>
      <c r="AW290" s="40"/>
      <c r="AX290" s="40"/>
      <c r="AY290" s="40"/>
      <c r="AZ290" s="40"/>
      <c r="BA290" s="40"/>
      <c r="BB290" s="293" t="s">
        <v>80</v>
      </c>
      <c r="BC290" s="293"/>
      <c r="BD290" s="293"/>
      <c r="BE290" s="293"/>
      <c r="BF290" s="293"/>
      <c r="BG290" s="294">
        <v>11.505000000000001</v>
      </c>
      <c r="BH290" s="294">
        <v>11.505000000000001</v>
      </c>
      <c r="BI290" s="294">
        <v>24.63</v>
      </c>
      <c r="BJ290" s="291">
        <f t="shared" si="104"/>
        <v>1.8866612070312501</v>
      </c>
      <c r="BK290" s="294">
        <f>7.84+0.4</f>
        <v>8.24</v>
      </c>
      <c r="BL290" s="341"/>
      <c r="BM290" s="341"/>
      <c r="BN290" s="39" t="s">
        <v>64</v>
      </c>
      <c r="BO290" s="32">
        <v>1</v>
      </c>
      <c r="BP290" s="32">
        <v>6</v>
      </c>
      <c r="BQ290" s="32">
        <v>1</v>
      </c>
      <c r="BR290" s="32">
        <f t="shared" si="113"/>
        <v>6</v>
      </c>
      <c r="BS290" s="32">
        <f t="shared" si="111"/>
        <v>99.44</v>
      </c>
      <c r="BT290" s="32" t="s">
        <v>62</v>
      </c>
      <c r="BU290" s="32"/>
      <c r="BV290" s="92"/>
      <c r="BW290" s="92"/>
      <c r="BX290" s="92"/>
      <c r="BY290" s="15"/>
      <c r="BZ290" s="15"/>
      <c r="CA290" s="15"/>
      <c r="CB290" s="15"/>
      <c r="CC290" s="15"/>
      <c r="CD290" s="15"/>
      <c r="CE290" s="15"/>
      <c r="CF290" s="15"/>
    </row>
    <row r="291" spans="1:84" s="56" customFormat="1" ht="30" x14ac:dyDescent="0.25">
      <c r="A291" s="57">
        <v>42264</v>
      </c>
      <c r="B291" s="350" t="s">
        <v>14</v>
      </c>
      <c r="C291" s="296" t="s">
        <v>1230</v>
      </c>
      <c r="D291" s="52" t="s">
        <v>73</v>
      </c>
      <c r="E291" s="115" t="s">
        <v>1231</v>
      </c>
      <c r="F291" s="102" t="s">
        <v>3512</v>
      </c>
      <c r="G291" s="188" t="s">
        <v>2051</v>
      </c>
      <c r="H291" s="52">
        <v>925837</v>
      </c>
      <c r="I291" s="116" t="s">
        <v>1232</v>
      </c>
      <c r="J291" s="29">
        <v>757051</v>
      </c>
      <c r="K291" s="116" t="s">
        <v>1232</v>
      </c>
      <c r="L291" s="29">
        <v>7559101</v>
      </c>
      <c r="M291" s="29" t="s">
        <v>1233</v>
      </c>
      <c r="N291" s="52" t="s">
        <v>1234</v>
      </c>
      <c r="O291" s="52" t="s">
        <v>285</v>
      </c>
      <c r="P291" s="52">
        <v>925836</v>
      </c>
      <c r="Q291" s="91"/>
      <c r="R291" s="91"/>
      <c r="S291" s="91"/>
      <c r="T291" s="91"/>
      <c r="U291" s="113" t="s">
        <v>1235</v>
      </c>
      <c r="V291" s="113"/>
      <c r="W291" s="29">
        <v>84888</v>
      </c>
      <c r="X291" s="113"/>
      <c r="Y291" s="114" t="s">
        <v>1236</v>
      </c>
      <c r="Z291" s="113"/>
      <c r="AA291" s="114" t="s">
        <v>1237</v>
      </c>
      <c r="AB291" s="88"/>
      <c r="AC291" s="52"/>
      <c r="AD291" s="52"/>
      <c r="AE291" s="52"/>
      <c r="AF291" s="52"/>
      <c r="AG291" s="52"/>
      <c r="AH291" s="52"/>
      <c r="AI291" s="52"/>
      <c r="AJ291" s="52"/>
      <c r="AK291" s="78">
        <v>7888</v>
      </c>
      <c r="AL291" s="52"/>
      <c r="AM291" s="52"/>
      <c r="AN291" s="52"/>
      <c r="AO291" s="52"/>
      <c r="AP291" s="52"/>
      <c r="AQ291" s="52">
        <v>57888</v>
      </c>
      <c r="AR291" s="112">
        <v>164.76</v>
      </c>
      <c r="AS291" s="27">
        <f t="shared" si="112"/>
        <v>371.08108108108104</v>
      </c>
      <c r="AT291" s="31" t="s">
        <v>1238</v>
      </c>
      <c r="AU291" s="31" t="s">
        <v>1239</v>
      </c>
      <c r="AV291" s="31"/>
      <c r="AW291" s="31"/>
      <c r="AX291" s="31"/>
      <c r="AY291" s="31"/>
      <c r="AZ291" s="31"/>
      <c r="BA291" s="31"/>
      <c r="BB291" s="294" t="s">
        <v>1024</v>
      </c>
      <c r="BC291" s="298"/>
      <c r="BD291" s="298"/>
      <c r="BE291" s="298"/>
      <c r="BF291" s="298"/>
      <c r="BG291" s="295">
        <v>3.5</v>
      </c>
      <c r="BH291" s="295">
        <v>3.5</v>
      </c>
      <c r="BI291" s="295">
        <v>10.25</v>
      </c>
      <c r="BJ291" s="291">
        <f t="shared" si="104"/>
        <v>7.2663483796296294E-2</v>
      </c>
      <c r="BK291" s="295">
        <f>0.8*BO291+0.4</f>
        <v>10.000000000000002</v>
      </c>
      <c r="BL291" s="344"/>
      <c r="BM291" s="344"/>
      <c r="BN291" s="52" t="s">
        <v>64</v>
      </c>
      <c r="BO291" s="296">
        <v>12</v>
      </c>
      <c r="BP291" s="296">
        <v>9</v>
      </c>
      <c r="BQ291" s="296">
        <v>4</v>
      </c>
      <c r="BR291" s="32">
        <f t="shared" si="113"/>
        <v>432</v>
      </c>
      <c r="BS291" s="32">
        <f t="shared" si="111"/>
        <v>410.00000000000006</v>
      </c>
      <c r="BT291" s="32" t="s">
        <v>62</v>
      </c>
      <c r="BU291" s="32" t="s">
        <v>67</v>
      </c>
      <c r="BV291" s="92"/>
      <c r="BW291" s="92"/>
      <c r="BX291" s="92"/>
      <c r="BY291" s="15"/>
      <c r="BZ291" s="15"/>
      <c r="CA291" s="15"/>
      <c r="CB291" s="15"/>
      <c r="CC291" s="15"/>
      <c r="CD291" s="15"/>
      <c r="CE291" s="15"/>
      <c r="CF291" s="15"/>
    </row>
    <row r="292" spans="1:84" s="56" customFormat="1" x14ac:dyDescent="0.25">
      <c r="A292" s="57">
        <v>42264</v>
      </c>
      <c r="B292" s="350" t="s">
        <v>14</v>
      </c>
      <c r="C292" s="45" t="s">
        <v>1240</v>
      </c>
      <c r="D292" s="52" t="s">
        <v>73</v>
      </c>
      <c r="E292" s="45" t="s">
        <v>1201</v>
      </c>
      <c r="F292" s="59" t="s">
        <v>3513</v>
      </c>
      <c r="G292" s="188" t="s">
        <v>1032</v>
      </c>
      <c r="H292" s="37"/>
      <c r="I292" s="37"/>
      <c r="J292" s="37"/>
      <c r="K292" s="29"/>
      <c r="L292" s="30"/>
      <c r="M292" s="91"/>
      <c r="N292" s="91"/>
      <c r="O292" s="91"/>
      <c r="P292" s="91"/>
      <c r="Q292" s="91"/>
      <c r="R292" s="91"/>
      <c r="S292" s="91"/>
      <c r="T292" s="91"/>
      <c r="U292" s="113"/>
      <c r="V292" s="113"/>
      <c r="W292" s="29"/>
      <c r="X292" s="113"/>
      <c r="Y292" s="114"/>
      <c r="Z292" s="113"/>
      <c r="AA292" s="114"/>
      <c r="AB292" s="88"/>
      <c r="AC292" s="52"/>
      <c r="AD292" s="52"/>
      <c r="AE292" s="52"/>
      <c r="AF292" s="52"/>
      <c r="AG292" s="52"/>
      <c r="AH292" s="52"/>
      <c r="AI292" s="52"/>
      <c r="AJ292" s="52"/>
      <c r="AK292" s="78"/>
      <c r="AL292" s="52"/>
      <c r="AM292" s="52"/>
      <c r="AN292" s="52"/>
      <c r="AO292" s="52"/>
      <c r="AP292" s="52"/>
      <c r="AQ292" s="52"/>
      <c r="AR292" s="112">
        <v>34.520000000000003</v>
      </c>
      <c r="AS292" s="27">
        <f t="shared" si="112"/>
        <v>77.747747747747752</v>
      </c>
      <c r="AT292" s="31" t="s">
        <v>1241</v>
      </c>
      <c r="AU292" s="31" t="s">
        <v>1242</v>
      </c>
      <c r="AV292" s="31"/>
      <c r="AW292" s="31"/>
      <c r="AX292" s="31"/>
      <c r="AY292" s="31"/>
      <c r="AZ292" s="31"/>
      <c r="BA292" s="31"/>
      <c r="BB292" s="294" t="s">
        <v>1024</v>
      </c>
      <c r="BC292" s="298"/>
      <c r="BD292" s="298"/>
      <c r="BE292" s="298"/>
      <c r="BF292" s="298"/>
      <c r="BG292" s="294">
        <v>7.9950000000000001</v>
      </c>
      <c r="BH292" s="294">
        <v>7.9950000000000001</v>
      </c>
      <c r="BI292" s="294">
        <v>11.5</v>
      </c>
      <c r="BJ292" s="291">
        <f>(BI292*BH292*BG292)/1728</f>
        <v>0.42539368489583329</v>
      </c>
      <c r="BK292" s="294">
        <v>5.23</v>
      </c>
      <c r="BL292" s="341"/>
      <c r="BM292" s="341"/>
      <c r="BN292" s="39" t="s">
        <v>64</v>
      </c>
      <c r="BO292" s="32">
        <v>1</v>
      </c>
      <c r="BP292" s="32">
        <v>30</v>
      </c>
      <c r="BQ292" s="32">
        <v>3</v>
      </c>
      <c r="BR292" s="32">
        <f>BO292*BP292*BQ292</f>
        <v>90</v>
      </c>
      <c r="BS292" s="32">
        <f>(BK292*BP292*BQ292)+50</f>
        <v>520.70000000000005</v>
      </c>
      <c r="BT292" s="32" t="s">
        <v>62</v>
      </c>
      <c r="BU292" s="32" t="s">
        <v>67</v>
      </c>
      <c r="BV292" s="92"/>
      <c r="BW292" s="92"/>
      <c r="BX292" s="92"/>
      <c r="BY292" s="15"/>
      <c r="BZ292" s="15"/>
      <c r="CA292" s="15"/>
      <c r="CB292" s="15"/>
      <c r="CC292" s="15"/>
      <c r="CD292" s="15"/>
      <c r="CE292" s="15"/>
      <c r="CF292" s="15"/>
    </row>
    <row r="293" spans="1:84" s="56" customFormat="1" x14ac:dyDescent="0.25">
      <c r="A293" s="57">
        <v>42264</v>
      </c>
      <c r="B293" s="350" t="s">
        <v>14</v>
      </c>
      <c r="C293" s="78" t="s">
        <v>1243</v>
      </c>
      <c r="D293" s="52" t="s">
        <v>73</v>
      </c>
      <c r="E293" s="45" t="s">
        <v>1244</v>
      </c>
      <c r="F293" s="59" t="s">
        <v>3514</v>
      </c>
      <c r="G293" s="188" t="s">
        <v>2051</v>
      </c>
      <c r="H293" s="37"/>
      <c r="I293" s="37"/>
      <c r="J293" s="37"/>
      <c r="K293" s="29"/>
      <c r="L293" s="30"/>
      <c r="M293" s="91"/>
      <c r="N293" s="91"/>
      <c r="O293" s="91"/>
      <c r="P293" s="91"/>
      <c r="Q293" s="91"/>
      <c r="R293" s="91"/>
      <c r="S293" s="91"/>
      <c r="T293" s="91"/>
      <c r="U293" s="113"/>
      <c r="V293" s="113"/>
      <c r="W293" s="29"/>
      <c r="X293" s="113"/>
      <c r="Y293" s="114"/>
      <c r="Z293" s="113"/>
      <c r="AA293" s="114"/>
      <c r="AB293" s="88"/>
      <c r="AC293" s="52"/>
      <c r="AD293" s="52"/>
      <c r="AE293" s="52"/>
      <c r="AF293" s="52"/>
      <c r="AG293" s="52"/>
      <c r="AH293" s="52"/>
      <c r="AI293" s="52"/>
      <c r="AJ293" s="52"/>
      <c r="AK293" s="78"/>
      <c r="AL293" s="52"/>
      <c r="AM293" s="52"/>
      <c r="AN293" s="52"/>
      <c r="AO293" s="52"/>
      <c r="AP293" s="52"/>
      <c r="AQ293" s="52"/>
      <c r="AR293" s="112">
        <v>21.23</v>
      </c>
      <c r="AS293" s="27">
        <f t="shared" si="112"/>
        <v>47.815315315315317</v>
      </c>
      <c r="AT293" s="40" t="s">
        <v>1245</v>
      </c>
      <c r="AU293" s="40" t="s">
        <v>1246</v>
      </c>
      <c r="AV293" s="40"/>
      <c r="AW293" s="40"/>
      <c r="AX293" s="40"/>
      <c r="AY293" s="40"/>
      <c r="AZ293" s="40"/>
      <c r="BA293" s="40"/>
      <c r="BB293" s="294" t="s">
        <v>1247</v>
      </c>
      <c r="BC293" s="298"/>
      <c r="BD293" s="298"/>
      <c r="BE293" s="298"/>
      <c r="BF293" s="298"/>
      <c r="BG293" s="294">
        <v>5.75</v>
      </c>
      <c r="BH293" s="294">
        <v>5.25</v>
      </c>
      <c r="BI293" s="294">
        <v>3.63</v>
      </c>
      <c r="BJ293" s="291">
        <f>(BI293*BH293*BG293)/1728</f>
        <v>6.3414713541666667E-2</v>
      </c>
      <c r="BK293" s="52"/>
      <c r="BL293" s="52"/>
      <c r="BM293" s="52"/>
      <c r="BN293" s="39" t="s">
        <v>64</v>
      </c>
      <c r="BO293" s="32">
        <v>6</v>
      </c>
      <c r="BP293" s="32">
        <v>56</v>
      </c>
      <c r="BQ293" s="32">
        <v>12</v>
      </c>
      <c r="BR293" s="32">
        <f>BO293*BP293*BQ293</f>
        <v>4032</v>
      </c>
      <c r="BS293" s="32">
        <f>(BK293*BP293*BQ293)+50</f>
        <v>50</v>
      </c>
      <c r="BT293" s="32" t="s">
        <v>62</v>
      </c>
      <c r="BU293" s="32" t="s">
        <v>67</v>
      </c>
      <c r="BV293" s="92"/>
      <c r="BW293" s="92"/>
      <c r="BX293" s="92"/>
      <c r="BY293" s="15"/>
      <c r="BZ293" s="15"/>
      <c r="CA293" s="15"/>
      <c r="CB293" s="15"/>
      <c r="CC293" s="15"/>
      <c r="CD293" s="15"/>
      <c r="CE293" s="15"/>
      <c r="CF293" s="15"/>
    </row>
    <row r="294" spans="1:84" s="56" customFormat="1" x14ac:dyDescent="0.25">
      <c r="A294" s="57">
        <v>42264</v>
      </c>
      <c r="B294" s="350" t="s">
        <v>14</v>
      </c>
      <c r="C294" s="45" t="s">
        <v>1248</v>
      </c>
      <c r="D294" s="52" t="s">
        <v>73</v>
      </c>
      <c r="E294" s="45" t="s">
        <v>84</v>
      </c>
      <c r="F294" s="36" t="s">
        <v>3515</v>
      </c>
      <c r="G294" s="188" t="s">
        <v>2051</v>
      </c>
      <c r="H294" s="37" t="s">
        <v>1249</v>
      </c>
      <c r="I294" s="37"/>
      <c r="J294" s="37"/>
      <c r="K294" s="29"/>
      <c r="L294" s="30"/>
      <c r="M294" s="91"/>
      <c r="N294" s="91"/>
      <c r="O294" s="91"/>
      <c r="P294" s="91"/>
      <c r="Q294" s="91"/>
      <c r="R294" s="91"/>
      <c r="S294" s="91"/>
      <c r="T294" s="91"/>
      <c r="U294" s="113"/>
      <c r="V294" s="113"/>
      <c r="W294" s="29"/>
      <c r="X294" s="113"/>
      <c r="Y294" s="114"/>
      <c r="Z294" s="113"/>
      <c r="AA294" s="114"/>
      <c r="AB294" s="88"/>
      <c r="AC294" s="52"/>
      <c r="AD294" s="52"/>
      <c r="AE294" s="52"/>
      <c r="AF294" s="52"/>
      <c r="AG294" s="52"/>
      <c r="AH294" s="52" t="s">
        <v>1250</v>
      </c>
      <c r="AI294" s="52"/>
      <c r="AJ294" s="52"/>
      <c r="AK294" s="78"/>
      <c r="AL294" s="52"/>
      <c r="AM294" s="52"/>
      <c r="AN294" s="52"/>
      <c r="AO294" s="52"/>
      <c r="AP294" s="52"/>
      <c r="AQ294" s="52">
        <v>57306</v>
      </c>
      <c r="AR294" s="112">
        <v>89.43</v>
      </c>
      <c r="AS294" s="27">
        <f t="shared" si="112"/>
        <v>201.41891891891893</v>
      </c>
      <c r="AT294" s="31" t="s">
        <v>1251</v>
      </c>
      <c r="AU294" s="31" t="s">
        <v>1252</v>
      </c>
      <c r="AV294" s="31"/>
      <c r="AW294" s="31"/>
      <c r="AX294" s="31"/>
      <c r="AY294" s="31"/>
      <c r="AZ294" s="31"/>
      <c r="BA294" s="31"/>
      <c r="BB294" s="294">
        <v>4.7859999999999996</v>
      </c>
      <c r="BC294" s="294">
        <v>4.7859999999999996</v>
      </c>
      <c r="BD294" s="294">
        <v>8.1969999999999992</v>
      </c>
      <c r="BE294" s="291">
        <f>(BD294*BC294*BB294)/1728</f>
        <v>0.10865671864120367</v>
      </c>
      <c r="BF294" s="294">
        <v>0.79</v>
      </c>
      <c r="BG294" s="294">
        <v>14.805999999999999</v>
      </c>
      <c r="BH294" s="294">
        <v>10.055999999999999</v>
      </c>
      <c r="BI294" s="294">
        <v>9.4819999999999993</v>
      </c>
      <c r="BJ294" s="291">
        <f>(BI294*BH294*BG294)/1728</f>
        <v>0.81699466872222215</v>
      </c>
      <c r="BK294" s="294">
        <f>BF294*BO294+0.25</f>
        <v>4.99</v>
      </c>
      <c r="BL294" s="341"/>
      <c r="BM294" s="341"/>
      <c r="BN294" s="39" t="s">
        <v>64</v>
      </c>
      <c r="BO294" s="32">
        <v>6</v>
      </c>
      <c r="BP294" s="32">
        <v>12</v>
      </c>
      <c r="BQ294" s="32">
        <v>5</v>
      </c>
      <c r="BR294" s="32">
        <f>BO294*BP294*BQ294</f>
        <v>360</v>
      </c>
      <c r="BS294" s="32">
        <f>(BK294*BP294*BQ294)+50</f>
        <v>349.40000000000003</v>
      </c>
      <c r="BT294" s="32" t="s">
        <v>1253</v>
      </c>
      <c r="BU294" s="32" t="s">
        <v>67</v>
      </c>
      <c r="BV294" s="92"/>
      <c r="BW294" s="92"/>
      <c r="BX294" s="92"/>
      <c r="BY294" s="15"/>
      <c r="BZ294" s="15"/>
      <c r="CA294" s="15"/>
      <c r="CB294" s="15"/>
      <c r="CC294" s="15"/>
      <c r="CD294" s="15"/>
      <c r="CE294" s="15"/>
      <c r="CF294" s="15"/>
    </row>
    <row r="295" spans="1:84" s="56" customFormat="1" x14ac:dyDescent="0.25">
      <c r="A295" s="57">
        <v>42264</v>
      </c>
      <c r="B295" s="350" t="s">
        <v>14</v>
      </c>
      <c r="C295" s="45" t="s">
        <v>1254</v>
      </c>
      <c r="D295" s="52" t="s">
        <v>73</v>
      </c>
      <c r="E295" s="45" t="s">
        <v>1201</v>
      </c>
      <c r="F295" s="59" t="s">
        <v>3516</v>
      </c>
      <c r="G295" s="188" t="s">
        <v>1040</v>
      </c>
      <c r="H295" s="52"/>
      <c r="I295" s="52"/>
      <c r="J295" s="52"/>
      <c r="K295" s="29"/>
      <c r="L295" s="30"/>
      <c r="M295" s="91"/>
      <c r="N295" s="91"/>
      <c r="O295" s="91"/>
      <c r="P295" s="91"/>
      <c r="Q295" s="91"/>
      <c r="R295" s="91"/>
      <c r="S295" s="91"/>
      <c r="T295" s="91"/>
      <c r="U295" s="113"/>
      <c r="V295" s="113"/>
      <c r="W295" s="29"/>
      <c r="X295" s="113"/>
      <c r="Y295" s="114"/>
      <c r="Z295" s="113"/>
      <c r="AA295" s="114"/>
      <c r="AB295" s="88"/>
      <c r="AC295" s="52"/>
      <c r="AD295" s="52"/>
      <c r="AE295" s="52"/>
      <c r="AF295" s="52"/>
      <c r="AG295" s="52"/>
      <c r="AH295" s="52"/>
      <c r="AI295" s="52"/>
      <c r="AJ295" s="52"/>
      <c r="AK295" s="78"/>
      <c r="AL295" s="52"/>
      <c r="AM295" s="52"/>
      <c r="AN295" s="52"/>
      <c r="AO295" s="52"/>
      <c r="AP295" s="52"/>
      <c r="AQ295" s="52"/>
      <c r="AR295" s="112">
        <v>87.17</v>
      </c>
      <c r="AS295" s="27">
        <f t="shared" si="112"/>
        <v>196.32882882882882</v>
      </c>
      <c r="AT295" s="31" t="s">
        <v>1255</v>
      </c>
      <c r="AU295" s="31" t="s">
        <v>1256</v>
      </c>
      <c r="AV295" s="31"/>
      <c r="AW295" s="31"/>
      <c r="AX295" s="31"/>
      <c r="AY295" s="31"/>
      <c r="AZ295" s="31"/>
      <c r="BA295" s="31"/>
      <c r="BB295" s="294" t="s">
        <v>1024</v>
      </c>
      <c r="BC295" s="294"/>
      <c r="BD295" s="294"/>
      <c r="BE295" s="294"/>
      <c r="BF295" s="294"/>
      <c r="BG295" s="294">
        <v>10.25</v>
      </c>
      <c r="BH295" s="294">
        <v>8</v>
      </c>
      <c r="BI295" s="294">
        <v>10.5</v>
      </c>
      <c r="BJ295" s="291">
        <f t="shared" ref="BJ295:BJ310" si="114">(BI295*BH295*BG295)/1728</f>
        <v>0.4982638888888889</v>
      </c>
      <c r="BK295" s="294">
        <v>5.97</v>
      </c>
      <c r="BL295" s="341"/>
      <c r="BM295" s="341"/>
      <c r="BN295" s="39" t="s">
        <v>64</v>
      </c>
      <c r="BO295" s="32">
        <v>1</v>
      </c>
      <c r="BP295" s="32">
        <v>22</v>
      </c>
      <c r="BQ295" s="32">
        <v>4</v>
      </c>
      <c r="BR295" s="32">
        <f t="shared" ref="BR295:BR310" si="115">BO295*BP295*BQ295</f>
        <v>88</v>
      </c>
      <c r="BS295" s="32">
        <f t="shared" ref="BS295:BS310" si="116">(BK295*BP295*BQ295)+50</f>
        <v>575.36</v>
      </c>
      <c r="BT295" s="32" t="s">
        <v>62</v>
      </c>
      <c r="BU295" s="32" t="s">
        <v>67</v>
      </c>
      <c r="BV295" s="92"/>
      <c r="BW295" s="92"/>
      <c r="BX295" s="92"/>
      <c r="BY295" s="15"/>
      <c r="BZ295" s="15"/>
      <c r="CA295" s="15"/>
      <c r="CB295" s="15"/>
      <c r="CC295" s="15"/>
      <c r="CD295" s="15"/>
      <c r="CE295" s="15"/>
      <c r="CF295" s="15"/>
    </row>
    <row r="296" spans="1:84" s="56" customFormat="1" x14ac:dyDescent="0.25">
      <c r="A296" s="57">
        <v>42264</v>
      </c>
      <c r="B296" s="350" t="s">
        <v>14</v>
      </c>
      <c r="C296" s="45" t="s">
        <v>1257</v>
      </c>
      <c r="D296" s="52" t="s">
        <v>73</v>
      </c>
      <c r="E296" s="45" t="s">
        <v>1201</v>
      </c>
      <c r="F296" s="37" t="s">
        <v>3517</v>
      </c>
      <c r="G296" s="188" t="s">
        <v>1040</v>
      </c>
      <c r="H296" s="52"/>
      <c r="I296" s="52"/>
      <c r="J296" s="52"/>
      <c r="K296" s="29"/>
      <c r="L296" s="30"/>
      <c r="M296" s="91"/>
      <c r="N296" s="91"/>
      <c r="O296" s="91"/>
      <c r="P296" s="91"/>
      <c r="Q296" s="91"/>
      <c r="R296" s="91"/>
      <c r="S296" s="91"/>
      <c r="T296" s="91"/>
      <c r="U296" s="113"/>
      <c r="V296" s="113"/>
      <c r="W296" s="29"/>
      <c r="X296" s="113"/>
      <c r="Y296" s="114"/>
      <c r="Z296" s="113"/>
      <c r="AA296" s="114"/>
      <c r="AB296" s="88"/>
      <c r="AC296" s="52"/>
      <c r="AD296" s="52"/>
      <c r="AE296" s="52"/>
      <c r="AF296" s="52"/>
      <c r="AG296" s="52"/>
      <c r="AH296" s="52"/>
      <c r="AI296" s="52"/>
      <c r="AJ296" s="52"/>
      <c r="AK296" s="78"/>
      <c r="AL296" s="52"/>
      <c r="AM296" s="52"/>
      <c r="AN296" s="52"/>
      <c r="AO296" s="52"/>
      <c r="AP296" s="52"/>
      <c r="AQ296" s="52"/>
      <c r="AR296" s="112">
        <v>40.479999999999997</v>
      </c>
      <c r="AS296" s="27">
        <f t="shared" si="112"/>
        <v>91.171171171171167</v>
      </c>
      <c r="AT296" s="31" t="s">
        <v>1258</v>
      </c>
      <c r="AU296" s="31" t="s">
        <v>1259</v>
      </c>
      <c r="AV296" s="31"/>
      <c r="AW296" s="31"/>
      <c r="AX296" s="31"/>
      <c r="AY296" s="31"/>
      <c r="AZ296" s="31"/>
      <c r="BA296" s="31"/>
      <c r="BB296" s="294" t="s">
        <v>1024</v>
      </c>
      <c r="BC296" s="294"/>
      <c r="BD296" s="294"/>
      <c r="BE296" s="294"/>
      <c r="BF296" s="294"/>
      <c r="BG296" s="294">
        <v>9</v>
      </c>
      <c r="BH296" s="294">
        <v>9</v>
      </c>
      <c r="BI296" s="294">
        <v>8.8699999999999992</v>
      </c>
      <c r="BJ296" s="291">
        <f t="shared" si="114"/>
        <v>0.41578124999999999</v>
      </c>
      <c r="BK296" s="294">
        <v>3.16</v>
      </c>
      <c r="BL296" s="341"/>
      <c r="BM296" s="341"/>
      <c r="BN296" s="39" t="s">
        <v>64</v>
      </c>
      <c r="BO296" s="32">
        <v>1</v>
      </c>
      <c r="BP296" s="32">
        <v>20</v>
      </c>
      <c r="BQ296" s="32">
        <v>5</v>
      </c>
      <c r="BR296" s="32">
        <f t="shared" si="115"/>
        <v>100</v>
      </c>
      <c r="BS296" s="32">
        <f t="shared" si="116"/>
        <v>366</v>
      </c>
      <c r="BT296" s="32" t="s">
        <v>62</v>
      </c>
      <c r="BU296" s="32" t="s">
        <v>67</v>
      </c>
      <c r="BV296" s="92"/>
      <c r="BW296" s="92"/>
      <c r="BX296" s="92"/>
      <c r="BY296" s="15"/>
      <c r="BZ296" s="15"/>
      <c r="CA296" s="15"/>
      <c r="CB296" s="15"/>
      <c r="CC296" s="15"/>
      <c r="CD296" s="15"/>
      <c r="CE296" s="15"/>
      <c r="CF296" s="15"/>
    </row>
    <row r="297" spans="1:84" s="56" customFormat="1" x14ac:dyDescent="0.25">
      <c r="A297" s="57">
        <v>42264</v>
      </c>
      <c r="B297" s="350" t="s">
        <v>14</v>
      </c>
      <c r="C297" s="45" t="s">
        <v>1260</v>
      </c>
      <c r="D297" s="52" t="s">
        <v>73</v>
      </c>
      <c r="E297" s="45" t="s">
        <v>1201</v>
      </c>
      <c r="F297" s="37" t="s">
        <v>3518</v>
      </c>
      <c r="G297" s="188" t="s">
        <v>1040</v>
      </c>
      <c r="H297" s="52"/>
      <c r="I297" s="52"/>
      <c r="J297" s="52"/>
      <c r="K297" s="59"/>
      <c r="L297" s="102"/>
      <c r="M297" s="91"/>
      <c r="N297" s="91"/>
      <c r="O297" s="91"/>
      <c r="P297" s="91"/>
      <c r="Q297" s="91"/>
      <c r="R297" s="91"/>
      <c r="S297" s="91"/>
      <c r="T297" s="91"/>
      <c r="U297" s="113"/>
      <c r="V297" s="113"/>
      <c r="W297" s="59"/>
      <c r="X297" s="113"/>
      <c r="Y297" s="53"/>
      <c r="Z297" s="113"/>
      <c r="AA297" s="53"/>
      <c r="AB297" s="88"/>
      <c r="AC297" s="52"/>
      <c r="AD297" s="52"/>
      <c r="AE297" s="52"/>
      <c r="AF297" s="52"/>
      <c r="AG297" s="52"/>
      <c r="AH297" s="52"/>
      <c r="AI297" s="52"/>
      <c r="AJ297" s="52"/>
      <c r="AK297" s="78"/>
      <c r="AL297" s="52"/>
      <c r="AM297" s="52"/>
      <c r="AN297" s="52"/>
      <c r="AO297" s="52"/>
      <c r="AP297" s="52"/>
      <c r="AQ297" s="52"/>
      <c r="AR297" s="112">
        <v>69.900000000000006</v>
      </c>
      <c r="AS297" s="27">
        <f t="shared" si="112"/>
        <v>157.43243243243245</v>
      </c>
      <c r="AT297" s="40" t="s">
        <v>1261</v>
      </c>
      <c r="AU297" s="40" t="s">
        <v>1262</v>
      </c>
      <c r="AV297" s="40"/>
      <c r="AW297" s="40"/>
      <c r="AX297" s="40"/>
      <c r="AY297" s="40"/>
      <c r="AZ297" s="40"/>
      <c r="BA297" s="40"/>
      <c r="BB297" s="294" t="s">
        <v>1024</v>
      </c>
      <c r="BC297" s="294"/>
      <c r="BD297" s="294"/>
      <c r="BE297" s="294"/>
      <c r="BF297" s="294"/>
      <c r="BG297" s="294">
        <v>8.5299999999999994</v>
      </c>
      <c r="BH297" s="294">
        <v>7.25</v>
      </c>
      <c r="BI297" s="294">
        <v>8.7799999999999994</v>
      </c>
      <c r="BJ297" s="291">
        <f t="shared" si="114"/>
        <v>0.31422288773148144</v>
      </c>
      <c r="BK297" s="294">
        <v>3.79</v>
      </c>
      <c r="BL297" s="341"/>
      <c r="BM297" s="341"/>
      <c r="BN297" s="68" t="s">
        <v>64</v>
      </c>
      <c r="BO297" s="32">
        <v>1</v>
      </c>
      <c r="BP297" s="32">
        <v>27</v>
      </c>
      <c r="BQ297" s="32">
        <v>4</v>
      </c>
      <c r="BR297" s="32">
        <f t="shared" si="115"/>
        <v>108</v>
      </c>
      <c r="BS297" s="32">
        <f t="shared" si="116"/>
        <v>459.32</v>
      </c>
      <c r="BT297" s="32" t="s">
        <v>62</v>
      </c>
      <c r="BU297" s="32" t="s">
        <v>67</v>
      </c>
      <c r="BV297" s="92"/>
      <c r="BW297" s="92"/>
      <c r="BX297" s="92"/>
      <c r="BY297" s="15"/>
      <c r="BZ297" s="15"/>
      <c r="CA297" s="15"/>
      <c r="CB297" s="15"/>
      <c r="CC297" s="15"/>
      <c r="CD297" s="15"/>
      <c r="CE297" s="15"/>
      <c r="CF297" s="15"/>
    </row>
    <row r="298" spans="1:84" s="56" customFormat="1" x14ac:dyDescent="0.25">
      <c r="A298" s="57">
        <v>42264</v>
      </c>
      <c r="B298" s="350" t="s">
        <v>14</v>
      </c>
      <c r="C298" s="45" t="s">
        <v>1263</v>
      </c>
      <c r="D298" s="52" t="s">
        <v>73</v>
      </c>
      <c r="E298" s="45" t="s">
        <v>1264</v>
      </c>
      <c r="F298" s="36" t="s">
        <v>3519</v>
      </c>
      <c r="G298" s="188" t="s">
        <v>2051</v>
      </c>
      <c r="H298" s="52" t="s">
        <v>1265</v>
      </c>
      <c r="I298" s="52"/>
      <c r="J298" s="52"/>
      <c r="K298" s="59"/>
      <c r="L298" s="102"/>
      <c r="M298" s="91"/>
      <c r="N298" s="91"/>
      <c r="O298" s="91"/>
      <c r="P298" s="91"/>
      <c r="Q298" s="91"/>
      <c r="R298" s="91"/>
      <c r="S298" s="91"/>
      <c r="T298" s="91"/>
      <c r="U298" s="113" t="s">
        <v>1266</v>
      </c>
      <c r="V298" s="113"/>
      <c r="W298" s="59"/>
      <c r="X298" s="113"/>
      <c r="Y298" s="53" t="s">
        <v>1267</v>
      </c>
      <c r="Z298" s="113"/>
      <c r="AA298" s="53" t="s">
        <v>1268</v>
      </c>
      <c r="AB298" s="88"/>
      <c r="AC298" s="52"/>
      <c r="AD298" s="52"/>
      <c r="AE298" s="52"/>
      <c r="AF298" s="52"/>
      <c r="AG298" s="52"/>
      <c r="AH298" s="52"/>
      <c r="AI298" s="52"/>
      <c r="AJ298" s="52"/>
      <c r="AK298" s="78"/>
      <c r="AL298" s="52"/>
      <c r="AM298" s="52"/>
      <c r="AN298" s="52"/>
      <c r="AO298" s="52"/>
      <c r="AP298" s="52"/>
      <c r="AQ298" s="52">
        <v>57221</v>
      </c>
      <c r="AR298" s="112">
        <v>45.88</v>
      </c>
      <c r="AS298" s="27">
        <f t="shared" si="112"/>
        <v>103.33333333333334</v>
      </c>
      <c r="AT298" s="40" t="s">
        <v>1269</v>
      </c>
      <c r="AU298" s="40" t="s">
        <v>1270</v>
      </c>
      <c r="AV298" s="40"/>
      <c r="AW298" s="40"/>
      <c r="AX298" s="40"/>
      <c r="AY298" s="40"/>
      <c r="AZ298" s="40"/>
      <c r="BA298" s="40"/>
      <c r="BB298" s="294">
        <v>4.3125</v>
      </c>
      <c r="BC298" s="294">
        <v>4.3129999999999997</v>
      </c>
      <c r="BD298" s="294">
        <v>6.75</v>
      </c>
      <c r="BE298" s="291">
        <f>(BD298*BC298*BB298)/1728</f>
        <v>7.2655517578124995E-2</v>
      </c>
      <c r="BF298" s="294">
        <v>2.37</v>
      </c>
      <c r="BG298" s="294">
        <v>13.680999999999999</v>
      </c>
      <c r="BH298" s="294">
        <v>9.2434999999999992</v>
      </c>
      <c r="BI298" s="294">
        <v>7.6120000000000001</v>
      </c>
      <c r="BJ298" s="291">
        <f t="shared" si="114"/>
        <v>0.55706943430671285</v>
      </c>
      <c r="BK298" s="294">
        <f>BF298*BO298+0.25</f>
        <v>14.47</v>
      </c>
      <c r="BL298" s="341"/>
      <c r="BM298" s="341"/>
      <c r="BN298" s="68" t="s">
        <v>64</v>
      </c>
      <c r="BO298" s="32">
        <v>6</v>
      </c>
      <c r="BP298" s="32">
        <v>13</v>
      </c>
      <c r="BQ298" s="32">
        <v>6</v>
      </c>
      <c r="BR298" s="32">
        <f t="shared" si="115"/>
        <v>468</v>
      </c>
      <c r="BS298" s="32">
        <f t="shared" si="116"/>
        <v>1178.6600000000001</v>
      </c>
      <c r="BT298" s="117" t="s">
        <v>62</v>
      </c>
      <c r="BU298" s="32" t="s">
        <v>67</v>
      </c>
      <c r="BV298" s="92"/>
      <c r="BW298" s="92"/>
      <c r="BX298" s="92"/>
      <c r="BY298" s="15"/>
      <c r="BZ298" s="15"/>
      <c r="CA298" s="15"/>
      <c r="CB298" s="15"/>
      <c r="CC298" s="15"/>
      <c r="CD298" s="15"/>
      <c r="CE298" s="15"/>
      <c r="CF298" s="15"/>
    </row>
    <row r="299" spans="1:84" s="56" customFormat="1" ht="30" x14ac:dyDescent="0.25">
      <c r="A299" s="57">
        <v>42264</v>
      </c>
      <c r="B299" s="350" t="s">
        <v>14</v>
      </c>
      <c r="C299" s="45" t="s">
        <v>1271</v>
      </c>
      <c r="D299" s="52" t="s">
        <v>73</v>
      </c>
      <c r="E299" s="45" t="s">
        <v>84</v>
      </c>
      <c r="F299" s="36" t="s">
        <v>3520</v>
      </c>
      <c r="G299" s="188" t="s">
        <v>2051</v>
      </c>
      <c r="H299" s="52" t="s">
        <v>1272</v>
      </c>
      <c r="I299" s="52" t="s">
        <v>1111</v>
      </c>
      <c r="J299" s="52" t="s">
        <v>1273</v>
      </c>
      <c r="K299" s="59"/>
      <c r="L299" s="102"/>
      <c r="M299" s="91"/>
      <c r="N299" s="91"/>
      <c r="O299" s="91"/>
      <c r="P299" s="91"/>
      <c r="Q299" s="91"/>
      <c r="R299" s="91"/>
      <c r="S299" s="91"/>
      <c r="T299" s="91"/>
      <c r="U299" s="113"/>
      <c r="V299" s="113"/>
      <c r="W299" s="59">
        <v>84669</v>
      </c>
      <c r="X299" s="113"/>
      <c r="Y299" s="53"/>
      <c r="Z299" s="113"/>
      <c r="AA299" s="53"/>
      <c r="AB299" s="88"/>
      <c r="AC299" s="52"/>
      <c r="AD299" s="52"/>
      <c r="AE299" s="52"/>
      <c r="AF299" s="52"/>
      <c r="AG299" s="52"/>
      <c r="AH299" s="52"/>
      <c r="AI299" s="52"/>
      <c r="AJ299" s="52"/>
      <c r="AK299" s="78">
        <v>7669</v>
      </c>
      <c r="AL299" s="52"/>
      <c r="AM299" s="52"/>
      <c r="AN299" s="52"/>
      <c r="AO299" s="52"/>
      <c r="AP299" s="52"/>
      <c r="AQ299" s="52">
        <v>57669</v>
      </c>
      <c r="AR299" s="112">
        <v>33.950000000000003</v>
      </c>
      <c r="AS299" s="27">
        <f t="shared" si="112"/>
        <v>76.463963963963963</v>
      </c>
      <c r="AT299" s="31" t="s">
        <v>1274</v>
      </c>
      <c r="AU299" s="31" t="s">
        <v>1275</v>
      </c>
      <c r="AV299" s="31"/>
      <c r="AW299" s="31"/>
      <c r="AX299" s="31"/>
      <c r="AY299" s="31"/>
      <c r="AZ299" s="31"/>
      <c r="BA299" s="31"/>
      <c r="BB299" s="432" t="s">
        <v>1024</v>
      </c>
      <c r="BC299" s="432"/>
      <c r="BD299" s="432"/>
      <c r="BE299" s="432"/>
      <c r="BF299" s="432"/>
      <c r="BG299" s="294">
        <v>19.125</v>
      </c>
      <c r="BH299" s="294">
        <v>14.494999999999999</v>
      </c>
      <c r="BI299" s="294">
        <v>10.37</v>
      </c>
      <c r="BJ299" s="291">
        <f t="shared" si="114"/>
        <v>1.6636221028645832</v>
      </c>
      <c r="BK299" s="294">
        <f>2.12*BO299+0.4</f>
        <v>25.84</v>
      </c>
      <c r="BL299" s="341"/>
      <c r="BM299" s="341"/>
      <c r="BN299" s="39" t="s">
        <v>64</v>
      </c>
      <c r="BO299" s="32">
        <v>12</v>
      </c>
      <c r="BP299" s="32">
        <v>6</v>
      </c>
      <c r="BQ299" s="32">
        <v>4</v>
      </c>
      <c r="BR299" s="32">
        <f t="shared" si="115"/>
        <v>288</v>
      </c>
      <c r="BS299" s="32">
        <f t="shared" si="116"/>
        <v>670.16</v>
      </c>
      <c r="BT299" s="32" t="s">
        <v>62</v>
      </c>
      <c r="BU299" s="32" t="s">
        <v>67</v>
      </c>
      <c r="BV299" s="92"/>
      <c r="BW299" s="92"/>
      <c r="BX299" s="92"/>
      <c r="BY299" s="15"/>
      <c r="BZ299" s="15"/>
      <c r="CA299" s="15"/>
      <c r="CB299" s="15"/>
      <c r="CC299" s="15"/>
      <c r="CD299" s="15"/>
      <c r="CE299" s="15"/>
      <c r="CF299" s="15"/>
    </row>
    <row r="300" spans="1:84" s="56" customFormat="1" x14ac:dyDescent="0.25">
      <c r="A300" s="57">
        <v>42264</v>
      </c>
      <c r="B300" s="350" t="s">
        <v>14</v>
      </c>
      <c r="C300" s="45" t="s">
        <v>1276</v>
      </c>
      <c r="D300" s="45" t="s">
        <v>240</v>
      </c>
      <c r="E300" s="45" t="s">
        <v>1277</v>
      </c>
      <c r="F300" s="36" t="s">
        <v>3521</v>
      </c>
      <c r="G300" s="188" t="s">
        <v>2051</v>
      </c>
      <c r="H300" s="52" t="s">
        <v>1279</v>
      </c>
      <c r="I300" s="52"/>
      <c r="J300" s="52"/>
      <c r="K300" s="59"/>
      <c r="L300" s="102"/>
      <c r="M300" s="91"/>
      <c r="N300" s="91"/>
      <c r="O300" s="91"/>
      <c r="P300" s="91"/>
      <c r="Q300" s="91"/>
      <c r="R300" s="91"/>
      <c r="S300" s="91"/>
      <c r="T300" s="91"/>
      <c r="U300" s="113"/>
      <c r="V300" s="113"/>
      <c r="W300" s="59"/>
      <c r="X300" s="113"/>
      <c r="Y300" s="53"/>
      <c r="Z300" s="113"/>
      <c r="AA300" s="53"/>
      <c r="AB300" s="88" t="s">
        <v>1280</v>
      </c>
      <c r="AC300" s="52"/>
      <c r="AD300" s="52"/>
      <c r="AE300" s="52" t="s">
        <v>1281</v>
      </c>
      <c r="AF300" s="52"/>
      <c r="AG300" s="52"/>
      <c r="AH300" s="52"/>
      <c r="AI300" s="52"/>
      <c r="AJ300" s="52"/>
      <c r="AK300" s="78"/>
      <c r="AL300" s="52" t="s">
        <v>1282</v>
      </c>
      <c r="AM300" s="52"/>
      <c r="AN300" s="52" t="s">
        <v>1283</v>
      </c>
      <c r="AO300" s="52"/>
      <c r="AP300" s="52" t="s">
        <v>1284</v>
      </c>
      <c r="AQ300" s="52">
        <v>49008</v>
      </c>
      <c r="AR300" s="112">
        <v>33.97</v>
      </c>
      <c r="AS300" s="27">
        <f t="shared" si="112"/>
        <v>76.509009009009006</v>
      </c>
      <c r="AT300" s="40" t="s">
        <v>1285</v>
      </c>
      <c r="AU300" s="40" t="s">
        <v>1286</v>
      </c>
      <c r="AV300" s="40"/>
      <c r="AW300" s="40"/>
      <c r="AX300" s="40"/>
      <c r="AY300" s="40"/>
      <c r="AZ300" s="40"/>
      <c r="BA300" s="40"/>
      <c r="BB300" s="294">
        <v>8.6560000000000006</v>
      </c>
      <c r="BC300" s="294">
        <v>2.286</v>
      </c>
      <c r="BD300" s="294">
        <v>13.942</v>
      </c>
      <c r="BE300" s="291">
        <f>(BD300*BC300*BB300)/1728</f>
        <v>0.15965216566666668</v>
      </c>
      <c r="BF300" s="294">
        <v>0.35</v>
      </c>
      <c r="BG300" s="294">
        <v>14.5</v>
      </c>
      <c r="BH300" s="294">
        <v>9.25</v>
      </c>
      <c r="BI300" s="294">
        <v>7.5</v>
      </c>
      <c r="BJ300" s="291">
        <f t="shared" si="114"/>
        <v>0.58213975694444442</v>
      </c>
      <c r="BK300" s="294">
        <f>BF300*BO300</f>
        <v>1.0499999999999998</v>
      </c>
      <c r="BL300" s="341"/>
      <c r="BM300" s="341"/>
      <c r="BN300" s="68" t="s">
        <v>64</v>
      </c>
      <c r="BO300" s="32">
        <v>3</v>
      </c>
      <c r="BP300" s="32">
        <v>13</v>
      </c>
      <c r="BQ300" s="32">
        <v>5</v>
      </c>
      <c r="BR300" s="32">
        <f t="shared" si="115"/>
        <v>195</v>
      </c>
      <c r="BS300" s="32">
        <f t="shared" si="116"/>
        <v>118.25</v>
      </c>
      <c r="BT300" s="117" t="s">
        <v>69</v>
      </c>
      <c r="BU300" s="32" t="s">
        <v>67</v>
      </c>
      <c r="BV300" s="92"/>
      <c r="BW300" s="92"/>
      <c r="BX300" s="92"/>
      <c r="BY300" s="15"/>
      <c r="BZ300" s="15"/>
      <c r="CA300" s="15"/>
      <c r="CB300" s="15"/>
      <c r="CC300" s="15"/>
      <c r="CD300" s="15"/>
      <c r="CE300" s="15"/>
      <c r="CF300" s="15"/>
    </row>
    <row r="301" spans="1:84" s="56" customFormat="1" x14ac:dyDescent="0.25">
      <c r="A301" s="57">
        <v>42264</v>
      </c>
      <c r="B301" s="350" t="s">
        <v>14</v>
      </c>
      <c r="C301" s="45" t="s">
        <v>1287</v>
      </c>
      <c r="D301" s="45" t="s">
        <v>240</v>
      </c>
      <c r="E301" s="45" t="s">
        <v>1288</v>
      </c>
      <c r="F301" s="36" t="s">
        <v>3522</v>
      </c>
      <c r="G301" s="188" t="s">
        <v>2051</v>
      </c>
      <c r="H301" s="52">
        <v>92234714</v>
      </c>
      <c r="I301" s="52" t="s">
        <v>1178</v>
      </c>
      <c r="J301" s="52" t="s">
        <v>1289</v>
      </c>
      <c r="K301" s="59"/>
      <c r="L301" s="102"/>
      <c r="M301" s="91"/>
      <c r="N301" s="91"/>
      <c r="O301" s="91"/>
      <c r="P301" s="91"/>
      <c r="Q301" s="91"/>
      <c r="R301" s="91"/>
      <c r="S301" s="91"/>
      <c r="T301" s="91"/>
      <c r="U301" s="113"/>
      <c r="V301" s="113"/>
      <c r="W301" s="59"/>
      <c r="X301" s="113"/>
      <c r="Y301" s="53"/>
      <c r="Z301" s="113"/>
      <c r="AA301" s="53"/>
      <c r="AB301" s="88" t="s">
        <v>1290</v>
      </c>
      <c r="AC301" s="52"/>
      <c r="AD301" s="52"/>
      <c r="AE301" s="52"/>
      <c r="AF301" s="52"/>
      <c r="AG301" s="52"/>
      <c r="AH301" s="52"/>
      <c r="AI301" s="52" t="s">
        <v>1291</v>
      </c>
      <c r="AJ301" s="52"/>
      <c r="AK301" s="78"/>
      <c r="AL301" s="52" t="s">
        <v>1292</v>
      </c>
      <c r="AM301" s="52" t="s">
        <v>1291</v>
      </c>
      <c r="AN301" s="52" t="s">
        <v>1292</v>
      </c>
      <c r="AO301" s="52"/>
      <c r="AP301" s="52" t="s">
        <v>1293</v>
      </c>
      <c r="AQ301" s="52">
        <v>24014</v>
      </c>
      <c r="AR301" s="112">
        <v>22.46</v>
      </c>
      <c r="AS301" s="27">
        <f t="shared" si="112"/>
        <v>50.585585585585584</v>
      </c>
      <c r="AT301" s="40" t="s">
        <v>1294</v>
      </c>
      <c r="AU301" s="40" t="s">
        <v>1295</v>
      </c>
      <c r="AV301" s="40"/>
      <c r="AW301" s="40"/>
      <c r="AX301" s="40"/>
      <c r="AY301" s="40"/>
      <c r="AZ301" s="40"/>
      <c r="BA301" s="40"/>
      <c r="BB301" s="294" t="s">
        <v>1024</v>
      </c>
      <c r="BC301" s="294"/>
      <c r="BD301" s="294"/>
      <c r="BE301" s="294"/>
      <c r="BF301" s="294"/>
      <c r="BG301" s="294">
        <v>11.38</v>
      </c>
      <c r="BH301" s="294">
        <v>10.5</v>
      </c>
      <c r="BI301" s="294">
        <v>6.13</v>
      </c>
      <c r="BJ301" s="291">
        <f t="shared" si="114"/>
        <v>0.42388524305555558</v>
      </c>
      <c r="BK301" s="294">
        <f>0.72*BO301+0.25</f>
        <v>4.57</v>
      </c>
      <c r="BL301" s="341"/>
      <c r="BM301" s="341"/>
      <c r="BN301" s="68" t="s">
        <v>64</v>
      </c>
      <c r="BO301" s="32">
        <v>6</v>
      </c>
      <c r="BP301" s="32">
        <v>12</v>
      </c>
      <c r="BQ301" s="32">
        <v>6</v>
      </c>
      <c r="BR301" s="32">
        <f t="shared" si="115"/>
        <v>432</v>
      </c>
      <c r="BS301" s="32">
        <f t="shared" si="116"/>
        <v>379.04</v>
      </c>
      <c r="BT301" s="117" t="s">
        <v>69</v>
      </c>
      <c r="BU301" s="32" t="s">
        <v>67</v>
      </c>
      <c r="BV301" s="92"/>
      <c r="BW301" s="92"/>
      <c r="BX301" s="92"/>
      <c r="BY301" s="15"/>
      <c r="BZ301" s="15"/>
      <c r="CA301" s="15"/>
      <c r="CB301" s="15"/>
      <c r="CC301" s="15"/>
      <c r="CD301" s="15"/>
      <c r="CE301" s="15"/>
      <c r="CF301" s="15"/>
    </row>
    <row r="302" spans="1:84" s="56" customFormat="1" x14ac:dyDescent="0.25">
      <c r="A302" s="57">
        <v>42264</v>
      </c>
      <c r="B302" s="350" t="s">
        <v>14</v>
      </c>
      <c r="C302" s="45" t="s">
        <v>1296</v>
      </c>
      <c r="D302" s="45" t="s">
        <v>240</v>
      </c>
      <c r="E302" s="45" t="s">
        <v>1277</v>
      </c>
      <c r="F302" s="36" t="s">
        <v>1297</v>
      </c>
      <c r="G302" s="188" t="s">
        <v>2051</v>
      </c>
      <c r="H302" s="52">
        <v>20862288</v>
      </c>
      <c r="I302" s="52" t="s">
        <v>1178</v>
      </c>
      <c r="J302" s="52" t="s">
        <v>1298</v>
      </c>
      <c r="K302" s="59"/>
      <c r="L302" s="102"/>
      <c r="M302" s="91"/>
      <c r="N302" s="91"/>
      <c r="O302" s="91"/>
      <c r="P302" s="91"/>
      <c r="Q302" s="91"/>
      <c r="R302" s="91"/>
      <c r="S302" s="91"/>
      <c r="T302" s="91"/>
      <c r="U302" s="113" t="s">
        <v>1299</v>
      </c>
      <c r="V302" s="113"/>
      <c r="W302" s="59"/>
      <c r="X302" s="113"/>
      <c r="Y302" s="53"/>
      <c r="Z302" s="113"/>
      <c r="AA302" s="53"/>
      <c r="AB302" s="88" t="s">
        <v>1300</v>
      </c>
      <c r="AC302" s="52"/>
      <c r="AD302" s="52"/>
      <c r="AE302" s="52" t="s">
        <v>1301</v>
      </c>
      <c r="AF302" s="52"/>
      <c r="AG302" s="52"/>
      <c r="AH302" s="52"/>
      <c r="AI302" s="52"/>
      <c r="AJ302" s="52"/>
      <c r="AK302" s="78"/>
      <c r="AL302" s="52" t="s">
        <v>1302</v>
      </c>
      <c r="AM302" s="52" t="s">
        <v>1303</v>
      </c>
      <c r="AN302" s="52" t="s">
        <v>1304</v>
      </c>
      <c r="AO302" s="52"/>
      <c r="AP302" s="52" t="s">
        <v>1305</v>
      </c>
      <c r="AQ302" s="52">
        <v>49288</v>
      </c>
      <c r="AR302" s="112">
        <v>31.29</v>
      </c>
      <c r="AS302" s="27">
        <f t="shared" si="112"/>
        <v>70.472972972972968</v>
      </c>
      <c r="AT302" s="40" t="s">
        <v>1306</v>
      </c>
      <c r="AU302" s="40" t="s">
        <v>1307</v>
      </c>
      <c r="AV302" s="40"/>
      <c r="AW302" s="40"/>
      <c r="AX302" s="40"/>
      <c r="AY302" s="40"/>
      <c r="AZ302" s="40"/>
      <c r="BA302" s="40"/>
      <c r="BB302" s="294">
        <v>7.7859999999999996</v>
      </c>
      <c r="BC302" s="294">
        <v>2.536</v>
      </c>
      <c r="BD302" s="294">
        <v>12.821999999999999</v>
      </c>
      <c r="BE302" s="291">
        <f>(BD302*BC302*BB302)/1728</f>
        <v>0.14651283872222221</v>
      </c>
      <c r="BF302" s="294">
        <v>0.56999999999999995</v>
      </c>
      <c r="BG302" s="294">
        <v>13.5</v>
      </c>
      <c r="BH302" s="294">
        <v>8.25</v>
      </c>
      <c r="BI302" s="294">
        <v>8.5</v>
      </c>
      <c r="BJ302" s="291">
        <f t="shared" si="114"/>
        <v>0.5478515625</v>
      </c>
      <c r="BK302" s="294">
        <f>BF302*BO302+0.25</f>
        <v>1.96</v>
      </c>
      <c r="BL302" s="341"/>
      <c r="BM302" s="341"/>
      <c r="BN302" s="68" t="s">
        <v>64</v>
      </c>
      <c r="BO302" s="32">
        <v>3</v>
      </c>
      <c r="BP302" s="32">
        <v>14</v>
      </c>
      <c r="BQ302" s="32">
        <v>5</v>
      </c>
      <c r="BR302" s="32">
        <f t="shared" si="115"/>
        <v>210</v>
      </c>
      <c r="BS302" s="32">
        <f t="shared" si="116"/>
        <v>187.2</v>
      </c>
      <c r="BT302" s="117" t="s">
        <v>62</v>
      </c>
      <c r="BU302" s="32" t="s">
        <v>67</v>
      </c>
      <c r="BV302" s="92"/>
      <c r="BW302" s="92"/>
      <c r="BX302" s="92"/>
      <c r="BY302" s="15"/>
      <c r="BZ302" s="15"/>
      <c r="CA302" s="15"/>
      <c r="CB302" s="15"/>
      <c r="CC302" s="15"/>
      <c r="CD302" s="15"/>
      <c r="CE302" s="15"/>
      <c r="CF302" s="15"/>
    </row>
    <row r="303" spans="1:84" s="56" customFormat="1" x14ac:dyDescent="0.25">
      <c r="A303" s="57">
        <v>42264</v>
      </c>
      <c r="B303" s="350" t="s">
        <v>14</v>
      </c>
      <c r="C303" s="45" t="s">
        <v>1308</v>
      </c>
      <c r="D303" s="52" t="s">
        <v>250</v>
      </c>
      <c r="E303" s="45" t="s">
        <v>1277</v>
      </c>
      <c r="F303" s="36" t="s">
        <v>3523</v>
      </c>
      <c r="G303" s="188" t="s">
        <v>2051</v>
      </c>
      <c r="H303" s="52">
        <v>8970687830</v>
      </c>
      <c r="I303" s="52"/>
      <c r="J303" s="52"/>
      <c r="K303" s="59"/>
      <c r="L303" s="102"/>
      <c r="M303" s="91"/>
      <c r="N303" s="91"/>
      <c r="O303" s="91"/>
      <c r="P303" s="91"/>
      <c r="Q303" s="91"/>
      <c r="R303" s="91"/>
      <c r="S303" s="91"/>
      <c r="T303" s="91"/>
      <c r="U303" s="113"/>
      <c r="V303" s="113"/>
      <c r="W303" s="59">
        <v>83211</v>
      </c>
      <c r="X303" s="113"/>
      <c r="Y303" s="53"/>
      <c r="Z303" s="113"/>
      <c r="AA303" s="53"/>
      <c r="AB303" s="88" t="s">
        <v>1309</v>
      </c>
      <c r="AC303" s="52"/>
      <c r="AD303" s="52"/>
      <c r="AE303" s="52" t="s">
        <v>1310</v>
      </c>
      <c r="AF303" s="52"/>
      <c r="AG303" s="52"/>
      <c r="AH303" s="52"/>
      <c r="AI303" s="52"/>
      <c r="AJ303" s="52"/>
      <c r="AK303" s="78">
        <v>9211</v>
      </c>
      <c r="AL303" s="52" t="s">
        <v>1311</v>
      </c>
      <c r="AM303" s="52"/>
      <c r="AN303" s="52" t="s">
        <v>1312</v>
      </c>
      <c r="AO303" s="52"/>
      <c r="AP303" s="52" t="s">
        <v>1313</v>
      </c>
      <c r="AQ303" s="52">
        <v>49211</v>
      </c>
      <c r="AR303" s="112">
        <v>19.98</v>
      </c>
      <c r="AS303" s="27">
        <f t="shared" si="112"/>
        <v>45</v>
      </c>
      <c r="AT303" s="40" t="s">
        <v>1314</v>
      </c>
      <c r="AU303" s="40" t="s">
        <v>1315</v>
      </c>
      <c r="AV303" s="40"/>
      <c r="AW303" s="40"/>
      <c r="AX303" s="40"/>
      <c r="AY303" s="40"/>
      <c r="AZ303" s="40"/>
      <c r="BA303" s="40"/>
      <c r="BB303" s="294">
        <v>10.036</v>
      </c>
      <c r="BC303" s="294">
        <v>2.536</v>
      </c>
      <c r="BD303" s="294">
        <v>12.571999999999999</v>
      </c>
      <c r="BE303" s="291">
        <f>(BD303*BC303*BB303)/1728</f>
        <v>0.18516996140740738</v>
      </c>
      <c r="BF303" s="294">
        <v>0.88</v>
      </c>
      <c r="BG303" s="294">
        <v>13.25</v>
      </c>
      <c r="BH303" s="294">
        <v>11</v>
      </c>
      <c r="BI303" s="294">
        <v>9</v>
      </c>
      <c r="BJ303" s="291">
        <f t="shared" si="114"/>
        <v>0.75911458333333337</v>
      </c>
      <c r="BK303" s="294">
        <f>BF303*BO303+0.25</f>
        <v>2.89</v>
      </c>
      <c r="BL303" s="341"/>
      <c r="BM303" s="341"/>
      <c r="BN303" s="68" t="s">
        <v>64</v>
      </c>
      <c r="BO303" s="32">
        <v>3</v>
      </c>
      <c r="BP303" s="32">
        <v>12</v>
      </c>
      <c r="BQ303" s="32">
        <v>4</v>
      </c>
      <c r="BR303" s="32">
        <f t="shared" si="115"/>
        <v>144</v>
      </c>
      <c r="BS303" s="32">
        <f t="shared" si="116"/>
        <v>188.72</v>
      </c>
      <c r="BT303" s="32" t="s">
        <v>69</v>
      </c>
      <c r="BU303" s="32" t="s">
        <v>67</v>
      </c>
      <c r="BV303" s="92"/>
      <c r="BW303" s="92"/>
      <c r="BX303" s="92"/>
      <c r="BY303" s="15"/>
      <c r="BZ303" s="15"/>
      <c r="CA303" s="15"/>
      <c r="CB303" s="15"/>
      <c r="CC303" s="15"/>
      <c r="CD303" s="15"/>
      <c r="CE303" s="15"/>
      <c r="CF303" s="15"/>
    </row>
    <row r="304" spans="1:84" s="56" customFormat="1" x14ac:dyDescent="0.25">
      <c r="A304" s="57">
        <v>42264</v>
      </c>
      <c r="B304" s="350" t="s">
        <v>14</v>
      </c>
      <c r="C304" s="45" t="s">
        <v>1316</v>
      </c>
      <c r="D304" s="52" t="s">
        <v>250</v>
      </c>
      <c r="E304" s="45" t="s">
        <v>1277</v>
      </c>
      <c r="F304" s="36" t="s">
        <v>3524</v>
      </c>
      <c r="G304" s="188" t="s">
        <v>2051</v>
      </c>
      <c r="H304" s="52" t="s">
        <v>1318</v>
      </c>
      <c r="I304" s="52"/>
      <c r="J304" s="52"/>
      <c r="K304" s="29"/>
      <c r="L304" s="30"/>
      <c r="M304" s="91"/>
      <c r="N304" s="91"/>
      <c r="O304" s="91"/>
      <c r="P304" s="91"/>
      <c r="Q304" s="91"/>
      <c r="R304" s="91"/>
      <c r="S304" s="91"/>
      <c r="T304" s="91"/>
      <c r="U304" s="113"/>
      <c r="V304" s="113"/>
      <c r="W304" s="29">
        <v>83048</v>
      </c>
      <c r="X304" s="113"/>
      <c r="Y304" s="114"/>
      <c r="Z304" s="113"/>
      <c r="AA304" s="114"/>
      <c r="AB304" s="88" t="s">
        <v>1319</v>
      </c>
      <c r="AC304" s="52" t="s">
        <v>1320</v>
      </c>
      <c r="AD304" s="52"/>
      <c r="AE304" s="52" t="s">
        <v>1321</v>
      </c>
      <c r="AF304" s="52"/>
      <c r="AG304" s="52"/>
      <c r="AH304" s="52"/>
      <c r="AI304" s="52"/>
      <c r="AJ304" s="52"/>
      <c r="AK304" s="78">
        <v>9048</v>
      </c>
      <c r="AL304" s="52" t="s">
        <v>1322</v>
      </c>
      <c r="AM304" s="52"/>
      <c r="AN304" s="52" t="s">
        <v>1323</v>
      </c>
      <c r="AO304" s="52"/>
      <c r="AP304" s="52" t="s">
        <v>1324</v>
      </c>
      <c r="AQ304" s="52">
        <v>49048</v>
      </c>
      <c r="AR304" s="112">
        <v>19.78</v>
      </c>
      <c r="AS304" s="27">
        <f t="shared" si="112"/>
        <v>44.549549549549553</v>
      </c>
      <c r="AT304" s="40" t="s">
        <v>1325</v>
      </c>
      <c r="AU304" s="40" t="s">
        <v>1326</v>
      </c>
      <c r="AV304" s="40"/>
      <c r="AW304" s="40"/>
      <c r="AX304" s="40"/>
      <c r="AY304" s="40"/>
      <c r="AZ304" s="40"/>
      <c r="BA304" s="40"/>
      <c r="BB304" s="294">
        <v>7.0359999999999996</v>
      </c>
      <c r="BC304" s="294">
        <v>2.6560000000000001</v>
      </c>
      <c r="BD304" s="294">
        <v>15.321999999999999</v>
      </c>
      <c r="BE304" s="291">
        <f>(BD304*BC304*BB304)/1728</f>
        <v>0.16570118770370368</v>
      </c>
      <c r="BF304" s="294">
        <v>0.45</v>
      </c>
      <c r="BG304" s="294">
        <v>15.75</v>
      </c>
      <c r="BH304" s="294">
        <v>7.5</v>
      </c>
      <c r="BI304" s="294">
        <v>8.8800000000000008</v>
      </c>
      <c r="BJ304" s="291">
        <f t="shared" si="114"/>
        <v>0.60703125000000002</v>
      </c>
      <c r="BK304" s="294">
        <f>BF304*BO304+0.25</f>
        <v>1.6</v>
      </c>
      <c r="BL304" s="341"/>
      <c r="BM304" s="341"/>
      <c r="BN304" s="39" t="s">
        <v>64</v>
      </c>
      <c r="BO304" s="32">
        <v>3</v>
      </c>
      <c r="BP304" s="32">
        <v>15</v>
      </c>
      <c r="BQ304" s="32">
        <v>5</v>
      </c>
      <c r="BR304" s="32">
        <f t="shared" si="115"/>
        <v>225</v>
      </c>
      <c r="BS304" s="32">
        <f t="shared" si="116"/>
        <v>170</v>
      </c>
      <c r="BT304" s="32" t="s">
        <v>62</v>
      </c>
      <c r="BU304" s="32" t="s">
        <v>67</v>
      </c>
      <c r="BV304" s="92"/>
      <c r="BW304" s="92"/>
      <c r="BX304" s="92"/>
      <c r="BY304" s="15"/>
      <c r="BZ304" s="15"/>
      <c r="CA304" s="15"/>
      <c r="CB304" s="15"/>
      <c r="CC304" s="15"/>
      <c r="CD304" s="15"/>
      <c r="CE304" s="15"/>
      <c r="CF304" s="15"/>
    </row>
    <row r="305" spans="1:84" s="56" customFormat="1" x14ac:dyDescent="0.25">
      <c r="A305" s="57">
        <v>42264</v>
      </c>
      <c r="B305" s="350" t="s">
        <v>14</v>
      </c>
      <c r="C305" s="52" t="s">
        <v>1327</v>
      </c>
      <c r="D305" s="52" t="s">
        <v>73</v>
      </c>
      <c r="E305" s="45" t="s">
        <v>1264</v>
      </c>
      <c r="F305" s="36" t="s">
        <v>3525</v>
      </c>
      <c r="G305" s="188" t="s">
        <v>2051</v>
      </c>
      <c r="H305" s="52" t="s">
        <v>1329</v>
      </c>
      <c r="I305" s="52" t="s">
        <v>66</v>
      </c>
      <c r="J305" s="52" t="s">
        <v>1330</v>
      </c>
      <c r="K305" s="52"/>
      <c r="L305" s="52"/>
      <c r="M305" s="52"/>
      <c r="N305" s="52"/>
      <c r="O305" s="52"/>
      <c r="P305" s="52"/>
      <c r="Q305" s="91"/>
      <c r="R305" s="91"/>
      <c r="S305" s="91"/>
      <c r="T305" s="91"/>
      <c r="U305" s="113" t="s">
        <v>1331</v>
      </c>
      <c r="V305" s="113"/>
      <c r="W305" s="29"/>
      <c r="X305" s="113"/>
      <c r="Y305" s="114" t="s">
        <v>1332</v>
      </c>
      <c r="Z305" s="113"/>
      <c r="AA305" s="114" t="s">
        <v>1333</v>
      </c>
      <c r="AB305" s="88"/>
      <c r="AC305" s="52"/>
      <c r="AD305" s="52"/>
      <c r="AE305" s="52"/>
      <c r="AF305" s="52"/>
      <c r="AG305" s="52"/>
      <c r="AH305" s="52"/>
      <c r="AI305" s="52"/>
      <c r="AJ305" s="52"/>
      <c r="AK305" s="78"/>
      <c r="AL305" s="52"/>
      <c r="AM305" s="52"/>
      <c r="AN305" s="52"/>
      <c r="AO305" s="52"/>
      <c r="AP305" s="52"/>
      <c r="AQ305" s="52"/>
      <c r="AR305" s="112">
        <v>319.89</v>
      </c>
      <c r="AS305" s="27">
        <f t="shared" si="112"/>
        <v>720.47297297297291</v>
      </c>
      <c r="AT305" s="31" t="s">
        <v>1334</v>
      </c>
      <c r="AU305" s="31" t="s">
        <v>1335</v>
      </c>
      <c r="AV305" s="31"/>
      <c r="AW305" s="31"/>
      <c r="AX305" s="31"/>
      <c r="AY305" s="31"/>
      <c r="AZ305" s="31"/>
      <c r="BA305" s="31"/>
      <c r="BB305" s="438" t="s">
        <v>80</v>
      </c>
      <c r="BC305" s="438"/>
      <c r="BD305" s="438"/>
      <c r="BE305" s="438"/>
      <c r="BF305" s="438"/>
      <c r="BG305" s="294">
        <v>21.25</v>
      </c>
      <c r="BH305" s="294">
        <v>5.25</v>
      </c>
      <c r="BI305" s="294">
        <v>7.12</v>
      </c>
      <c r="BJ305" s="291">
        <f t="shared" si="114"/>
        <v>0.4596788194444445</v>
      </c>
      <c r="BK305" s="294">
        <v>5.4</v>
      </c>
      <c r="BL305" s="341"/>
      <c r="BM305" s="341"/>
      <c r="BN305" s="39" t="s">
        <v>64</v>
      </c>
      <c r="BO305" s="32">
        <v>1</v>
      </c>
      <c r="BP305" s="32">
        <v>45</v>
      </c>
      <c r="BQ305" s="32">
        <v>2</v>
      </c>
      <c r="BR305" s="32">
        <f t="shared" si="115"/>
        <v>90</v>
      </c>
      <c r="BS305" s="32">
        <f t="shared" si="116"/>
        <v>536</v>
      </c>
      <c r="BT305" s="111" t="s">
        <v>62</v>
      </c>
      <c r="BU305" s="32" t="s">
        <v>67</v>
      </c>
      <c r="BV305" s="92"/>
      <c r="BW305" s="92"/>
      <c r="BX305" s="92"/>
      <c r="BY305" s="15"/>
      <c r="BZ305" s="15"/>
      <c r="CA305" s="15"/>
      <c r="CB305" s="15"/>
      <c r="CC305" s="15"/>
      <c r="CD305" s="15"/>
      <c r="CE305" s="15"/>
      <c r="CF305" s="15"/>
    </row>
    <row r="306" spans="1:84" s="56" customFormat="1" x14ac:dyDescent="0.25">
      <c r="A306" s="57">
        <v>42264</v>
      </c>
      <c r="B306" s="350" t="s">
        <v>14</v>
      </c>
      <c r="C306" s="52" t="s">
        <v>1336</v>
      </c>
      <c r="D306" s="52" t="s">
        <v>240</v>
      </c>
      <c r="E306" s="45" t="s">
        <v>1337</v>
      </c>
      <c r="F306" s="36" t="s">
        <v>3526</v>
      </c>
      <c r="G306" s="188" t="s">
        <v>2051</v>
      </c>
      <c r="H306" s="52" t="s">
        <v>1339</v>
      </c>
      <c r="I306" s="116" t="s">
        <v>1047</v>
      </c>
      <c r="J306" s="29" t="s">
        <v>1340</v>
      </c>
      <c r="K306" s="29"/>
      <c r="L306" s="30"/>
      <c r="M306" s="91"/>
      <c r="N306" s="91"/>
      <c r="O306" s="91"/>
      <c r="P306" s="91"/>
      <c r="Q306" s="91"/>
      <c r="R306" s="91"/>
      <c r="S306" s="91"/>
      <c r="T306" s="91"/>
      <c r="U306" s="113"/>
      <c r="V306" s="113"/>
      <c r="W306" s="29">
        <v>84262</v>
      </c>
      <c r="X306" s="113"/>
      <c r="Y306" s="114"/>
      <c r="Z306" s="113"/>
      <c r="AA306" s="114"/>
      <c r="AB306" s="88" t="s">
        <v>1341</v>
      </c>
      <c r="AC306" s="52" t="s">
        <v>1342</v>
      </c>
      <c r="AD306" s="52" t="s">
        <v>1343</v>
      </c>
      <c r="AE306" s="52"/>
      <c r="AF306" s="52"/>
      <c r="AG306" s="52"/>
      <c r="AH306" s="52" t="s">
        <v>1344</v>
      </c>
      <c r="AI306" s="52"/>
      <c r="AJ306" s="52"/>
      <c r="AK306" s="78">
        <v>7262</v>
      </c>
      <c r="AL306" s="52" t="s">
        <v>1345</v>
      </c>
      <c r="AM306" s="52"/>
      <c r="AN306" s="52" t="s">
        <v>1346</v>
      </c>
      <c r="AO306" s="52"/>
      <c r="AP306" s="52" t="s">
        <v>1347</v>
      </c>
      <c r="AQ306" s="52">
        <v>57262</v>
      </c>
      <c r="AR306" s="112">
        <v>16.87</v>
      </c>
      <c r="AS306" s="27">
        <f t="shared" si="112"/>
        <v>37.995495495495497</v>
      </c>
      <c r="AT306" s="40" t="s">
        <v>1348</v>
      </c>
      <c r="AU306" s="40" t="s">
        <v>1349</v>
      </c>
      <c r="AV306" s="40"/>
      <c r="AW306" s="40"/>
      <c r="AX306" s="40"/>
      <c r="AY306" s="40"/>
      <c r="AZ306" s="40"/>
      <c r="BA306" s="40"/>
      <c r="BB306" s="294">
        <v>3.8479999999999999</v>
      </c>
      <c r="BC306" s="294">
        <v>3.8479999999999999</v>
      </c>
      <c r="BD306" s="294">
        <v>4.4470000000000001</v>
      </c>
      <c r="BE306" s="291">
        <f t="shared" ref="BE306:BE307" si="117">(BD306*BC306*BB306)/1728</f>
        <v>3.8106013592592587E-2</v>
      </c>
      <c r="BF306" s="294">
        <v>0.4</v>
      </c>
      <c r="BG306" s="294">
        <v>11.936999999999999</v>
      </c>
      <c r="BH306" s="294">
        <v>8</v>
      </c>
      <c r="BI306" s="294">
        <v>5</v>
      </c>
      <c r="BJ306" s="291">
        <f t="shared" si="114"/>
        <v>0.2763194444444444</v>
      </c>
      <c r="BK306" s="294">
        <f>BF306*BO306+0.25</f>
        <v>2.6500000000000004</v>
      </c>
      <c r="BL306" s="341"/>
      <c r="BM306" s="341"/>
      <c r="BN306" s="68" t="s">
        <v>64</v>
      </c>
      <c r="BO306" s="32">
        <v>6</v>
      </c>
      <c r="BP306" s="32">
        <v>20</v>
      </c>
      <c r="BQ306" s="32">
        <v>9</v>
      </c>
      <c r="BR306" s="32">
        <f t="shared" si="115"/>
        <v>1080</v>
      </c>
      <c r="BS306" s="32">
        <f t="shared" si="116"/>
        <v>527</v>
      </c>
      <c r="BT306" s="117" t="s">
        <v>62</v>
      </c>
      <c r="BU306" s="32" t="s">
        <v>67</v>
      </c>
      <c r="BV306" s="92"/>
      <c r="BW306" s="92"/>
      <c r="BX306" s="92"/>
      <c r="BY306" s="15"/>
      <c r="BZ306" s="15"/>
      <c r="CA306" s="15"/>
      <c r="CB306" s="15"/>
      <c r="CC306" s="15"/>
      <c r="CD306" s="15"/>
      <c r="CE306" s="15"/>
      <c r="CF306" s="15"/>
    </row>
    <row r="307" spans="1:84" s="56" customFormat="1" x14ac:dyDescent="0.25">
      <c r="A307" s="57">
        <v>42264</v>
      </c>
      <c r="B307" s="350" t="s">
        <v>14</v>
      </c>
      <c r="C307" s="52" t="s">
        <v>1350</v>
      </c>
      <c r="D307" s="52" t="s">
        <v>240</v>
      </c>
      <c r="E307" s="45" t="s">
        <v>1337</v>
      </c>
      <c r="F307" s="36" t="s">
        <v>3527</v>
      </c>
      <c r="G307" s="188" t="s">
        <v>2051</v>
      </c>
      <c r="H307" s="52">
        <v>11427583220</v>
      </c>
      <c r="I307" s="116" t="s">
        <v>1047</v>
      </c>
      <c r="J307" s="29" t="s">
        <v>1351</v>
      </c>
      <c r="K307" s="29"/>
      <c r="L307" s="30"/>
      <c r="M307" s="91"/>
      <c r="N307" s="91"/>
      <c r="O307" s="91"/>
      <c r="P307" s="91"/>
      <c r="Q307" s="91"/>
      <c r="R307" s="91"/>
      <c r="S307" s="91"/>
      <c r="T307" s="91"/>
      <c r="U307" s="113"/>
      <c r="V307" s="113"/>
      <c r="W307" s="29">
        <v>84189</v>
      </c>
      <c r="X307" s="113"/>
      <c r="Y307" s="114"/>
      <c r="Z307" s="113"/>
      <c r="AA307" s="114"/>
      <c r="AB307" s="88" t="s">
        <v>1352</v>
      </c>
      <c r="AC307" s="52" t="s">
        <v>1353</v>
      </c>
      <c r="AD307" s="52"/>
      <c r="AE307" s="52"/>
      <c r="AF307" s="52"/>
      <c r="AG307" s="52"/>
      <c r="AH307" s="52" t="s">
        <v>1354</v>
      </c>
      <c r="AI307" s="52"/>
      <c r="AJ307" s="52"/>
      <c r="AK307" s="78">
        <v>7189</v>
      </c>
      <c r="AL307" s="52" t="s">
        <v>1355</v>
      </c>
      <c r="AM307" s="52" t="s">
        <v>1356</v>
      </c>
      <c r="AN307" s="52" t="s">
        <v>1357</v>
      </c>
      <c r="AO307" s="52"/>
      <c r="AP307" s="52" t="s">
        <v>1358</v>
      </c>
      <c r="AQ307" s="52">
        <v>57189</v>
      </c>
      <c r="AR307" s="112">
        <v>34.04</v>
      </c>
      <c r="AS307" s="27">
        <f t="shared" si="112"/>
        <v>76.666666666666657</v>
      </c>
      <c r="AT307" s="40" t="s">
        <v>1359</v>
      </c>
      <c r="AU307" s="40" t="s">
        <v>1360</v>
      </c>
      <c r="AV307" s="40"/>
      <c r="AW307" s="40"/>
      <c r="AX307" s="40"/>
      <c r="AY307" s="40"/>
      <c r="AZ307" s="40"/>
      <c r="BA307" s="40"/>
      <c r="BB307" s="294">
        <v>3.1859999999999999</v>
      </c>
      <c r="BC307" s="294">
        <v>3.1920000000000002</v>
      </c>
      <c r="BD307" s="294">
        <v>4.9420000000000002</v>
      </c>
      <c r="BE307" s="291">
        <f t="shared" si="117"/>
        <v>2.9084905500000001E-2</v>
      </c>
      <c r="BF307" s="294">
        <v>0.31</v>
      </c>
      <c r="BG307" s="294">
        <v>10</v>
      </c>
      <c r="BH307" s="294">
        <v>6.75</v>
      </c>
      <c r="BI307" s="294">
        <v>5.5</v>
      </c>
      <c r="BJ307" s="291">
        <f t="shared" si="114"/>
        <v>0.21484375</v>
      </c>
      <c r="BK307" s="294">
        <f>BF307*BO307+0.25</f>
        <v>2.11</v>
      </c>
      <c r="BL307" s="341"/>
      <c r="BM307" s="341"/>
      <c r="BN307" s="68" t="s">
        <v>64</v>
      </c>
      <c r="BO307" s="32">
        <v>6</v>
      </c>
      <c r="BP307" s="32">
        <v>26</v>
      </c>
      <c r="BQ307" s="32">
        <v>8</v>
      </c>
      <c r="BR307" s="32">
        <f t="shared" si="115"/>
        <v>1248</v>
      </c>
      <c r="BS307" s="32">
        <f t="shared" si="116"/>
        <v>488.88</v>
      </c>
      <c r="BT307" s="117" t="s">
        <v>62</v>
      </c>
      <c r="BU307" s="32" t="s">
        <v>67</v>
      </c>
      <c r="BV307" s="92"/>
      <c r="BW307" s="92"/>
      <c r="BX307" s="92"/>
      <c r="BY307" s="15"/>
      <c r="BZ307" s="15"/>
      <c r="CA307" s="15"/>
      <c r="CB307" s="15"/>
      <c r="CC307" s="15"/>
      <c r="CD307" s="15"/>
      <c r="CE307" s="15"/>
      <c r="CF307" s="15"/>
    </row>
    <row r="308" spans="1:84" s="56" customFormat="1" x14ac:dyDescent="0.25">
      <c r="A308" s="57">
        <v>42264</v>
      </c>
      <c r="B308" s="350" t="s">
        <v>14</v>
      </c>
      <c r="C308" s="52" t="s">
        <v>1291</v>
      </c>
      <c r="D308" s="52" t="s">
        <v>240</v>
      </c>
      <c r="E308" s="45" t="s">
        <v>1361</v>
      </c>
      <c r="F308" s="350" t="s">
        <v>2043</v>
      </c>
      <c r="G308" s="188" t="s">
        <v>2051</v>
      </c>
      <c r="H308" s="52">
        <v>92234714</v>
      </c>
      <c r="I308" s="116" t="s">
        <v>1362</v>
      </c>
      <c r="J308" s="29" t="s">
        <v>1289</v>
      </c>
      <c r="K308" s="29"/>
      <c r="L308" s="30"/>
      <c r="M308" s="91"/>
      <c r="N308" s="91"/>
      <c r="O308" s="91"/>
      <c r="P308" s="91"/>
      <c r="Q308" s="91"/>
      <c r="R308" s="91"/>
      <c r="S308" s="91"/>
      <c r="T308" s="91"/>
      <c r="U308" s="113"/>
      <c r="V308" s="113"/>
      <c r="W308" s="29">
        <v>89014</v>
      </c>
      <c r="X308" s="113"/>
      <c r="Y308" s="114"/>
      <c r="Z308" s="113"/>
      <c r="AA308" s="114"/>
      <c r="AB308" s="88" t="s">
        <v>1290</v>
      </c>
      <c r="AC308" s="52" t="s">
        <v>1363</v>
      </c>
      <c r="AD308" s="52"/>
      <c r="AE308" s="52"/>
      <c r="AF308" s="52"/>
      <c r="AG308" s="52"/>
      <c r="AH308" s="52"/>
      <c r="AI308" s="52"/>
      <c r="AJ308" s="52"/>
      <c r="AK308" s="78">
        <v>4014</v>
      </c>
      <c r="AL308" s="52" t="s">
        <v>1292</v>
      </c>
      <c r="AM308" s="52" t="s">
        <v>1291</v>
      </c>
      <c r="AN308" s="52" t="s">
        <v>1292</v>
      </c>
      <c r="AO308" s="52"/>
      <c r="AP308" s="52" t="s">
        <v>1293</v>
      </c>
      <c r="AQ308" s="52">
        <v>24014</v>
      </c>
      <c r="AR308" s="112">
        <v>29.69</v>
      </c>
      <c r="AS308" s="27">
        <f t="shared" si="112"/>
        <v>66.869369369369366</v>
      </c>
      <c r="AT308" s="40" t="s">
        <v>1364</v>
      </c>
      <c r="AU308" s="40" t="s">
        <v>1365</v>
      </c>
      <c r="AV308" s="40"/>
      <c r="AW308" s="40"/>
      <c r="AX308" s="40"/>
      <c r="AY308" s="40"/>
      <c r="AZ308" s="40"/>
      <c r="BA308" s="40"/>
      <c r="BB308" s="432" t="s">
        <v>1024</v>
      </c>
      <c r="BC308" s="432"/>
      <c r="BD308" s="432"/>
      <c r="BE308" s="432"/>
      <c r="BF308" s="432"/>
      <c r="BG308" s="294">
        <v>12</v>
      </c>
      <c r="BH308" s="294">
        <v>10.37</v>
      </c>
      <c r="BI308" s="294">
        <v>10.62</v>
      </c>
      <c r="BJ308" s="291">
        <f t="shared" si="114"/>
        <v>0.76478749999999995</v>
      </c>
      <c r="BK308" s="294">
        <f>0.83*BO308+0.25</f>
        <v>5.2299999999999995</v>
      </c>
      <c r="BL308" s="341"/>
      <c r="BM308" s="341"/>
      <c r="BN308" s="68" t="s">
        <v>64</v>
      </c>
      <c r="BO308" s="32">
        <v>6</v>
      </c>
      <c r="BP308" s="32">
        <v>12</v>
      </c>
      <c r="BQ308" s="32">
        <v>4</v>
      </c>
      <c r="BR308" s="32">
        <f t="shared" si="115"/>
        <v>288</v>
      </c>
      <c r="BS308" s="32">
        <f t="shared" si="116"/>
        <v>301.03999999999996</v>
      </c>
      <c r="BT308" s="117" t="s">
        <v>62</v>
      </c>
      <c r="BU308" s="32" t="s">
        <v>67</v>
      </c>
      <c r="BV308" s="92"/>
      <c r="BW308" s="92"/>
      <c r="BX308" s="92"/>
      <c r="BY308" s="15"/>
      <c r="BZ308" s="15"/>
      <c r="CA308" s="15"/>
      <c r="CB308" s="15"/>
      <c r="CC308" s="15"/>
      <c r="CD308" s="15"/>
      <c r="CE308" s="15"/>
      <c r="CF308" s="15"/>
    </row>
    <row r="309" spans="1:84" s="56" customFormat="1" x14ac:dyDescent="0.25">
      <c r="A309" s="57">
        <v>42264</v>
      </c>
      <c r="B309" s="350" t="s">
        <v>14</v>
      </c>
      <c r="C309" s="52" t="s">
        <v>1366</v>
      </c>
      <c r="D309" s="52" t="s">
        <v>240</v>
      </c>
      <c r="E309" s="45" t="s">
        <v>1361</v>
      </c>
      <c r="F309" s="350" t="s">
        <v>2043</v>
      </c>
      <c r="G309" s="188" t="s">
        <v>2051</v>
      </c>
      <c r="H309" s="52" t="s">
        <v>1367</v>
      </c>
      <c r="I309" s="116"/>
      <c r="J309" s="29"/>
      <c r="K309" s="116"/>
      <c r="L309" s="29"/>
      <c r="M309" s="29"/>
      <c r="N309" s="52"/>
      <c r="O309" s="52"/>
      <c r="P309" s="52"/>
      <c r="Q309" s="91"/>
      <c r="R309" s="91"/>
      <c r="S309" s="91"/>
      <c r="T309" s="91"/>
      <c r="U309" s="113"/>
      <c r="V309" s="113"/>
      <c r="W309" s="29"/>
      <c r="X309" s="113"/>
      <c r="Y309" s="114"/>
      <c r="Z309" s="113"/>
      <c r="AA309" s="114"/>
      <c r="AB309" s="88" t="s">
        <v>1368</v>
      </c>
      <c r="AC309" s="52"/>
      <c r="AD309" s="52"/>
      <c r="AE309" s="52"/>
      <c r="AF309" s="52"/>
      <c r="AG309" s="52"/>
      <c r="AH309" s="52"/>
      <c r="AI309" s="52"/>
      <c r="AJ309" s="52"/>
      <c r="AK309" s="78"/>
      <c r="AL309" s="52" t="s">
        <v>1369</v>
      </c>
      <c r="AM309" s="52" t="s">
        <v>1366</v>
      </c>
      <c r="AN309" s="52" t="s">
        <v>1369</v>
      </c>
      <c r="AO309" s="52"/>
      <c r="AP309" s="52" t="s">
        <v>1370</v>
      </c>
      <c r="AQ309" s="52">
        <v>24600</v>
      </c>
      <c r="AR309" s="112">
        <v>19.21</v>
      </c>
      <c r="AS309" s="27">
        <f t="shared" si="112"/>
        <v>43.265765765765764</v>
      </c>
      <c r="AT309" s="40" t="s">
        <v>1371</v>
      </c>
      <c r="AU309" s="40" t="s">
        <v>1372</v>
      </c>
      <c r="AV309" s="40"/>
      <c r="AW309" s="40"/>
      <c r="AX309" s="40"/>
      <c r="AY309" s="40"/>
      <c r="AZ309" s="40"/>
      <c r="BA309" s="40"/>
      <c r="BB309" s="432" t="s">
        <v>1024</v>
      </c>
      <c r="BC309" s="432"/>
      <c r="BD309" s="432"/>
      <c r="BE309" s="432"/>
      <c r="BF309" s="432"/>
      <c r="BG309" s="294">
        <v>11</v>
      </c>
      <c r="BH309" s="294">
        <v>8</v>
      </c>
      <c r="BI309" s="294">
        <v>8.6199999999999992</v>
      </c>
      <c r="BJ309" s="291">
        <f t="shared" si="114"/>
        <v>0.43898148148148147</v>
      </c>
      <c r="BK309" s="294">
        <f>0.06*BO309+0.4</f>
        <v>0.76</v>
      </c>
      <c r="BL309" s="341"/>
      <c r="BM309" s="341"/>
      <c r="BN309" s="68" t="s">
        <v>64</v>
      </c>
      <c r="BO309" s="32">
        <v>6</v>
      </c>
      <c r="BP309" s="32">
        <v>20</v>
      </c>
      <c r="BQ309" s="32">
        <v>4</v>
      </c>
      <c r="BR309" s="32">
        <f t="shared" si="115"/>
        <v>480</v>
      </c>
      <c r="BS309" s="32">
        <f t="shared" si="116"/>
        <v>110.8</v>
      </c>
      <c r="BT309" s="117" t="s">
        <v>62</v>
      </c>
      <c r="BU309" s="32" t="s">
        <v>67</v>
      </c>
      <c r="BV309" s="92"/>
      <c r="BW309" s="92"/>
      <c r="BX309" s="92"/>
      <c r="BY309" s="15"/>
      <c r="BZ309" s="15"/>
      <c r="CA309" s="15"/>
      <c r="CB309" s="15"/>
      <c r="CC309" s="15"/>
      <c r="CD309" s="15"/>
      <c r="CE309" s="15"/>
      <c r="CF309" s="15"/>
    </row>
    <row r="310" spans="1:84" s="56" customFormat="1" x14ac:dyDescent="0.25">
      <c r="A310" s="57">
        <v>42264</v>
      </c>
      <c r="B310" s="350" t="s">
        <v>14</v>
      </c>
      <c r="C310" s="52" t="s">
        <v>1373</v>
      </c>
      <c r="D310" s="52" t="s">
        <v>240</v>
      </c>
      <c r="E310" s="45" t="s">
        <v>1361</v>
      </c>
      <c r="F310" s="350" t="s">
        <v>2043</v>
      </c>
      <c r="G310" s="188" t="s">
        <v>2051</v>
      </c>
      <c r="H310" s="52" t="s">
        <v>1375</v>
      </c>
      <c r="I310" s="116"/>
      <c r="J310" s="29"/>
      <c r="K310" s="116"/>
      <c r="L310" s="29"/>
      <c r="M310" s="29"/>
      <c r="N310" s="52"/>
      <c r="O310" s="52"/>
      <c r="P310" s="52"/>
      <c r="Q310" s="91"/>
      <c r="R310" s="91"/>
      <c r="S310" s="91"/>
      <c r="T310" s="91"/>
      <c r="U310" s="113"/>
      <c r="V310" s="113"/>
      <c r="W310" s="29"/>
      <c r="X310" s="113"/>
      <c r="Y310" s="114"/>
      <c r="Z310" s="113"/>
      <c r="AA310" s="114"/>
      <c r="AB310" s="88" t="s">
        <v>1376</v>
      </c>
      <c r="AC310" s="52"/>
      <c r="AD310" s="52"/>
      <c r="AE310" s="52"/>
      <c r="AF310" s="52"/>
      <c r="AG310" s="52"/>
      <c r="AH310" s="52"/>
      <c r="AI310" s="52"/>
      <c r="AJ310" s="52"/>
      <c r="AK310" s="78"/>
      <c r="AL310" s="52" t="s">
        <v>1377</v>
      </c>
      <c r="AM310" s="52" t="s">
        <v>1373</v>
      </c>
      <c r="AN310" s="52" t="s">
        <v>1377</v>
      </c>
      <c r="AO310" s="52"/>
      <c r="AP310" s="52" t="s">
        <v>1378</v>
      </c>
      <c r="AQ310" s="52">
        <v>24579</v>
      </c>
      <c r="AR310" s="112">
        <v>13.15</v>
      </c>
      <c r="AS310" s="27">
        <f t="shared" si="112"/>
        <v>29.617117117117118</v>
      </c>
      <c r="AT310" s="40" t="s">
        <v>1379</v>
      </c>
      <c r="AU310" s="40" t="s">
        <v>1380</v>
      </c>
      <c r="AV310" s="40"/>
      <c r="AW310" s="40"/>
      <c r="AX310" s="40"/>
      <c r="AY310" s="40"/>
      <c r="AZ310" s="40"/>
      <c r="BA310" s="40"/>
      <c r="BB310" s="432" t="s">
        <v>1024</v>
      </c>
      <c r="BC310" s="432"/>
      <c r="BD310" s="432"/>
      <c r="BE310" s="432"/>
      <c r="BF310" s="432"/>
      <c r="BG310" s="294">
        <v>11</v>
      </c>
      <c r="BH310" s="294">
        <v>8</v>
      </c>
      <c r="BI310" s="294">
        <v>9.25</v>
      </c>
      <c r="BJ310" s="291">
        <f t="shared" si="114"/>
        <v>0.47106481481481483</v>
      </c>
      <c r="BK310" s="294">
        <f>0.08*BO310+0.4</f>
        <v>0.88</v>
      </c>
      <c r="BL310" s="341"/>
      <c r="BM310" s="341"/>
      <c r="BN310" s="68" t="s">
        <v>64</v>
      </c>
      <c r="BO310" s="32">
        <v>6</v>
      </c>
      <c r="BP310" s="32">
        <v>18</v>
      </c>
      <c r="BQ310" s="32">
        <v>4</v>
      </c>
      <c r="BR310" s="32">
        <f t="shared" si="115"/>
        <v>432</v>
      </c>
      <c r="BS310" s="32">
        <f t="shared" si="116"/>
        <v>113.36</v>
      </c>
      <c r="BT310" s="117" t="s">
        <v>62</v>
      </c>
      <c r="BU310" s="32" t="s">
        <v>67</v>
      </c>
      <c r="BV310" s="92"/>
      <c r="BW310" s="92"/>
      <c r="BX310" s="92"/>
      <c r="BY310" s="15"/>
      <c r="BZ310" s="15"/>
      <c r="CA310" s="15"/>
      <c r="CB310" s="15"/>
      <c r="CC310" s="15"/>
      <c r="CD310" s="15"/>
      <c r="CE310" s="15"/>
      <c r="CF310" s="15"/>
    </row>
    <row r="311" spans="1:84" s="119" customFormat="1" x14ac:dyDescent="0.25">
      <c r="A311" s="93">
        <v>41699</v>
      </c>
      <c r="B311" s="93"/>
      <c r="C311" s="296" t="s">
        <v>1397</v>
      </c>
      <c r="D311" s="296" t="s">
        <v>240</v>
      </c>
      <c r="E311" s="115" t="s">
        <v>1361</v>
      </c>
      <c r="F311" s="36" t="s">
        <v>1398</v>
      </c>
      <c r="G311" s="36" t="s">
        <v>1399</v>
      </c>
      <c r="H311" s="36" t="s">
        <v>1400</v>
      </c>
      <c r="I311" s="116" t="s">
        <v>1047</v>
      </c>
      <c r="J311" s="29" t="s">
        <v>1401</v>
      </c>
      <c r="K311" s="29"/>
      <c r="L311" s="30"/>
      <c r="M311" s="78"/>
      <c r="N311" s="78"/>
      <c r="O311" s="78"/>
      <c r="P311" s="78"/>
      <c r="Q311" s="78"/>
      <c r="R311" s="78"/>
      <c r="S311" s="78"/>
      <c r="T311" s="78"/>
      <c r="U311" s="113"/>
      <c r="V311" s="113"/>
      <c r="W311" s="29">
        <v>83740</v>
      </c>
      <c r="X311" s="113"/>
      <c r="Y311" s="114"/>
      <c r="Z311" s="113"/>
      <c r="AA311" s="114"/>
      <c r="AB311" s="88" t="s">
        <v>1402</v>
      </c>
      <c r="AC311" s="52" t="s">
        <v>1403</v>
      </c>
      <c r="AD311" s="52" t="s">
        <v>1404</v>
      </c>
      <c r="AE311" s="52" t="s">
        <v>1405</v>
      </c>
      <c r="AF311" s="52"/>
      <c r="AG311" s="52"/>
      <c r="AH311" s="52"/>
      <c r="AI311" s="52"/>
      <c r="AJ311" s="52"/>
      <c r="AK311" s="78">
        <v>9740</v>
      </c>
      <c r="AL311" s="52" t="s">
        <v>1406</v>
      </c>
      <c r="AM311" s="52" t="s">
        <v>1407</v>
      </c>
      <c r="AN311" s="52" t="s">
        <v>1408</v>
      </c>
      <c r="AO311" s="52"/>
      <c r="AP311" s="52" t="s">
        <v>1409</v>
      </c>
      <c r="AQ311" s="53">
        <v>49740</v>
      </c>
      <c r="AR311" s="112">
        <v>17.04</v>
      </c>
      <c r="AS311" s="27">
        <f t="shared" si="112"/>
        <v>38.378378378378379</v>
      </c>
      <c r="AT311" s="31" t="s">
        <v>1410</v>
      </c>
      <c r="AU311" s="31" t="s">
        <v>1411</v>
      </c>
      <c r="AV311" s="31"/>
      <c r="AW311" s="31"/>
      <c r="AX311" s="31"/>
      <c r="AY311" s="31"/>
      <c r="AZ311" s="31"/>
      <c r="BA311" s="31"/>
      <c r="BB311" s="295">
        <v>6.5359999999999996</v>
      </c>
      <c r="BC311" s="295">
        <v>1.786</v>
      </c>
      <c r="BD311" s="295">
        <v>13.321999999999999</v>
      </c>
      <c r="BE311" s="291">
        <f>(BD311*BC311*BB311)/1728</f>
        <v>8.9995167425925907E-2</v>
      </c>
      <c r="BF311" s="294">
        <f>0.404</f>
        <v>0.40400000000000003</v>
      </c>
      <c r="BG311" s="294">
        <v>14</v>
      </c>
      <c r="BH311" s="294">
        <v>7.75</v>
      </c>
      <c r="BI311" s="294">
        <v>6.5</v>
      </c>
      <c r="BJ311" s="291">
        <f t="shared" ref="BJ311:BJ352" si="118">(BI311*BH311*BG311)/1728</f>
        <v>0.40813078703703703</v>
      </c>
      <c r="BK311" s="295">
        <f>BF311*BO311+0.25</f>
        <v>1.4620000000000002</v>
      </c>
      <c r="BL311" s="344"/>
      <c r="BM311" s="344"/>
      <c r="BN311" s="296" t="s">
        <v>64</v>
      </c>
      <c r="BO311" s="296">
        <v>3</v>
      </c>
      <c r="BP311" s="296">
        <v>15</v>
      </c>
      <c r="BQ311" s="296">
        <v>6</v>
      </c>
      <c r="BR311" s="32">
        <f t="shared" ref="BR311:BR352" si="119">BO311*BP311*BQ311</f>
        <v>270</v>
      </c>
      <c r="BS311" s="32">
        <f t="shared" ref="BS311:BS352" si="120">(BK311*BP311*BQ311)+50</f>
        <v>181.58</v>
      </c>
      <c r="BT311" s="52" t="s">
        <v>1412</v>
      </c>
      <c r="BU311" s="32" t="s">
        <v>67</v>
      </c>
      <c r="BV311" s="15"/>
      <c r="BW311" s="15"/>
      <c r="BX311" s="15"/>
      <c r="BY311" s="118"/>
      <c r="BZ311" s="118"/>
      <c r="CA311" s="118"/>
      <c r="CB311" s="118"/>
      <c r="CC311" s="118"/>
      <c r="CD311" s="118"/>
      <c r="CE311" s="118"/>
      <c r="CF311" s="118"/>
    </row>
    <row r="312" spans="1:84" s="119" customFormat="1" x14ac:dyDescent="0.25">
      <c r="A312" s="93">
        <v>41699</v>
      </c>
      <c r="B312" s="93"/>
      <c r="C312" s="296" t="s">
        <v>1413</v>
      </c>
      <c r="D312" s="52" t="s">
        <v>240</v>
      </c>
      <c r="E312" s="115" t="s">
        <v>1361</v>
      </c>
      <c r="F312" s="36" t="s">
        <v>1414</v>
      </c>
      <c r="G312" s="78" t="s">
        <v>995</v>
      </c>
      <c r="H312" s="36" t="s">
        <v>1415</v>
      </c>
      <c r="I312" s="116"/>
      <c r="J312" s="29"/>
      <c r="K312" s="29"/>
      <c r="L312" s="30"/>
      <c r="M312" s="78"/>
      <c r="N312" s="78"/>
      <c r="O312" s="78"/>
      <c r="P312" s="78"/>
      <c r="Q312" s="78"/>
      <c r="R312" s="78"/>
      <c r="S312" s="78"/>
      <c r="T312" s="78"/>
      <c r="U312" s="29" t="s">
        <v>1416</v>
      </c>
      <c r="V312" s="113"/>
      <c r="W312" s="29">
        <v>83038</v>
      </c>
      <c r="X312" s="113"/>
      <c r="Y312" s="114"/>
      <c r="Z312" s="113"/>
      <c r="AA312" s="114"/>
      <c r="AB312" s="88" t="s">
        <v>1417</v>
      </c>
      <c r="AC312" s="53" t="s">
        <v>1418</v>
      </c>
      <c r="AD312" s="52"/>
      <c r="AE312" s="29" t="s">
        <v>981</v>
      </c>
      <c r="AF312" s="29"/>
      <c r="AG312" s="52"/>
      <c r="AH312" s="52"/>
      <c r="AI312" s="52"/>
      <c r="AJ312" s="52"/>
      <c r="AK312" s="29" t="s">
        <v>1419</v>
      </c>
      <c r="AL312" s="52" t="s">
        <v>1420</v>
      </c>
      <c r="AM312" s="29" t="s">
        <v>1421</v>
      </c>
      <c r="AN312" s="52" t="s">
        <v>1422</v>
      </c>
      <c r="AO312" s="52"/>
      <c r="AP312" s="52" t="s">
        <v>1423</v>
      </c>
      <c r="AQ312" s="53" t="s">
        <v>1424</v>
      </c>
      <c r="AR312" s="112">
        <v>11.96</v>
      </c>
      <c r="AS312" s="27">
        <f t="shared" si="112"/>
        <v>26.936936936936938</v>
      </c>
      <c r="AT312" s="31" t="s">
        <v>1425</v>
      </c>
      <c r="AU312" s="31" t="s">
        <v>1426</v>
      </c>
      <c r="AV312" s="31"/>
      <c r="AW312" s="31"/>
      <c r="AX312" s="31"/>
      <c r="AY312" s="31"/>
      <c r="AZ312" s="31"/>
      <c r="BA312" s="31"/>
      <c r="BB312" s="295">
        <v>6.5359999999999996</v>
      </c>
      <c r="BC312" s="295">
        <v>1.6559999999999999</v>
      </c>
      <c r="BD312" s="295">
        <v>11.071999999999999</v>
      </c>
      <c r="BE312" s="291">
        <f>(BD312*BC312*BB312)/1728</f>
        <v>6.9351317333333315E-2</v>
      </c>
      <c r="BF312" s="295">
        <v>0.31</v>
      </c>
      <c r="BG312" s="295">
        <v>11.93</v>
      </c>
      <c r="BH312" s="295">
        <v>8</v>
      </c>
      <c r="BI312" s="295">
        <v>6</v>
      </c>
      <c r="BJ312" s="291">
        <f t="shared" si="118"/>
        <v>0.3313888888888889</v>
      </c>
      <c r="BK312" s="294">
        <f>BF312*BO312+0.25</f>
        <v>1.18</v>
      </c>
      <c r="BL312" s="341"/>
      <c r="BM312" s="341"/>
      <c r="BN312" s="52" t="s">
        <v>64</v>
      </c>
      <c r="BO312" s="296">
        <v>3</v>
      </c>
      <c r="BP312" s="296">
        <v>20</v>
      </c>
      <c r="BQ312" s="296">
        <v>7</v>
      </c>
      <c r="BR312" s="32">
        <f t="shared" si="119"/>
        <v>420</v>
      </c>
      <c r="BS312" s="32">
        <f t="shared" si="120"/>
        <v>215.2</v>
      </c>
      <c r="BT312" s="32" t="s">
        <v>182</v>
      </c>
      <c r="BU312" s="32" t="s">
        <v>67</v>
      </c>
      <c r="BV312" s="15"/>
      <c r="BW312" s="15"/>
      <c r="BX312" s="15"/>
      <c r="BY312" s="118"/>
      <c r="BZ312" s="118"/>
      <c r="CA312" s="118"/>
      <c r="CB312" s="118"/>
      <c r="CC312" s="118"/>
      <c r="CD312" s="118"/>
      <c r="CE312" s="118"/>
      <c r="CF312" s="118"/>
    </row>
    <row r="313" spans="1:84" s="119" customFormat="1" x14ac:dyDescent="0.25">
      <c r="A313" s="93">
        <v>41699</v>
      </c>
      <c r="B313" s="93"/>
      <c r="C313" s="296" t="s">
        <v>1427</v>
      </c>
      <c r="D313" s="296" t="s">
        <v>240</v>
      </c>
      <c r="E313" s="115" t="s">
        <v>1396</v>
      </c>
      <c r="F313" s="88" t="s">
        <v>1428</v>
      </c>
      <c r="G313" s="78" t="s">
        <v>993</v>
      </c>
      <c r="H313" s="36" t="s">
        <v>1429</v>
      </c>
      <c r="I313" s="116"/>
      <c r="J313" s="29"/>
      <c r="K313" s="29"/>
      <c r="L313" s="30"/>
      <c r="M313" s="78"/>
      <c r="N313" s="78"/>
      <c r="O313" s="78"/>
      <c r="P313" s="78"/>
      <c r="Q313" s="78"/>
      <c r="R313" s="78"/>
      <c r="S313" s="78"/>
      <c r="T313" s="78"/>
      <c r="U313" s="113"/>
      <c r="V313" s="113"/>
      <c r="W313" s="29">
        <v>83369</v>
      </c>
      <c r="X313" s="113"/>
      <c r="Y313" s="114"/>
      <c r="Z313" s="113"/>
      <c r="AA313" s="114"/>
      <c r="AB313" s="52"/>
      <c r="AC313" s="53" t="s">
        <v>1430</v>
      </c>
      <c r="AD313" s="52"/>
      <c r="AE313" s="52"/>
      <c r="AF313" s="52"/>
      <c r="AG313" s="52"/>
      <c r="AH313" s="52" t="s">
        <v>1431</v>
      </c>
      <c r="AI313" s="52"/>
      <c r="AJ313" s="52"/>
      <c r="AK313" s="78"/>
      <c r="AL313" s="52"/>
      <c r="AM313" s="52" t="s">
        <v>1427</v>
      </c>
      <c r="AN313" s="52"/>
      <c r="AO313" s="52"/>
      <c r="AP313" s="52"/>
      <c r="AQ313" s="52" t="s">
        <v>1432</v>
      </c>
      <c r="AR313" s="112">
        <v>17.37</v>
      </c>
      <c r="AS313" s="27">
        <f t="shared" si="112"/>
        <v>39.121621621621621</v>
      </c>
      <c r="AT313" s="31" t="s">
        <v>1433</v>
      </c>
      <c r="AU313" s="31" t="s">
        <v>1434</v>
      </c>
      <c r="AV313" s="31"/>
      <c r="AW313" s="31"/>
      <c r="AX313" s="31"/>
      <c r="AY313" s="31"/>
      <c r="AZ313" s="31"/>
      <c r="BA313" s="31"/>
      <c r="BB313" s="432" t="s">
        <v>1024</v>
      </c>
      <c r="BC313" s="433"/>
      <c r="BD313" s="433"/>
      <c r="BE313" s="433"/>
      <c r="BF313" s="433"/>
      <c r="BG313" s="295">
        <v>12.25</v>
      </c>
      <c r="BH313" s="295">
        <v>9</v>
      </c>
      <c r="BI313" s="295">
        <v>7.88</v>
      </c>
      <c r="BJ313" s="291">
        <f t="shared" si="118"/>
        <v>0.50276041666666671</v>
      </c>
      <c r="BK313" s="295">
        <v>2.71</v>
      </c>
      <c r="BL313" s="344"/>
      <c r="BM313" s="344"/>
      <c r="BN313" s="52" t="s">
        <v>64</v>
      </c>
      <c r="BO313" s="296">
        <v>6</v>
      </c>
      <c r="BP313" s="296">
        <v>16</v>
      </c>
      <c r="BQ313" s="296">
        <v>5</v>
      </c>
      <c r="BR313" s="32">
        <f t="shared" si="119"/>
        <v>480</v>
      </c>
      <c r="BS313" s="32">
        <f t="shared" si="120"/>
        <v>266.8</v>
      </c>
      <c r="BT313" s="32" t="s">
        <v>69</v>
      </c>
      <c r="BU313" s="32" t="s">
        <v>67</v>
      </c>
      <c r="BV313" s="15"/>
      <c r="BW313" s="15"/>
      <c r="BX313" s="15"/>
      <c r="BY313" s="118"/>
      <c r="BZ313" s="118"/>
      <c r="CA313" s="118"/>
      <c r="CB313" s="118"/>
      <c r="CC313" s="118"/>
      <c r="CD313" s="118"/>
      <c r="CE313" s="118"/>
      <c r="CF313" s="118"/>
    </row>
    <row r="314" spans="1:84" s="119" customFormat="1" x14ac:dyDescent="0.25">
      <c r="A314" s="93">
        <v>41699</v>
      </c>
      <c r="B314" s="93"/>
      <c r="C314" s="296" t="s">
        <v>1435</v>
      </c>
      <c r="D314" s="52" t="s">
        <v>240</v>
      </c>
      <c r="E314" s="115" t="s">
        <v>1396</v>
      </c>
      <c r="F314" s="88" t="s">
        <v>1436</v>
      </c>
      <c r="G314" s="36" t="s">
        <v>223</v>
      </c>
      <c r="H314" s="52" t="s">
        <v>1437</v>
      </c>
      <c r="I314" s="36" t="s">
        <v>223</v>
      </c>
      <c r="J314" s="29" t="s">
        <v>1438</v>
      </c>
      <c r="K314" s="29"/>
      <c r="L314" s="30"/>
      <c r="M314" s="78"/>
      <c r="N314" s="78"/>
      <c r="O314" s="78"/>
      <c r="P314" s="78"/>
      <c r="Q314" s="78"/>
      <c r="R314" s="78"/>
      <c r="S314" s="78"/>
      <c r="T314" s="78"/>
      <c r="U314" s="113"/>
      <c r="V314" s="113"/>
      <c r="W314" s="29"/>
      <c r="X314" s="113"/>
      <c r="Y314" s="114"/>
      <c r="Z314" s="113"/>
      <c r="AA314" s="114"/>
      <c r="AB314" s="29" t="s">
        <v>1439</v>
      </c>
      <c r="AC314" s="53" t="s">
        <v>1440</v>
      </c>
      <c r="AD314" s="29" t="s">
        <v>1441</v>
      </c>
      <c r="AE314" s="52"/>
      <c r="AF314" s="52"/>
      <c r="AG314" s="52"/>
      <c r="AH314" s="29" t="s">
        <v>1442</v>
      </c>
      <c r="AI314" s="52"/>
      <c r="AJ314" s="52"/>
      <c r="AK314" s="29" t="s">
        <v>1443</v>
      </c>
      <c r="AL314" s="52" t="s">
        <v>1444</v>
      </c>
      <c r="AM314" s="29" t="s">
        <v>1435</v>
      </c>
      <c r="AN314" s="52" t="s">
        <v>1444</v>
      </c>
      <c r="AO314" s="52"/>
      <c r="AP314" s="52" t="s">
        <v>1445</v>
      </c>
      <c r="AQ314" s="52" t="s">
        <v>1446</v>
      </c>
      <c r="AR314" s="112">
        <v>30.76</v>
      </c>
      <c r="AS314" s="27">
        <f t="shared" si="112"/>
        <v>69.27927927927928</v>
      </c>
      <c r="AT314" s="31" t="s">
        <v>1447</v>
      </c>
      <c r="AU314" s="31" t="s">
        <v>1448</v>
      </c>
      <c r="AV314" s="31"/>
      <c r="AW314" s="31"/>
      <c r="AX314" s="31"/>
      <c r="AY314" s="31"/>
      <c r="AZ314" s="31"/>
      <c r="BA314" s="31"/>
      <c r="BB314" s="432" t="s">
        <v>1024</v>
      </c>
      <c r="BC314" s="433"/>
      <c r="BD314" s="433"/>
      <c r="BE314" s="433"/>
      <c r="BF314" s="433"/>
      <c r="BG314" s="295">
        <v>13.25</v>
      </c>
      <c r="BH314" s="295">
        <v>10</v>
      </c>
      <c r="BI314" s="295">
        <v>6.25</v>
      </c>
      <c r="BJ314" s="291">
        <f t="shared" si="118"/>
        <v>0.47923900462962965</v>
      </c>
      <c r="BK314" s="295">
        <v>1.27</v>
      </c>
      <c r="BL314" s="344"/>
      <c r="BM314" s="344"/>
      <c r="BN314" s="52" t="s">
        <v>64</v>
      </c>
      <c r="BO314" s="296">
        <v>6</v>
      </c>
      <c r="BP314" s="296">
        <v>14</v>
      </c>
      <c r="BQ314" s="296">
        <v>7</v>
      </c>
      <c r="BR314" s="32">
        <f t="shared" si="119"/>
        <v>588</v>
      </c>
      <c r="BS314" s="32">
        <f t="shared" si="120"/>
        <v>174.46</v>
      </c>
      <c r="BT314" s="32" t="s">
        <v>69</v>
      </c>
      <c r="BU314" s="32" t="s">
        <v>67</v>
      </c>
      <c r="BV314" s="15"/>
      <c r="BW314" s="15"/>
      <c r="BX314" s="15"/>
      <c r="BY314" s="118"/>
      <c r="BZ314" s="118"/>
      <c r="CA314" s="118"/>
      <c r="CB314" s="118"/>
      <c r="CC314" s="118"/>
      <c r="CD314" s="118"/>
      <c r="CE314" s="118"/>
      <c r="CF314" s="118"/>
    </row>
    <row r="315" spans="1:84" s="119" customFormat="1" x14ac:dyDescent="0.25">
      <c r="A315" s="93">
        <v>41699</v>
      </c>
      <c r="B315" s="93"/>
      <c r="C315" s="296" t="s">
        <v>1449</v>
      </c>
      <c r="D315" s="296" t="s">
        <v>240</v>
      </c>
      <c r="E315" s="115" t="s">
        <v>1396</v>
      </c>
      <c r="F315" s="88" t="s">
        <v>1450</v>
      </c>
      <c r="G315" s="78" t="s">
        <v>260</v>
      </c>
      <c r="H315" s="36">
        <v>2048300018</v>
      </c>
      <c r="I315" s="116"/>
      <c r="J315" s="29"/>
      <c r="K315" s="29"/>
      <c r="L315" s="30"/>
      <c r="M315" s="78"/>
      <c r="N315" s="78"/>
      <c r="O315" s="78"/>
      <c r="P315" s="78"/>
      <c r="Q315" s="78"/>
      <c r="R315" s="78"/>
      <c r="S315" s="78"/>
      <c r="T315" s="78"/>
      <c r="U315" s="113"/>
      <c r="V315" s="113"/>
      <c r="W315" s="29"/>
      <c r="X315" s="113"/>
      <c r="Y315" s="114"/>
      <c r="Z315" s="113"/>
      <c r="AA315" s="114"/>
      <c r="AB315" s="52"/>
      <c r="AC315" s="53" t="s">
        <v>1451</v>
      </c>
      <c r="AD315" s="29" t="s">
        <v>1452</v>
      </c>
      <c r="AE315" s="52"/>
      <c r="AF315" s="52"/>
      <c r="AG315" s="52"/>
      <c r="AH315" s="29" t="s">
        <v>1453</v>
      </c>
      <c r="AI315" s="52"/>
      <c r="AJ315" s="52"/>
      <c r="AK315" s="78">
        <v>9357</v>
      </c>
      <c r="AL315" s="52" t="s">
        <v>1454</v>
      </c>
      <c r="AM315" s="29" t="s">
        <v>1449</v>
      </c>
      <c r="AN315" s="52" t="s">
        <v>1455</v>
      </c>
      <c r="AO315" s="52"/>
      <c r="AP315" s="52" t="s">
        <v>1456</v>
      </c>
      <c r="AQ315" s="52" t="s">
        <v>1457</v>
      </c>
      <c r="AR315" s="112">
        <v>28.49</v>
      </c>
      <c r="AS315" s="27">
        <f t="shared" si="112"/>
        <v>64.166666666666657</v>
      </c>
      <c r="AT315" s="31" t="s">
        <v>1458</v>
      </c>
      <c r="AU315" s="31" t="s">
        <v>1459</v>
      </c>
      <c r="AV315" s="31"/>
      <c r="AW315" s="31"/>
      <c r="AX315" s="31"/>
      <c r="AY315" s="31"/>
      <c r="AZ315" s="31"/>
      <c r="BA315" s="31"/>
      <c r="BB315" s="432" t="s">
        <v>1024</v>
      </c>
      <c r="BC315" s="433"/>
      <c r="BD315" s="433"/>
      <c r="BE315" s="433"/>
      <c r="BF315" s="433"/>
      <c r="BG315" s="295">
        <v>22.12</v>
      </c>
      <c r="BH315" s="295">
        <v>12.62</v>
      </c>
      <c r="BI315" s="295">
        <v>12.87</v>
      </c>
      <c r="BJ315" s="291">
        <f t="shared" si="118"/>
        <v>2.0791187083333331</v>
      </c>
      <c r="BK315" s="295">
        <v>5.86</v>
      </c>
      <c r="BL315" s="344"/>
      <c r="BM315" s="344"/>
      <c r="BN315" s="52" t="s">
        <v>64</v>
      </c>
      <c r="BO315" s="296">
        <v>6</v>
      </c>
      <c r="BP315" s="296">
        <v>6</v>
      </c>
      <c r="BQ315" s="296">
        <v>3</v>
      </c>
      <c r="BR315" s="32">
        <f t="shared" si="119"/>
        <v>108</v>
      </c>
      <c r="BS315" s="32">
        <f t="shared" si="120"/>
        <v>155.48000000000002</v>
      </c>
      <c r="BT315" s="32" t="s">
        <v>69</v>
      </c>
      <c r="BU315" s="32" t="s">
        <v>67</v>
      </c>
      <c r="BV315" s="15"/>
      <c r="BW315" s="15"/>
      <c r="BX315" s="15"/>
      <c r="BY315" s="118"/>
      <c r="BZ315" s="118"/>
      <c r="CA315" s="118"/>
      <c r="CB315" s="118"/>
      <c r="CC315" s="118"/>
      <c r="CD315" s="118"/>
      <c r="CE315" s="118"/>
      <c r="CF315" s="118"/>
    </row>
    <row r="316" spans="1:84" s="119" customFormat="1" x14ac:dyDescent="0.25">
      <c r="A316" s="93">
        <v>41699</v>
      </c>
      <c r="B316" s="93"/>
      <c r="C316" s="296" t="s">
        <v>1460</v>
      </c>
      <c r="D316" s="52" t="s">
        <v>240</v>
      </c>
      <c r="E316" s="115" t="s">
        <v>1396</v>
      </c>
      <c r="F316" s="88" t="s">
        <v>1461</v>
      </c>
      <c r="G316" s="78" t="s">
        <v>957</v>
      </c>
      <c r="H316" s="36" t="s">
        <v>1462</v>
      </c>
      <c r="I316" s="78" t="s">
        <v>957</v>
      </c>
      <c r="J316" s="29" t="s">
        <v>1463</v>
      </c>
      <c r="K316" s="29"/>
      <c r="L316" s="30"/>
      <c r="M316" s="78"/>
      <c r="N316" s="78"/>
      <c r="O316" s="78"/>
      <c r="P316" s="78"/>
      <c r="Q316" s="78"/>
      <c r="R316" s="78"/>
      <c r="S316" s="78"/>
      <c r="T316" s="78"/>
      <c r="U316" s="113"/>
      <c r="V316" s="113"/>
      <c r="W316" s="29">
        <v>89300</v>
      </c>
      <c r="X316" s="113"/>
      <c r="Y316" s="114"/>
      <c r="Z316" s="113"/>
      <c r="AA316" s="114"/>
      <c r="AB316" s="88" t="s">
        <v>1464</v>
      </c>
      <c r="AC316" s="52"/>
      <c r="AD316" s="52"/>
      <c r="AE316" s="52"/>
      <c r="AF316" s="52"/>
      <c r="AG316" s="52"/>
      <c r="AH316" s="52"/>
      <c r="AI316" s="52"/>
      <c r="AJ316" s="52"/>
      <c r="AK316" s="78">
        <v>4300</v>
      </c>
      <c r="AL316" s="52" t="s">
        <v>1465</v>
      </c>
      <c r="AM316" s="29" t="s">
        <v>1460</v>
      </c>
      <c r="AN316" s="52" t="s">
        <v>1465</v>
      </c>
      <c r="AO316" s="52"/>
      <c r="AP316" s="52" t="s">
        <v>1466</v>
      </c>
      <c r="AQ316" s="52" t="s">
        <v>1467</v>
      </c>
      <c r="AR316" s="112">
        <v>25.57</v>
      </c>
      <c r="AS316" s="27">
        <f t="shared" si="112"/>
        <v>57.590090090090087</v>
      </c>
      <c r="AT316" s="31" t="s">
        <v>1468</v>
      </c>
      <c r="AU316" s="31" t="s">
        <v>1469</v>
      </c>
      <c r="AV316" s="31"/>
      <c r="AW316" s="31"/>
      <c r="AX316" s="31"/>
      <c r="AY316" s="31"/>
      <c r="AZ316" s="31"/>
      <c r="BA316" s="31"/>
      <c r="BB316" s="432" t="s">
        <v>1024</v>
      </c>
      <c r="BC316" s="433"/>
      <c r="BD316" s="433"/>
      <c r="BE316" s="433"/>
      <c r="BF316" s="433"/>
      <c r="BG316" s="295">
        <v>12</v>
      </c>
      <c r="BH316" s="295">
        <v>10.37</v>
      </c>
      <c r="BI316" s="295">
        <v>10.62</v>
      </c>
      <c r="BJ316" s="291">
        <f t="shared" si="118"/>
        <v>0.76478749999999995</v>
      </c>
      <c r="BK316" s="295">
        <v>1.9</v>
      </c>
      <c r="BL316" s="344"/>
      <c r="BM316" s="344"/>
      <c r="BN316" s="52" t="s">
        <v>64</v>
      </c>
      <c r="BO316" s="296">
        <v>6</v>
      </c>
      <c r="BP316" s="296">
        <v>12</v>
      </c>
      <c r="BQ316" s="296">
        <v>4</v>
      </c>
      <c r="BR316" s="32">
        <f t="shared" si="119"/>
        <v>288</v>
      </c>
      <c r="BS316" s="32">
        <f t="shared" si="120"/>
        <v>141.19999999999999</v>
      </c>
      <c r="BT316" s="32" t="s">
        <v>69</v>
      </c>
      <c r="BU316" s="32" t="s">
        <v>67</v>
      </c>
      <c r="BV316" s="15"/>
      <c r="BW316" s="15"/>
      <c r="BX316" s="15"/>
      <c r="BY316" s="118"/>
      <c r="BZ316" s="118"/>
      <c r="CA316" s="118"/>
      <c r="CB316" s="118"/>
      <c r="CC316" s="118"/>
      <c r="CD316" s="118"/>
      <c r="CE316" s="118"/>
      <c r="CF316" s="118"/>
    </row>
    <row r="317" spans="1:84" s="119" customFormat="1" x14ac:dyDescent="0.25">
      <c r="A317" s="93">
        <v>41699</v>
      </c>
      <c r="B317" s="93"/>
      <c r="C317" s="296" t="s">
        <v>1470</v>
      </c>
      <c r="D317" s="296" t="s">
        <v>240</v>
      </c>
      <c r="E317" s="115" t="s">
        <v>1396</v>
      </c>
      <c r="F317" s="88" t="s">
        <v>1471</v>
      </c>
      <c r="G317" s="78" t="s">
        <v>259</v>
      </c>
      <c r="H317" s="36">
        <v>64316945586</v>
      </c>
      <c r="I317" s="116"/>
      <c r="J317" s="29"/>
      <c r="K317" s="29"/>
      <c r="L317" s="30"/>
      <c r="M317" s="78"/>
      <c r="N317" s="78"/>
      <c r="O317" s="78"/>
      <c r="P317" s="78"/>
      <c r="Q317" s="78"/>
      <c r="R317" s="78"/>
      <c r="S317" s="78"/>
      <c r="T317" s="78"/>
      <c r="U317" s="113"/>
      <c r="V317" s="113"/>
      <c r="W317" s="29">
        <v>83585</v>
      </c>
      <c r="X317" s="113"/>
      <c r="Y317" s="114"/>
      <c r="Z317" s="113"/>
      <c r="AA317" s="114"/>
      <c r="AB317" s="52"/>
      <c r="AC317" s="53" t="s">
        <v>1472</v>
      </c>
      <c r="AD317" s="29" t="s">
        <v>1473</v>
      </c>
      <c r="AE317" s="52"/>
      <c r="AF317" s="52"/>
      <c r="AG317" s="52"/>
      <c r="AH317" s="29" t="s">
        <v>1474</v>
      </c>
      <c r="AI317" s="52"/>
      <c r="AJ317" s="52"/>
      <c r="AK317" s="29" t="s">
        <v>1475</v>
      </c>
      <c r="AL317" s="52" t="s">
        <v>1476</v>
      </c>
      <c r="AM317" s="52"/>
      <c r="AN317" s="52"/>
      <c r="AO317" s="52"/>
      <c r="AP317" s="52"/>
      <c r="AQ317" s="52" t="s">
        <v>1477</v>
      </c>
      <c r="AR317" s="112">
        <v>72.489999999999995</v>
      </c>
      <c r="AS317" s="27">
        <f t="shared" si="112"/>
        <v>163.26576576576576</v>
      </c>
      <c r="AT317" s="31" t="s">
        <v>1478</v>
      </c>
      <c r="AU317" s="31" t="s">
        <v>1479</v>
      </c>
      <c r="AV317" s="31"/>
      <c r="AW317" s="31"/>
      <c r="AX317" s="31"/>
      <c r="AY317" s="31"/>
      <c r="AZ317" s="31"/>
      <c r="BA317" s="31"/>
      <c r="BB317" s="432" t="s">
        <v>1024</v>
      </c>
      <c r="BC317" s="433"/>
      <c r="BD317" s="433"/>
      <c r="BE317" s="433"/>
      <c r="BF317" s="433"/>
      <c r="BG317" s="295">
        <v>16.37</v>
      </c>
      <c r="BH317" s="295">
        <v>12.5</v>
      </c>
      <c r="BI317" s="295">
        <v>12.75</v>
      </c>
      <c r="BJ317" s="291">
        <f t="shared" si="118"/>
        <v>1.5098198784722223</v>
      </c>
      <c r="BK317" s="295">
        <v>6.58</v>
      </c>
      <c r="BL317" s="344"/>
      <c r="BM317" s="344"/>
      <c r="BN317" s="52" t="s">
        <v>64</v>
      </c>
      <c r="BO317" s="296">
        <v>6</v>
      </c>
      <c r="BP317" s="296">
        <v>8</v>
      </c>
      <c r="BQ317" s="296">
        <v>3</v>
      </c>
      <c r="BR317" s="32">
        <f t="shared" si="119"/>
        <v>144</v>
      </c>
      <c r="BS317" s="32">
        <f t="shared" si="120"/>
        <v>207.92000000000002</v>
      </c>
      <c r="BT317" s="32" t="s">
        <v>69</v>
      </c>
      <c r="BU317" s="32" t="s">
        <v>67</v>
      </c>
      <c r="BV317" s="15"/>
      <c r="BW317" s="15"/>
      <c r="BX317" s="15"/>
      <c r="BY317" s="118"/>
      <c r="BZ317" s="118"/>
      <c r="CA317" s="118"/>
      <c r="CB317" s="118"/>
      <c r="CC317" s="118"/>
      <c r="CD317" s="118"/>
      <c r="CE317" s="118"/>
      <c r="CF317" s="118"/>
    </row>
    <row r="318" spans="1:84" s="119" customFormat="1" ht="30" x14ac:dyDescent="0.25">
      <c r="A318" s="93">
        <v>41699</v>
      </c>
      <c r="B318" s="93"/>
      <c r="C318" s="296" t="s">
        <v>1480</v>
      </c>
      <c r="D318" s="296" t="s">
        <v>240</v>
      </c>
      <c r="E318" s="115" t="s">
        <v>1337</v>
      </c>
      <c r="F318" s="88" t="s">
        <v>1481</v>
      </c>
      <c r="G318" s="78" t="s">
        <v>260</v>
      </c>
      <c r="H318" s="36" t="s">
        <v>1482</v>
      </c>
      <c r="I318" s="116"/>
      <c r="J318" s="29"/>
      <c r="K318" s="29"/>
      <c r="L318" s="30"/>
      <c r="M318" s="78"/>
      <c r="N318" s="78"/>
      <c r="O318" s="78"/>
      <c r="P318" s="78"/>
      <c r="Q318" s="78"/>
      <c r="R318" s="78"/>
      <c r="S318" s="78"/>
      <c r="T318" s="78"/>
      <c r="U318" s="113"/>
      <c r="V318" s="113"/>
      <c r="W318" s="29"/>
      <c r="X318" s="113"/>
      <c r="Y318" s="114"/>
      <c r="Z318" s="113"/>
      <c r="AA318" s="114"/>
      <c r="AB318" s="88" t="s">
        <v>1483</v>
      </c>
      <c r="AC318" s="52"/>
      <c r="AD318" s="52" t="s">
        <v>1484</v>
      </c>
      <c r="AE318" s="52"/>
      <c r="AF318" s="52"/>
      <c r="AG318" s="52"/>
      <c r="AH318" s="52" t="s">
        <v>1485</v>
      </c>
      <c r="AI318" s="52"/>
      <c r="AJ318" s="52"/>
      <c r="AK318" s="78"/>
      <c r="AL318" s="52" t="s">
        <v>1486</v>
      </c>
      <c r="AM318" s="52"/>
      <c r="AN318" s="52" t="s">
        <v>1487</v>
      </c>
      <c r="AO318" s="52"/>
      <c r="AP318" s="52" t="s">
        <v>1488</v>
      </c>
      <c r="AQ318" s="52"/>
      <c r="AR318" s="112">
        <v>34.69</v>
      </c>
      <c r="AS318" s="27">
        <f t="shared" si="112"/>
        <v>78.13063063063062</v>
      </c>
      <c r="AT318" s="31" t="s">
        <v>1489</v>
      </c>
      <c r="AU318" s="31" t="s">
        <v>1490</v>
      </c>
      <c r="AV318" s="31"/>
      <c r="AW318" s="31"/>
      <c r="AX318" s="31"/>
      <c r="AY318" s="31"/>
      <c r="AZ318" s="31"/>
      <c r="BA318" s="31"/>
      <c r="BB318" s="295">
        <v>2.9060000000000001</v>
      </c>
      <c r="BC318" s="295">
        <v>2.9060000000000001</v>
      </c>
      <c r="BD318" s="295">
        <v>6.6920000000000002</v>
      </c>
      <c r="BE318" s="291">
        <f>(BD318*BC318*BB318)/1728</f>
        <v>3.2704191268518527E-2</v>
      </c>
      <c r="BF318" s="295">
        <v>0.6</v>
      </c>
      <c r="BG318" s="295">
        <v>9.3800000000000008</v>
      </c>
      <c r="BH318" s="295">
        <v>6.5</v>
      </c>
      <c r="BI318" s="295">
        <v>7.38</v>
      </c>
      <c r="BJ318" s="291">
        <f t="shared" si="118"/>
        <v>0.26039270833333333</v>
      </c>
      <c r="BK318" s="295">
        <f>BF318*BO318+0.25</f>
        <v>3.8499999999999996</v>
      </c>
      <c r="BL318" s="344"/>
      <c r="BM318" s="344"/>
      <c r="BN318" s="52" t="s">
        <v>64</v>
      </c>
      <c r="BO318" s="296">
        <v>6</v>
      </c>
      <c r="BP318" s="296">
        <v>30</v>
      </c>
      <c r="BQ318" s="296">
        <v>6</v>
      </c>
      <c r="BR318" s="32">
        <f t="shared" si="119"/>
        <v>1080</v>
      </c>
      <c r="BS318" s="32">
        <f t="shared" si="120"/>
        <v>742.99999999999989</v>
      </c>
      <c r="BT318" s="32" t="s">
        <v>255</v>
      </c>
      <c r="BU318" s="32" t="s">
        <v>67</v>
      </c>
      <c r="BV318" s="15"/>
      <c r="BW318" s="15"/>
      <c r="BX318" s="15"/>
      <c r="BY318" s="118"/>
      <c r="BZ318" s="118"/>
      <c r="CA318" s="118"/>
      <c r="CB318" s="118"/>
      <c r="CC318" s="118"/>
      <c r="CD318" s="118"/>
      <c r="CE318" s="118"/>
      <c r="CF318" s="118"/>
    </row>
    <row r="319" spans="1:84" s="119" customFormat="1" x14ac:dyDescent="0.25">
      <c r="A319" s="93">
        <v>41699</v>
      </c>
      <c r="B319" s="93"/>
      <c r="C319" s="52" t="s">
        <v>1491</v>
      </c>
      <c r="D319" s="296" t="s">
        <v>240</v>
      </c>
      <c r="E319" s="115" t="s">
        <v>1361</v>
      </c>
      <c r="F319" s="36" t="s">
        <v>1492</v>
      </c>
      <c r="G319" s="78" t="s">
        <v>1493</v>
      </c>
      <c r="H319" s="52" t="s">
        <v>1494</v>
      </c>
      <c r="I319" s="116"/>
      <c r="J319" s="29"/>
      <c r="K319" s="29"/>
      <c r="L319" s="30"/>
      <c r="M319" s="78"/>
      <c r="N319" s="78"/>
      <c r="O319" s="78"/>
      <c r="P319" s="78"/>
      <c r="Q319" s="78"/>
      <c r="R319" s="78"/>
      <c r="S319" s="78"/>
      <c r="T319" s="78"/>
      <c r="U319" s="113"/>
      <c r="V319" s="113"/>
      <c r="W319" s="29">
        <v>83390</v>
      </c>
      <c r="X319" s="113"/>
      <c r="Y319" s="114"/>
      <c r="Z319" s="113"/>
      <c r="AA319" s="114"/>
      <c r="AB319" s="52" t="s">
        <v>1495</v>
      </c>
      <c r="AC319" s="53" t="s">
        <v>1496</v>
      </c>
      <c r="AD319" s="52"/>
      <c r="AE319" s="52" t="s">
        <v>1497</v>
      </c>
      <c r="AF319" s="52"/>
      <c r="AG319" s="52"/>
      <c r="AH319" s="52"/>
      <c r="AI319" s="52"/>
      <c r="AJ319" s="52"/>
      <c r="AK319" s="78">
        <v>9390</v>
      </c>
      <c r="AL319" s="52" t="s">
        <v>1498</v>
      </c>
      <c r="AM319" s="52"/>
      <c r="AN319" s="52" t="s">
        <v>1499</v>
      </c>
      <c r="AO319" s="52"/>
      <c r="AP319" s="52" t="s">
        <v>1500</v>
      </c>
      <c r="AQ319" s="53" t="s">
        <v>1501</v>
      </c>
      <c r="AR319" s="112">
        <v>33.74</v>
      </c>
      <c r="AS319" s="27">
        <f t="shared" si="112"/>
        <v>75.990990990990994</v>
      </c>
      <c r="AT319" s="31" t="s">
        <v>1502</v>
      </c>
      <c r="AU319" s="31" t="s">
        <v>1503</v>
      </c>
      <c r="AV319" s="31"/>
      <c r="AW319" s="31"/>
      <c r="AX319" s="31"/>
      <c r="AY319" s="31"/>
      <c r="AZ319" s="31"/>
      <c r="BA319" s="31"/>
      <c r="BB319" s="295">
        <v>7.7859999999999996</v>
      </c>
      <c r="BC319" s="295">
        <v>2.536</v>
      </c>
      <c r="BD319" s="295">
        <v>9.0719999999999992</v>
      </c>
      <c r="BE319" s="291">
        <f>(BD319*BC319*BB319)/1728</f>
        <v>0.10366280399999998</v>
      </c>
      <c r="BF319" s="294">
        <v>0.46400000000000002</v>
      </c>
      <c r="BG319" s="294">
        <v>9.75</v>
      </c>
      <c r="BH319" s="294">
        <v>8.18</v>
      </c>
      <c r="BI319" s="294">
        <v>8.5</v>
      </c>
      <c r="BJ319" s="291">
        <f t="shared" si="118"/>
        <v>0.39231336805555556</v>
      </c>
      <c r="BK319" s="295">
        <f>BF319*BO319+0.25</f>
        <v>1.6420000000000001</v>
      </c>
      <c r="BL319" s="344"/>
      <c r="BM319" s="344"/>
      <c r="BN319" s="52" t="s">
        <v>64</v>
      </c>
      <c r="BO319" s="296">
        <v>3</v>
      </c>
      <c r="BP319" s="296">
        <v>20</v>
      </c>
      <c r="BQ319" s="296">
        <v>5</v>
      </c>
      <c r="BR319" s="32">
        <f t="shared" si="119"/>
        <v>300</v>
      </c>
      <c r="BS319" s="32">
        <f t="shared" si="120"/>
        <v>214.20000000000002</v>
      </c>
      <c r="BT319" s="32" t="s">
        <v>69</v>
      </c>
      <c r="BU319" s="32" t="s">
        <v>67</v>
      </c>
      <c r="BV319" s="15"/>
      <c r="BW319" s="15"/>
      <c r="BX319" s="15"/>
      <c r="BY319" s="118"/>
      <c r="BZ319" s="118"/>
      <c r="CA319" s="118"/>
      <c r="CB319" s="118"/>
      <c r="CC319" s="118"/>
      <c r="CD319" s="118"/>
      <c r="CE319" s="118"/>
      <c r="CF319" s="118"/>
    </row>
    <row r="320" spans="1:84" s="119" customFormat="1" x14ac:dyDescent="0.25">
      <c r="A320" s="93">
        <v>41699</v>
      </c>
      <c r="B320" s="93"/>
      <c r="C320" s="52" t="s">
        <v>1504</v>
      </c>
      <c r="D320" s="296" t="s">
        <v>240</v>
      </c>
      <c r="E320" s="115" t="s">
        <v>1361</v>
      </c>
      <c r="F320" s="88" t="s">
        <v>1505</v>
      </c>
      <c r="G320" s="78" t="s">
        <v>187</v>
      </c>
      <c r="H320" s="296">
        <v>15909459</v>
      </c>
      <c r="I320" s="78" t="s">
        <v>187</v>
      </c>
      <c r="J320" s="296">
        <v>20774655</v>
      </c>
      <c r="K320" s="116" t="s">
        <v>1178</v>
      </c>
      <c r="L320" s="29" t="s">
        <v>1506</v>
      </c>
      <c r="M320" s="78"/>
      <c r="N320" s="78"/>
      <c r="O320" s="78"/>
      <c r="P320" s="78"/>
      <c r="Q320" s="78"/>
      <c r="R320" s="78"/>
      <c r="S320" s="78"/>
      <c r="T320" s="78"/>
      <c r="U320" s="113"/>
      <c r="V320" s="113"/>
      <c r="W320" s="29">
        <v>83459</v>
      </c>
      <c r="X320" s="113"/>
      <c r="Y320" s="114"/>
      <c r="Z320" s="113"/>
      <c r="AA320" s="114"/>
      <c r="AB320" s="296" t="s">
        <v>1507</v>
      </c>
      <c r="AC320" s="296" t="s">
        <v>1508</v>
      </c>
      <c r="AD320" s="296"/>
      <c r="AE320" s="296"/>
      <c r="AF320" s="296"/>
      <c r="AG320" s="296"/>
      <c r="AH320" s="296"/>
      <c r="AI320" s="296"/>
      <c r="AJ320" s="296"/>
      <c r="AK320" s="78">
        <v>9459</v>
      </c>
      <c r="AL320" s="296" t="s">
        <v>1509</v>
      </c>
      <c r="AM320" s="296" t="s">
        <v>1510</v>
      </c>
      <c r="AN320" s="296" t="s">
        <v>1511</v>
      </c>
      <c r="AO320" s="296"/>
      <c r="AP320" s="296" t="s">
        <v>1512</v>
      </c>
      <c r="AQ320" s="296">
        <v>49459</v>
      </c>
      <c r="AR320" s="112">
        <v>54.95</v>
      </c>
      <c r="AS320" s="27">
        <f t="shared" si="112"/>
        <v>123.76126126126127</v>
      </c>
      <c r="AT320" s="31" t="s">
        <v>1513</v>
      </c>
      <c r="AU320" s="31" t="s">
        <v>1514</v>
      </c>
      <c r="AV320" s="31"/>
      <c r="AW320" s="31"/>
      <c r="AX320" s="31"/>
      <c r="AY320" s="31"/>
      <c r="AZ320" s="31"/>
      <c r="BA320" s="31"/>
      <c r="BB320" s="295">
        <v>4.6559999999999997</v>
      </c>
      <c r="BC320" s="295">
        <v>4.6559999999999997</v>
      </c>
      <c r="BD320" s="295">
        <v>8.8219999999999992</v>
      </c>
      <c r="BE320" s="291">
        <f>(BD320*BC320*BB320)/1728</f>
        <v>0.11067493066666663</v>
      </c>
      <c r="BF320" s="294">
        <v>1.6</v>
      </c>
      <c r="BG320" s="294">
        <v>15.305999999999999</v>
      </c>
      <c r="BH320" s="294">
        <v>9.3059999999999992</v>
      </c>
      <c r="BI320" s="294">
        <v>5.7320000000000002</v>
      </c>
      <c r="BJ320" s="291">
        <f t="shared" si="118"/>
        <v>0.47248410274999991</v>
      </c>
      <c r="BK320" s="294">
        <f>BF320*BO320+0.25</f>
        <v>5.0500000000000007</v>
      </c>
      <c r="BL320" s="341"/>
      <c r="BM320" s="341"/>
      <c r="BN320" s="52" t="s">
        <v>64</v>
      </c>
      <c r="BO320" s="296">
        <v>3</v>
      </c>
      <c r="BP320" s="296">
        <v>13</v>
      </c>
      <c r="BQ320" s="296">
        <v>8</v>
      </c>
      <c r="BR320" s="32">
        <f t="shared" si="119"/>
        <v>312</v>
      </c>
      <c r="BS320" s="32">
        <f t="shared" si="120"/>
        <v>575.20000000000005</v>
      </c>
      <c r="BT320" s="32" t="s">
        <v>62</v>
      </c>
      <c r="BU320" s="32" t="s">
        <v>67</v>
      </c>
      <c r="BV320" s="15"/>
      <c r="BW320" s="15"/>
      <c r="BX320" s="15"/>
      <c r="BY320" s="118"/>
      <c r="BZ320" s="118"/>
      <c r="CA320" s="118"/>
      <c r="CB320" s="118"/>
      <c r="CC320" s="118"/>
      <c r="CD320" s="118"/>
      <c r="CE320" s="118"/>
      <c r="CF320" s="118"/>
    </row>
    <row r="321" spans="1:84" s="119" customFormat="1" ht="30" x14ac:dyDescent="0.25">
      <c r="A321" s="93">
        <v>41699</v>
      </c>
      <c r="B321" s="93"/>
      <c r="C321" s="52" t="s">
        <v>1515</v>
      </c>
      <c r="D321" s="296" t="s">
        <v>73</v>
      </c>
      <c r="E321" s="115" t="s">
        <v>1361</v>
      </c>
      <c r="F321" s="36" t="s">
        <v>1516</v>
      </c>
      <c r="G321" s="296" t="s">
        <v>72</v>
      </c>
      <c r="H321" s="296" t="s">
        <v>1517</v>
      </c>
      <c r="I321" s="116" t="s">
        <v>1518</v>
      </c>
      <c r="J321" s="29" t="s">
        <v>1519</v>
      </c>
      <c r="K321" s="29" t="s">
        <v>51</v>
      </c>
      <c r="L321" s="30" t="s">
        <v>1520</v>
      </c>
      <c r="M321" s="78"/>
      <c r="N321" s="78"/>
      <c r="O321" s="78"/>
      <c r="P321" s="78"/>
      <c r="Q321" s="78"/>
      <c r="R321" s="78"/>
      <c r="S321" s="78"/>
      <c r="T321" s="78"/>
      <c r="U321" s="113"/>
      <c r="V321" s="113"/>
      <c r="W321" s="29"/>
      <c r="X321" s="113"/>
      <c r="Y321" s="114"/>
      <c r="Z321" s="113"/>
      <c r="AA321" s="114"/>
      <c r="AB321" s="296"/>
      <c r="AC321" s="296"/>
      <c r="AD321" s="296"/>
      <c r="AE321" s="296"/>
      <c r="AF321" s="296"/>
      <c r="AG321" s="296"/>
      <c r="AH321" s="296"/>
      <c r="AI321" s="296"/>
      <c r="AJ321" s="296"/>
      <c r="AK321" s="78"/>
      <c r="AL321" s="296"/>
      <c r="AM321" s="296"/>
      <c r="AN321" s="296" t="s">
        <v>1521</v>
      </c>
      <c r="AO321" s="296"/>
      <c r="AP321" s="296" t="s">
        <v>1521</v>
      </c>
      <c r="AQ321" s="296"/>
      <c r="AR321" s="112">
        <v>26.63</v>
      </c>
      <c r="AS321" s="27">
        <f t="shared" si="112"/>
        <v>59.977477477477471</v>
      </c>
      <c r="AT321" s="31" t="s">
        <v>1522</v>
      </c>
      <c r="AU321" s="31" t="s">
        <v>1523</v>
      </c>
      <c r="AV321" s="31"/>
      <c r="AW321" s="31"/>
      <c r="AX321" s="31"/>
      <c r="AY321" s="31"/>
      <c r="AZ321" s="31"/>
      <c r="BA321" s="31"/>
      <c r="BB321" s="295">
        <v>6.7859999999999996</v>
      </c>
      <c r="BC321" s="295">
        <v>4.9059999999999997</v>
      </c>
      <c r="BD321" s="295">
        <v>8.5719999999999992</v>
      </c>
      <c r="BE321" s="291">
        <f>(BD321*BC321*BB321)/1728</f>
        <v>0.16515047358333329</v>
      </c>
      <c r="BF321" s="294">
        <v>0.2</v>
      </c>
      <c r="BG321" s="294">
        <v>15.38</v>
      </c>
      <c r="BH321" s="294">
        <v>7.25</v>
      </c>
      <c r="BI321" s="294">
        <v>9.1199999999999992</v>
      </c>
      <c r="BJ321" s="291">
        <f t="shared" si="118"/>
        <v>0.58849861111111101</v>
      </c>
      <c r="BK321" s="294">
        <f>BF321*BO321+0.25</f>
        <v>0.85000000000000009</v>
      </c>
      <c r="BL321" s="341"/>
      <c r="BM321" s="341"/>
      <c r="BN321" s="52" t="s">
        <v>64</v>
      </c>
      <c r="BO321" s="296">
        <v>3</v>
      </c>
      <c r="BP321" s="296">
        <v>15</v>
      </c>
      <c r="BQ321" s="296">
        <v>4</v>
      </c>
      <c r="BR321" s="32">
        <f t="shared" si="119"/>
        <v>180</v>
      </c>
      <c r="BS321" s="32">
        <f t="shared" si="120"/>
        <v>101</v>
      </c>
      <c r="BT321" s="32" t="s">
        <v>62</v>
      </c>
      <c r="BU321" s="32" t="s">
        <v>67</v>
      </c>
      <c r="BV321" s="15"/>
      <c r="BW321" s="15"/>
      <c r="BX321" s="15"/>
      <c r="BY321" s="118"/>
      <c r="BZ321" s="118"/>
      <c r="CA321" s="118"/>
      <c r="CB321" s="118"/>
      <c r="CC321" s="118"/>
      <c r="CD321" s="118"/>
      <c r="CE321" s="118"/>
      <c r="CF321" s="118"/>
    </row>
    <row r="322" spans="1:84" s="119" customFormat="1" ht="30" x14ac:dyDescent="0.25">
      <c r="A322" s="93">
        <v>41699</v>
      </c>
      <c r="B322" s="93"/>
      <c r="C322" s="52" t="s">
        <v>1524</v>
      </c>
      <c r="D322" s="296" t="s">
        <v>240</v>
      </c>
      <c r="E322" s="115" t="s">
        <v>1396</v>
      </c>
      <c r="F322" s="108" t="s">
        <v>1525</v>
      </c>
      <c r="G322" s="28" t="s">
        <v>223</v>
      </c>
      <c r="H322" s="37" t="s">
        <v>1526</v>
      </c>
      <c r="I322" s="28" t="s">
        <v>223</v>
      </c>
      <c r="J322" s="29" t="s">
        <v>1527</v>
      </c>
      <c r="K322" s="29"/>
      <c r="L322" s="30"/>
      <c r="M322" s="78"/>
      <c r="N322" s="78"/>
      <c r="O322" s="78"/>
      <c r="P322" s="78"/>
      <c r="Q322" s="78"/>
      <c r="R322" s="78"/>
      <c r="S322" s="78"/>
      <c r="T322" s="78"/>
      <c r="U322" s="113"/>
      <c r="V322" s="113"/>
      <c r="W322" s="29">
        <v>83093</v>
      </c>
      <c r="X322" s="113"/>
      <c r="Y322" s="114"/>
      <c r="Z322" s="113"/>
      <c r="AA322" s="114"/>
      <c r="AB322" s="52" t="s">
        <v>1528</v>
      </c>
      <c r="AC322" s="53" t="s">
        <v>1529</v>
      </c>
      <c r="AD322" s="52"/>
      <c r="AE322" s="52"/>
      <c r="AF322" s="52"/>
      <c r="AG322" s="52"/>
      <c r="AH322" s="52" t="s">
        <v>1530</v>
      </c>
      <c r="AI322" s="52"/>
      <c r="AJ322" s="52"/>
      <c r="AK322" s="78">
        <v>9093</v>
      </c>
      <c r="AL322" s="52" t="s">
        <v>1531</v>
      </c>
      <c r="AM322" s="52" t="s">
        <v>1524</v>
      </c>
      <c r="AN322" s="52" t="s">
        <v>1531</v>
      </c>
      <c r="AO322" s="52"/>
      <c r="AP322" s="52" t="s">
        <v>1532</v>
      </c>
      <c r="AQ322" s="52" t="s">
        <v>1533</v>
      </c>
      <c r="AR322" s="112">
        <v>27.57</v>
      </c>
      <c r="AS322" s="27">
        <f t="shared" si="112"/>
        <v>62.094594594594597</v>
      </c>
      <c r="AT322" s="31" t="s">
        <v>1534</v>
      </c>
      <c r="AU322" s="31" t="s">
        <v>1535</v>
      </c>
      <c r="AV322" s="31"/>
      <c r="AW322" s="31"/>
      <c r="AX322" s="31"/>
      <c r="AY322" s="31"/>
      <c r="AZ322" s="31"/>
      <c r="BA322" s="31"/>
      <c r="BB322" s="432" t="s">
        <v>1024</v>
      </c>
      <c r="BC322" s="433"/>
      <c r="BD322" s="433"/>
      <c r="BE322" s="433"/>
      <c r="BF322" s="433"/>
      <c r="BG322" s="294">
        <v>4.12</v>
      </c>
      <c r="BH322" s="294">
        <v>6.25</v>
      </c>
      <c r="BI322" s="294">
        <v>9.25</v>
      </c>
      <c r="BJ322" s="291">
        <f t="shared" si="118"/>
        <v>0.13783998842592593</v>
      </c>
      <c r="BK322" s="294">
        <v>1.6300000000000001</v>
      </c>
      <c r="BL322" s="341"/>
      <c r="BM322" s="341"/>
      <c r="BN322" s="52" t="s">
        <v>64</v>
      </c>
      <c r="BO322" s="296">
        <v>6</v>
      </c>
      <c r="BP322" s="296">
        <v>30</v>
      </c>
      <c r="BQ322" s="296">
        <v>10</v>
      </c>
      <c r="BR322" s="32">
        <f t="shared" si="119"/>
        <v>1800</v>
      </c>
      <c r="BS322" s="32">
        <f t="shared" si="120"/>
        <v>539</v>
      </c>
      <c r="BT322" s="32" t="s">
        <v>69</v>
      </c>
      <c r="BU322" s="32" t="s">
        <v>67</v>
      </c>
      <c r="BV322" s="15"/>
      <c r="BW322" s="15"/>
      <c r="BX322" s="15"/>
      <c r="BY322" s="118"/>
      <c r="BZ322" s="118"/>
      <c r="CA322" s="118"/>
      <c r="CB322" s="118"/>
      <c r="CC322" s="118"/>
      <c r="CD322" s="118"/>
      <c r="CE322" s="118"/>
      <c r="CF322" s="118"/>
    </row>
    <row r="323" spans="1:84" s="119" customFormat="1" ht="30" customHeight="1" x14ac:dyDescent="0.25">
      <c r="A323" s="93">
        <v>41685</v>
      </c>
      <c r="B323" s="93"/>
      <c r="C323" s="52" t="s">
        <v>1536</v>
      </c>
      <c r="D323" s="52" t="s">
        <v>73</v>
      </c>
      <c r="E323" s="52" t="s">
        <v>1537</v>
      </c>
      <c r="F323" s="299" t="s">
        <v>1538</v>
      </c>
      <c r="G323" s="64" t="s">
        <v>66</v>
      </c>
      <c r="H323" s="64" t="s">
        <v>1539</v>
      </c>
      <c r="I323" s="29" t="s">
        <v>1540</v>
      </c>
      <c r="J323" s="29" t="s">
        <v>1541</v>
      </c>
      <c r="K323" s="29"/>
      <c r="L323" s="30"/>
      <c r="M323" s="91"/>
      <c r="N323" s="91"/>
      <c r="O323" s="78"/>
      <c r="P323" s="78"/>
      <c r="Q323" s="78"/>
      <c r="R323" s="78"/>
      <c r="S323" s="78"/>
      <c r="T323" s="78"/>
      <c r="U323" s="113" t="s">
        <v>1542</v>
      </c>
      <c r="V323" s="113"/>
      <c r="W323" s="29">
        <v>83203</v>
      </c>
      <c r="X323" s="113"/>
      <c r="Y323" s="114" t="s">
        <v>1543</v>
      </c>
      <c r="Z323" s="113"/>
      <c r="AA323" s="114" t="s">
        <v>1544</v>
      </c>
      <c r="AB323" s="114"/>
      <c r="AC323" s="113"/>
      <c r="AD323" s="113"/>
      <c r="AE323" s="113"/>
      <c r="AF323" s="113"/>
      <c r="AG323" s="113"/>
      <c r="AH323" s="78"/>
      <c r="AI323" s="113"/>
      <c r="AJ323" s="113"/>
      <c r="AK323" s="113">
        <v>9203</v>
      </c>
      <c r="AL323" s="113"/>
      <c r="AM323" s="113"/>
      <c r="AN323" s="113"/>
      <c r="AO323" s="113"/>
      <c r="AP323" s="113"/>
      <c r="AQ323" s="113" t="s">
        <v>1545</v>
      </c>
      <c r="AR323" s="112">
        <v>84.86</v>
      </c>
      <c r="AS323" s="27">
        <f t="shared" si="112"/>
        <v>191.12612612612611</v>
      </c>
      <c r="AT323" s="31" t="s">
        <v>1546</v>
      </c>
      <c r="AU323" s="31" t="s">
        <v>1547</v>
      </c>
      <c r="AV323" s="31"/>
      <c r="AW323" s="31"/>
      <c r="AX323" s="31"/>
      <c r="AY323" s="31"/>
      <c r="AZ323" s="31"/>
      <c r="BA323" s="31"/>
      <c r="BB323" s="434" t="s">
        <v>80</v>
      </c>
      <c r="BC323" s="434"/>
      <c r="BD323" s="434"/>
      <c r="BE323" s="434"/>
      <c r="BF323" s="434"/>
      <c r="BG323" s="294">
        <v>12.680999999999999</v>
      </c>
      <c r="BH323" s="294">
        <v>12.680999999999999</v>
      </c>
      <c r="BI323" s="294">
        <v>14.362</v>
      </c>
      <c r="BJ323" s="291">
        <f t="shared" si="118"/>
        <v>1.3365283932187497</v>
      </c>
      <c r="BK323" s="294">
        <f>0.75+0.4</f>
        <v>1.1499999999999999</v>
      </c>
      <c r="BL323" s="341"/>
      <c r="BM323" s="341"/>
      <c r="BN323" s="52" t="s">
        <v>64</v>
      </c>
      <c r="BO323" s="52">
        <v>1</v>
      </c>
      <c r="BP323" s="52">
        <v>9</v>
      </c>
      <c r="BQ323" s="52">
        <v>3</v>
      </c>
      <c r="BR323" s="32">
        <f t="shared" si="119"/>
        <v>27</v>
      </c>
      <c r="BS323" s="32">
        <f t="shared" si="120"/>
        <v>81.05</v>
      </c>
      <c r="BT323" s="32" t="s">
        <v>62</v>
      </c>
      <c r="BU323" s="32" t="s">
        <v>67</v>
      </c>
      <c r="BV323" s="15"/>
      <c r="BW323" s="15"/>
      <c r="BX323" s="15"/>
      <c r="BY323" s="118"/>
      <c r="BZ323" s="118"/>
      <c r="CA323" s="118"/>
      <c r="CB323" s="118"/>
      <c r="CC323" s="118"/>
      <c r="CD323" s="118"/>
      <c r="CE323" s="118"/>
      <c r="CF323" s="118"/>
    </row>
    <row r="324" spans="1:84" s="119" customFormat="1" x14ac:dyDescent="0.25">
      <c r="A324" s="93">
        <v>41685</v>
      </c>
      <c r="B324" s="93"/>
      <c r="C324" s="52" t="s">
        <v>1548</v>
      </c>
      <c r="D324" s="52" t="s">
        <v>73</v>
      </c>
      <c r="E324" s="52" t="s">
        <v>1549</v>
      </c>
      <c r="F324" s="299" t="s">
        <v>1550</v>
      </c>
      <c r="G324" s="78" t="s">
        <v>52</v>
      </c>
      <c r="H324" s="61" t="s">
        <v>1551</v>
      </c>
      <c r="I324" s="29" t="s">
        <v>1552</v>
      </c>
      <c r="J324" s="29" t="s">
        <v>1553</v>
      </c>
      <c r="K324" s="29" t="s">
        <v>71</v>
      </c>
      <c r="L324" s="30">
        <v>11988962</v>
      </c>
      <c r="M324" s="29" t="s">
        <v>71</v>
      </c>
      <c r="N324" s="30">
        <v>11708554</v>
      </c>
      <c r="O324" s="78"/>
      <c r="P324" s="78"/>
      <c r="Q324" s="78"/>
      <c r="R324" s="78"/>
      <c r="S324" s="78"/>
      <c r="T324" s="78"/>
      <c r="U324" s="113" t="s">
        <v>1554</v>
      </c>
      <c r="V324" s="113"/>
      <c r="W324" s="29">
        <v>86716</v>
      </c>
      <c r="X324" s="113"/>
      <c r="Y324" s="114" t="s">
        <v>1555</v>
      </c>
      <c r="Z324" s="113"/>
      <c r="AA324" s="114" t="s">
        <v>1556</v>
      </c>
      <c r="AB324" s="114"/>
      <c r="AC324" s="113"/>
      <c r="AD324" s="113" t="s">
        <v>1551</v>
      </c>
      <c r="AE324" s="113"/>
      <c r="AF324" s="113"/>
      <c r="AG324" s="113"/>
      <c r="AH324" s="113" t="s">
        <v>1553</v>
      </c>
      <c r="AI324" s="113"/>
      <c r="AJ324" s="113"/>
      <c r="AK324" s="113">
        <v>3716</v>
      </c>
      <c r="AL324" s="113"/>
      <c r="AM324" s="113"/>
      <c r="AN324" s="113"/>
      <c r="AO324" s="113"/>
      <c r="AP324" s="113"/>
      <c r="AQ324" s="113" t="s">
        <v>1557</v>
      </c>
      <c r="AR324" s="112">
        <v>29.34</v>
      </c>
      <c r="AS324" s="27">
        <f t="shared" si="112"/>
        <v>66.081081081081081</v>
      </c>
      <c r="AT324" s="31" t="s">
        <v>1558</v>
      </c>
      <c r="AU324" s="31" t="s">
        <v>1559</v>
      </c>
      <c r="AV324" s="31"/>
      <c r="AW324" s="31"/>
      <c r="AX324" s="31"/>
      <c r="AY324" s="31"/>
      <c r="AZ324" s="31"/>
      <c r="BA324" s="31"/>
      <c r="BB324" s="294">
        <v>3.1859999999999999</v>
      </c>
      <c r="BC324" s="294">
        <v>3.1859999999999999</v>
      </c>
      <c r="BD324" s="294">
        <v>3.6920000000000002</v>
      </c>
      <c r="BE324" s="291">
        <f>(BD324*BC324*BB324)/1728</f>
        <v>2.1687500249999998E-2</v>
      </c>
      <c r="BF324" s="294">
        <v>0.375</v>
      </c>
      <c r="BG324" s="294">
        <v>10</v>
      </c>
      <c r="BH324" s="294">
        <v>6.75</v>
      </c>
      <c r="BI324" s="294">
        <v>4.37</v>
      </c>
      <c r="BJ324" s="291">
        <f t="shared" si="118"/>
        <v>0.17070312500000001</v>
      </c>
      <c r="BK324" s="294">
        <v>2.6669999999999998</v>
      </c>
      <c r="BL324" s="341"/>
      <c r="BM324" s="341"/>
      <c r="BN324" s="52" t="s">
        <v>64</v>
      </c>
      <c r="BO324" s="52">
        <v>6</v>
      </c>
      <c r="BP324" s="52">
        <v>26</v>
      </c>
      <c r="BQ324" s="52">
        <v>9</v>
      </c>
      <c r="BR324" s="32">
        <f t="shared" si="119"/>
        <v>1404</v>
      </c>
      <c r="BS324" s="32">
        <f t="shared" si="120"/>
        <v>674.07799999999997</v>
      </c>
      <c r="BT324" s="32" t="s">
        <v>1000</v>
      </c>
      <c r="BU324" s="32" t="s">
        <v>67</v>
      </c>
      <c r="BV324" s="15"/>
      <c r="BW324" s="15"/>
      <c r="BX324" s="15"/>
      <c r="BY324" s="118"/>
      <c r="BZ324" s="118"/>
      <c r="CA324" s="118"/>
      <c r="CB324" s="118"/>
      <c r="CC324" s="118"/>
      <c r="CD324" s="118"/>
      <c r="CE324" s="118"/>
      <c r="CF324" s="118"/>
    </row>
    <row r="325" spans="1:84" s="119" customFormat="1" ht="30" x14ac:dyDescent="0.25">
      <c r="A325" s="93">
        <v>41685</v>
      </c>
      <c r="B325" s="93"/>
      <c r="C325" s="52" t="s">
        <v>1560</v>
      </c>
      <c r="D325" s="52" t="s">
        <v>73</v>
      </c>
      <c r="E325" s="52" t="s">
        <v>1561</v>
      </c>
      <c r="F325" s="299" t="s">
        <v>1562</v>
      </c>
      <c r="G325" s="299" t="s">
        <v>1111</v>
      </c>
      <c r="H325" s="29" t="s">
        <v>1563</v>
      </c>
      <c r="I325" s="116"/>
      <c r="J325" s="29"/>
      <c r="K325" s="29"/>
      <c r="L325" s="30"/>
      <c r="M325" s="91"/>
      <c r="N325" s="91"/>
      <c r="O325" s="78"/>
      <c r="P325" s="78"/>
      <c r="Q325" s="78"/>
      <c r="R325" s="78"/>
      <c r="S325" s="78"/>
      <c r="T325" s="78"/>
      <c r="U325" s="113" t="s">
        <v>1564</v>
      </c>
      <c r="V325" s="113"/>
      <c r="W325" s="29">
        <v>84467</v>
      </c>
      <c r="X325" s="113"/>
      <c r="Y325" s="114" t="s">
        <v>1565</v>
      </c>
      <c r="Z325" s="113"/>
      <c r="AA325" s="114" t="s">
        <v>1566</v>
      </c>
      <c r="AB325" s="114"/>
      <c r="AC325" s="113"/>
      <c r="AD325" s="113"/>
      <c r="AE325" s="113"/>
      <c r="AF325" s="113"/>
      <c r="AG325" s="113"/>
      <c r="AH325" s="113"/>
      <c r="AI325" s="113"/>
      <c r="AJ325" s="113"/>
      <c r="AK325" s="113">
        <v>7467</v>
      </c>
      <c r="AL325" s="113"/>
      <c r="AM325" s="113"/>
      <c r="AN325" s="113"/>
      <c r="AO325" s="113"/>
      <c r="AP325" s="113"/>
      <c r="AQ325" s="113" t="s">
        <v>1567</v>
      </c>
      <c r="AR325" s="112">
        <v>47.05</v>
      </c>
      <c r="AS325" s="27">
        <f t="shared" si="112"/>
        <v>105.96846846846846</v>
      </c>
      <c r="AT325" s="31" t="s">
        <v>1568</v>
      </c>
      <c r="AU325" s="31" t="s">
        <v>1569</v>
      </c>
      <c r="AV325" s="31"/>
      <c r="AW325" s="31"/>
      <c r="AX325" s="31"/>
      <c r="AY325" s="31"/>
      <c r="AZ325" s="31"/>
      <c r="BA325" s="31"/>
      <c r="BB325" s="294">
        <v>4.9225000000000003</v>
      </c>
      <c r="BC325" s="294">
        <v>4.9225000000000003</v>
      </c>
      <c r="BD325" s="294">
        <v>6.6574999999999998</v>
      </c>
      <c r="BE325" s="291">
        <f>(BD325*BC325*BB325)/1728</f>
        <v>9.3355280155888315E-2</v>
      </c>
      <c r="BF325" s="294">
        <v>0.95</v>
      </c>
      <c r="BG325" s="294">
        <v>19.181000000000001</v>
      </c>
      <c r="BH325" s="294">
        <v>14.430999999999999</v>
      </c>
      <c r="BI325" s="294">
        <v>6.6745000000000001</v>
      </c>
      <c r="BJ325" s="291">
        <f t="shared" si="118"/>
        <v>1.0691599235645255</v>
      </c>
      <c r="BK325" s="294">
        <f>BF325*BO325+0.4</f>
        <v>11.799999999999999</v>
      </c>
      <c r="BL325" s="341"/>
      <c r="BM325" s="341"/>
      <c r="BN325" s="52" t="s">
        <v>64</v>
      </c>
      <c r="BO325" s="52">
        <v>12</v>
      </c>
      <c r="BP325" s="52">
        <v>6</v>
      </c>
      <c r="BQ325" s="52">
        <v>6</v>
      </c>
      <c r="BR325" s="32">
        <f t="shared" si="119"/>
        <v>432</v>
      </c>
      <c r="BS325" s="32">
        <f t="shared" si="120"/>
        <v>474.79999999999995</v>
      </c>
      <c r="BT325" s="32" t="s">
        <v>62</v>
      </c>
      <c r="BU325" s="32" t="s">
        <v>67</v>
      </c>
      <c r="BV325" s="15"/>
      <c r="BW325" s="15"/>
      <c r="BX325" s="15"/>
      <c r="BY325" s="118"/>
      <c r="BZ325" s="118"/>
      <c r="CA325" s="118"/>
      <c r="CB325" s="118"/>
      <c r="CC325" s="118"/>
      <c r="CD325" s="118"/>
      <c r="CE325" s="118"/>
      <c r="CF325" s="118"/>
    </row>
    <row r="326" spans="1:84" s="119" customFormat="1" ht="15" customHeight="1" x14ac:dyDescent="0.25">
      <c r="A326" s="93">
        <v>41685</v>
      </c>
      <c r="B326" s="93"/>
      <c r="C326" s="296" t="s">
        <v>1570</v>
      </c>
      <c r="D326" s="296" t="s">
        <v>73</v>
      </c>
      <c r="E326" s="52" t="s">
        <v>1537</v>
      </c>
      <c r="F326" s="299" t="s">
        <v>1571</v>
      </c>
      <c r="G326" s="64" t="s">
        <v>995</v>
      </c>
      <c r="H326" s="29" t="s">
        <v>1572</v>
      </c>
      <c r="I326" s="116"/>
      <c r="J326" s="29"/>
      <c r="K326" s="29"/>
      <c r="L326" s="30"/>
      <c r="M326" s="91"/>
      <c r="N326" s="91"/>
      <c r="O326" s="78"/>
      <c r="P326" s="78"/>
      <c r="Q326" s="78"/>
      <c r="R326" s="78"/>
      <c r="S326" s="78"/>
      <c r="T326" s="78"/>
      <c r="U326" s="113"/>
      <c r="V326" s="113"/>
      <c r="W326" s="29"/>
      <c r="X326" s="113"/>
      <c r="Y326" s="114" t="s">
        <v>1573</v>
      </c>
      <c r="Z326" s="113"/>
      <c r="AA326" s="114"/>
      <c r="AB326" s="114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2">
        <v>47.49</v>
      </c>
      <c r="AS326" s="27">
        <f t="shared" si="112"/>
        <v>106.95945945945947</v>
      </c>
      <c r="AT326" s="31" t="s">
        <v>1574</v>
      </c>
      <c r="AU326" s="31" t="s">
        <v>1575</v>
      </c>
      <c r="AV326" s="31"/>
      <c r="AW326" s="31"/>
      <c r="AX326" s="31"/>
      <c r="AY326" s="31"/>
      <c r="AZ326" s="31"/>
      <c r="BA326" s="31"/>
      <c r="BB326" s="434" t="s">
        <v>80</v>
      </c>
      <c r="BC326" s="434"/>
      <c r="BD326" s="434"/>
      <c r="BE326" s="434"/>
      <c r="BF326" s="434"/>
      <c r="BG326" s="296">
        <v>13.185</v>
      </c>
      <c r="BH326" s="296">
        <v>9.8049999999999997</v>
      </c>
      <c r="BI326" s="296">
        <v>10.18</v>
      </c>
      <c r="BJ326" s="291">
        <f t="shared" si="118"/>
        <v>0.76160848177083329</v>
      </c>
      <c r="BK326" s="296">
        <f>2.89+0.4</f>
        <v>3.29</v>
      </c>
      <c r="BL326" s="345"/>
      <c r="BM326" s="345"/>
      <c r="BN326" s="52" t="s">
        <v>64</v>
      </c>
      <c r="BO326" s="296">
        <v>1</v>
      </c>
      <c r="BP326" s="296">
        <v>16</v>
      </c>
      <c r="BQ326" s="296">
        <v>3</v>
      </c>
      <c r="BR326" s="32">
        <f t="shared" si="119"/>
        <v>48</v>
      </c>
      <c r="BS326" s="32">
        <f t="shared" si="120"/>
        <v>207.92000000000002</v>
      </c>
      <c r="BT326" s="32" t="s">
        <v>62</v>
      </c>
      <c r="BU326" s="32" t="s">
        <v>67</v>
      </c>
      <c r="BV326" s="15"/>
      <c r="BW326" s="15"/>
      <c r="BX326" s="15"/>
      <c r="BY326" s="118"/>
      <c r="BZ326" s="118"/>
      <c r="CA326" s="118"/>
      <c r="CB326" s="118"/>
      <c r="CC326" s="118"/>
      <c r="CD326" s="118"/>
      <c r="CE326" s="118"/>
      <c r="CF326" s="118"/>
    </row>
    <row r="327" spans="1:84" s="119" customFormat="1" x14ac:dyDescent="0.25">
      <c r="A327" s="93">
        <v>41685</v>
      </c>
      <c r="B327" s="93"/>
      <c r="C327" s="296" t="s">
        <v>1576</v>
      </c>
      <c r="D327" s="52" t="s">
        <v>73</v>
      </c>
      <c r="E327" s="52" t="s">
        <v>1577</v>
      </c>
      <c r="F327" s="299" t="s">
        <v>1578</v>
      </c>
      <c r="G327" s="64" t="s">
        <v>1579</v>
      </c>
      <c r="H327" s="29">
        <v>3107499</v>
      </c>
      <c r="I327" s="116"/>
      <c r="J327" s="29"/>
      <c r="K327" s="29"/>
      <c r="L327" s="30"/>
      <c r="M327" s="91"/>
      <c r="N327" s="91"/>
      <c r="O327" s="78"/>
      <c r="P327" s="78"/>
      <c r="Q327" s="78"/>
      <c r="R327" s="78"/>
      <c r="S327" s="78"/>
      <c r="T327" s="78"/>
      <c r="U327" s="113" t="s">
        <v>1580</v>
      </c>
      <c r="V327" s="113"/>
      <c r="W327" s="29"/>
      <c r="X327" s="113"/>
      <c r="Y327" s="114"/>
      <c r="Z327" s="113"/>
      <c r="AA327" s="114" t="s">
        <v>1581</v>
      </c>
      <c r="AB327" s="114" t="s">
        <v>1582</v>
      </c>
      <c r="AC327" s="113" t="s">
        <v>1583</v>
      </c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2">
        <v>14.94</v>
      </c>
      <c r="AS327" s="27">
        <f t="shared" si="112"/>
        <v>33.648648648648646</v>
      </c>
      <c r="AT327" s="31" t="s">
        <v>1584</v>
      </c>
      <c r="AU327" s="31" t="s">
        <v>1585</v>
      </c>
      <c r="AV327" s="31"/>
      <c r="AW327" s="31"/>
      <c r="AX327" s="31"/>
      <c r="AY327" s="31"/>
      <c r="AZ327" s="31"/>
      <c r="BA327" s="31"/>
      <c r="BB327" s="296">
        <v>4.9225000000000003</v>
      </c>
      <c r="BC327" s="296">
        <v>4.9225000000000003</v>
      </c>
      <c r="BD327" s="296">
        <v>6.6574999999999998</v>
      </c>
      <c r="BE327" s="291">
        <f>(BD327*BC327*BB327)/1728</f>
        <v>9.3355280155888315E-2</v>
      </c>
      <c r="BF327" s="296">
        <v>0.69</v>
      </c>
      <c r="BG327" s="296">
        <v>19.181000000000001</v>
      </c>
      <c r="BH327" s="296">
        <v>14.430999999999999</v>
      </c>
      <c r="BI327" s="296">
        <v>6.6745000000000001</v>
      </c>
      <c r="BJ327" s="291">
        <f t="shared" si="118"/>
        <v>1.0691599235645255</v>
      </c>
      <c r="BK327" s="296">
        <f>BF327*BO327+0.4</f>
        <v>8.68</v>
      </c>
      <c r="BL327" s="345"/>
      <c r="BM327" s="345"/>
      <c r="BN327" s="52" t="s">
        <v>64</v>
      </c>
      <c r="BO327" s="296">
        <v>12</v>
      </c>
      <c r="BP327" s="296">
        <v>6</v>
      </c>
      <c r="BQ327" s="296">
        <v>6</v>
      </c>
      <c r="BR327" s="32">
        <f t="shared" si="119"/>
        <v>432</v>
      </c>
      <c r="BS327" s="32">
        <f t="shared" si="120"/>
        <v>362.48</v>
      </c>
      <c r="BT327" s="32" t="s">
        <v>62</v>
      </c>
      <c r="BU327" s="32" t="s">
        <v>67</v>
      </c>
      <c r="BV327" s="15"/>
      <c r="BW327" s="15"/>
      <c r="BX327" s="15"/>
      <c r="BY327" s="118"/>
      <c r="BZ327" s="118"/>
      <c r="CA327" s="118"/>
      <c r="CB327" s="118"/>
      <c r="CC327" s="118"/>
      <c r="CD327" s="118"/>
      <c r="CE327" s="118"/>
      <c r="CF327" s="118"/>
    </row>
    <row r="328" spans="1:84" s="119" customFormat="1" ht="30" x14ac:dyDescent="0.25">
      <c r="A328" s="93">
        <v>41685</v>
      </c>
      <c r="B328" s="93"/>
      <c r="C328" s="296" t="s">
        <v>1384</v>
      </c>
      <c r="D328" s="296" t="s">
        <v>73</v>
      </c>
      <c r="E328" s="52" t="s">
        <v>1586</v>
      </c>
      <c r="F328" s="299" t="s">
        <v>1587</v>
      </c>
      <c r="G328" s="64" t="s">
        <v>260</v>
      </c>
      <c r="H328" s="29" t="s">
        <v>1385</v>
      </c>
      <c r="I328" s="116"/>
      <c r="J328" s="29"/>
      <c r="K328" s="29"/>
      <c r="L328" s="30"/>
      <c r="M328" s="91"/>
      <c r="N328" s="91"/>
      <c r="O328" s="78"/>
      <c r="P328" s="78"/>
      <c r="Q328" s="78"/>
      <c r="R328" s="78"/>
      <c r="S328" s="78"/>
      <c r="T328" s="78"/>
      <c r="U328" s="113"/>
      <c r="V328" s="113"/>
      <c r="W328" s="29"/>
      <c r="X328" s="113"/>
      <c r="Y328" s="114"/>
      <c r="Z328" s="113"/>
      <c r="AA328" s="114"/>
      <c r="AB328" s="114" t="s">
        <v>1386</v>
      </c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2">
        <v>87.38</v>
      </c>
      <c r="AS328" s="27">
        <f t="shared" si="112"/>
        <v>196.80180180180179</v>
      </c>
      <c r="AT328" s="31" t="s">
        <v>1387</v>
      </c>
      <c r="AU328" s="31" t="s">
        <v>1588</v>
      </c>
      <c r="AV328" s="31"/>
      <c r="AW328" s="31"/>
      <c r="AX328" s="31"/>
      <c r="AY328" s="31"/>
      <c r="AZ328" s="31"/>
      <c r="BA328" s="31"/>
      <c r="BB328" s="296">
        <v>3.992</v>
      </c>
      <c r="BC328" s="296">
        <v>3.992</v>
      </c>
      <c r="BD328" s="296">
        <v>8.234</v>
      </c>
      <c r="BE328" s="291">
        <f>(BD328*BC328*BB328)/1728</f>
        <v>7.5936082740740748E-2</v>
      </c>
      <c r="BF328" s="296">
        <v>0.8</v>
      </c>
      <c r="BG328" s="296">
        <v>16.556000000000001</v>
      </c>
      <c r="BH328" s="296">
        <v>12.555999999999999</v>
      </c>
      <c r="BI328" s="296">
        <v>8.8620000000000001</v>
      </c>
      <c r="BJ328" s="291">
        <f t="shared" si="118"/>
        <v>1.0660921176111111</v>
      </c>
      <c r="BK328" s="296">
        <f>BF328*BO328+0.25</f>
        <v>9.8500000000000014</v>
      </c>
      <c r="BL328" s="345"/>
      <c r="BM328" s="345"/>
      <c r="BN328" s="52" t="s">
        <v>64</v>
      </c>
      <c r="BO328" s="296">
        <v>12</v>
      </c>
      <c r="BP328" s="296">
        <v>8</v>
      </c>
      <c r="BQ328" s="296">
        <v>4</v>
      </c>
      <c r="BR328" s="32">
        <f t="shared" si="119"/>
        <v>384</v>
      </c>
      <c r="BS328" s="32">
        <f t="shared" si="120"/>
        <v>365.20000000000005</v>
      </c>
      <c r="BT328" s="32" t="s">
        <v>62</v>
      </c>
      <c r="BU328" s="32" t="s">
        <v>67</v>
      </c>
      <c r="BV328" s="15"/>
      <c r="BW328" s="15"/>
      <c r="BX328" s="15"/>
      <c r="BY328" s="118"/>
      <c r="BZ328" s="118"/>
      <c r="CA328" s="118"/>
      <c r="CB328" s="118"/>
      <c r="CC328" s="118"/>
      <c r="CD328" s="118"/>
      <c r="CE328" s="118"/>
      <c r="CF328" s="118"/>
    </row>
    <row r="329" spans="1:84" s="119" customFormat="1" x14ac:dyDescent="0.25">
      <c r="A329" s="93">
        <v>41685</v>
      </c>
      <c r="B329" s="93"/>
      <c r="C329" s="296" t="s">
        <v>1589</v>
      </c>
      <c r="D329" s="296" t="s">
        <v>240</v>
      </c>
      <c r="E329" s="52" t="s">
        <v>1590</v>
      </c>
      <c r="F329" s="299" t="s">
        <v>1591</v>
      </c>
      <c r="G329" s="64" t="s">
        <v>1374</v>
      </c>
      <c r="H329" s="29" t="s">
        <v>1592</v>
      </c>
      <c r="I329" s="116"/>
      <c r="J329" s="29"/>
      <c r="K329" s="29"/>
      <c r="L329" s="30"/>
      <c r="M329" s="91"/>
      <c r="N329" s="91"/>
      <c r="O329" s="78"/>
      <c r="P329" s="78"/>
      <c r="Q329" s="78"/>
      <c r="R329" s="78"/>
      <c r="S329" s="78"/>
      <c r="T329" s="78"/>
      <c r="U329" s="113"/>
      <c r="V329" s="113"/>
      <c r="W329" s="29">
        <v>83640</v>
      </c>
      <c r="X329" s="113"/>
      <c r="Y329" s="114"/>
      <c r="Z329" s="113"/>
      <c r="AA329" s="114"/>
      <c r="AB329" s="114" t="s">
        <v>1593</v>
      </c>
      <c r="AC329" s="113" t="s">
        <v>1594</v>
      </c>
      <c r="AD329" s="113"/>
      <c r="AE329" s="113"/>
      <c r="AF329" s="113"/>
      <c r="AG329" s="113"/>
      <c r="AH329" s="113" t="s">
        <v>1595</v>
      </c>
      <c r="AI329" s="113"/>
      <c r="AJ329" s="113"/>
      <c r="AK329" s="113">
        <v>9640</v>
      </c>
      <c r="AL329" s="113" t="s">
        <v>1596</v>
      </c>
      <c r="AM329" s="113" t="s">
        <v>1597</v>
      </c>
      <c r="AN329" s="113" t="s">
        <v>1598</v>
      </c>
      <c r="AO329" s="113"/>
      <c r="AP329" s="113" t="s">
        <v>1599</v>
      </c>
      <c r="AQ329" s="113" t="s">
        <v>1600</v>
      </c>
      <c r="AR329" s="112">
        <v>52.97</v>
      </c>
      <c r="AS329" s="27">
        <f t="shared" si="112"/>
        <v>119.3018018018018</v>
      </c>
      <c r="AT329" s="31" t="s">
        <v>1601</v>
      </c>
      <c r="AU329" s="31" t="s">
        <v>1602</v>
      </c>
      <c r="AV329" s="31"/>
      <c r="AW329" s="31"/>
      <c r="AX329" s="31"/>
      <c r="AY329" s="31"/>
      <c r="AZ329" s="31"/>
      <c r="BA329" s="31"/>
      <c r="BB329" s="296">
        <v>8.6560000000000006</v>
      </c>
      <c r="BC329" s="296">
        <v>2.286</v>
      </c>
      <c r="BD329" s="296">
        <v>13.942</v>
      </c>
      <c r="BE329" s="291">
        <f>(BD329*BC329*BB329)/1728</f>
        <v>0.15965216566666668</v>
      </c>
      <c r="BF329" s="296">
        <v>0.4</v>
      </c>
      <c r="BG329" s="296">
        <v>14.5</v>
      </c>
      <c r="BH329" s="296">
        <v>9.25</v>
      </c>
      <c r="BI329" s="296">
        <v>7.5</v>
      </c>
      <c r="BJ329" s="291">
        <f t="shared" si="118"/>
        <v>0.58213975694444442</v>
      </c>
      <c r="BK329" s="296">
        <f>BF329*BO329+0.4</f>
        <v>1.6</v>
      </c>
      <c r="BL329" s="345"/>
      <c r="BM329" s="345"/>
      <c r="BN329" s="52" t="s">
        <v>64</v>
      </c>
      <c r="BO329" s="296">
        <v>3</v>
      </c>
      <c r="BP329" s="296">
        <v>13</v>
      </c>
      <c r="BQ329" s="296">
        <v>6</v>
      </c>
      <c r="BR329" s="32">
        <f t="shared" si="119"/>
        <v>234</v>
      </c>
      <c r="BS329" s="32">
        <f t="shared" si="120"/>
        <v>174.8</v>
      </c>
      <c r="BT329" s="296" t="s">
        <v>1412</v>
      </c>
      <c r="BU329" s="32" t="s">
        <v>67</v>
      </c>
      <c r="BV329" s="15"/>
      <c r="BW329" s="15"/>
      <c r="BX329" s="15"/>
      <c r="BY329" s="118"/>
      <c r="BZ329" s="118"/>
      <c r="CA329" s="118"/>
      <c r="CB329" s="118"/>
      <c r="CC329" s="118"/>
      <c r="CD329" s="118"/>
      <c r="CE329" s="118"/>
      <c r="CF329" s="118"/>
    </row>
    <row r="330" spans="1:84" s="119" customFormat="1" x14ac:dyDescent="0.25">
      <c r="A330" s="93">
        <v>41685</v>
      </c>
      <c r="B330" s="93"/>
      <c r="C330" s="296" t="s">
        <v>1603</v>
      </c>
      <c r="D330" s="296" t="s">
        <v>240</v>
      </c>
      <c r="E330" s="52" t="s">
        <v>1604</v>
      </c>
      <c r="F330" s="299" t="s">
        <v>1605</v>
      </c>
      <c r="G330" s="64" t="s">
        <v>1278</v>
      </c>
      <c r="H330" s="29" t="s">
        <v>1606</v>
      </c>
      <c r="I330" s="116"/>
      <c r="J330" s="29"/>
      <c r="K330" s="29"/>
      <c r="L330" s="30"/>
      <c r="M330" s="91"/>
      <c r="N330" s="91"/>
      <c r="O330" s="78"/>
      <c r="P330" s="78"/>
      <c r="Q330" s="78"/>
      <c r="R330" s="78"/>
      <c r="S330" s="78"/>
      <c r="T330" s="78"/>
      <c r="U330" s="113"/>
      <c r="V330" s="113"/>
      <c r="W330" s="29">
        <v>83700</v>
      </c>
      <c r="X330" s="113"/>
      <c r="Y330" s="114"/>
      <c r="Z330" s="113"/>
      <c r="AA330" s="114"/>
      <c r="AB330" s="114" t="s">
        <v>1607</v>
      </c>
      <c r="AC330" s="113" t="s">
        <v>1608</v>
      </c>
      <c r="AD330" s="113"/>
      <c r="AE330" s="113"/>
      <c r="AF330" s="113"/>
      <c r="AG330" s="113"/>
      <c r="AH330" s="113"/>
      <c r="AI330" s="113"/>
      <c r="AJ330" s="113"/>
      <c r="AK330" s="113">
        <v>9700</v>
      </c>
      <c r="AL330" s="113" t="s">
        <v>1609</v>
      </c>
      <c r="AM330" s="113" t="s">
        <v>1609</v>
      </c>
      <c r="AN330" s="78"/>
      <c r="AO330" s="78"/>
      <c r="AP330" s="113" t="s">
        <v>1610</v>
      </c>
      <c r="AQ330" s="113" t="s">
        <v>1611</v>
      </c>
      <c r="AR330" s="112">
        <v>23.86</v>
      </c>
      <c r="AS330" s="27">
        <f t="shared" si="112"/>
        <v>53.738738738738739</v>
      </c>
      <c r="AT330" s="31" t="s">
        <v>1612</v>
      </c>
      <c r="AU330" s="31" t="s">
        <v>1613</v>
      </c>
      <c r="AV330" s="31"/>
      <c r="AW330" s="31"/>
      <c r="AX330" s="31"/>
      <c r="AY330" s="31"/>
      <c r="AZ330" s="31"/>
      <c r="BA330" s="31"/>
      <c r="BB330" s="432" t="s">
        <v>1024</v>
      </c>
      <c r="BC330" s="433"/>
      <c r="BD330" s="433"/>
      <c r="BE330" s="433"/>
      <c r="BF330" s="433"/>
      <c r="BG330" s="296">
        <v>15.37</v>
      </c>
      <c r="BH330" s="296">
        <v>9.75</v>
      </c>
      <c r="BI330" s="296">
        <v>9</v>
      </c>
      <c r="BJ330" s="291">
        <f t="shared" si="118"/>
        <v>0.78050781250000001</v>
      </c>
      <c r="BK330" s="296">
        <v>1.7800000000000002</v>
      </c>
      <c r="BL330" s="345"/>
      <c r="BM330" s="345"/>
      <c r="BN330" s="52" t="s">
        <v>64</v>
      </c>
      <c r="BO330" s="296">
        <v>6</v>
      </c>
      <c r="BP330" s="296">
        <v>12</v>
      </c>
      <c r="BQ330" s="296">
        <v>4</v>
      </c>
      <c r="BR330" s="32">
        <f t="shared" si="119"/>
        <v>288</v>
      </c>
      <c r="BS330" s="32">
        <f t="shared" si="120"/>
        <v>135.44</v>
      </c>
      <c r="BT330" s="296" t="s">
        <v>69</v>
      </c>
      <c r="BU330" s="32" t="s">
        <v>67</v>
      </c>
      <c r="BV330" s="15"/>
      <c r="BW330" s="15"/>
      <c r="BX330" s="15"/>
      <c r="BY330" s="118"/>
      <c r="BZ330" s="118"/>
      <c r="CA330" s="118"/>
      <c r="CB330" s="118"/>
      <c r="CC330" s="118"/>
      <c r="CD330" s="118"/>
      <c r="CE330" s="118"/>
      <c r="CF330" s="118"/>
    </row>
    <row r="331" spans="1:84" s="119" customFormat="1" x14ac:dyDescent="0.25">
      <c r="A331" s="93">
        <v>41685</v>
      </c>
      <c r="B331" s="93"/>
      <c r="C331" s="296" t="s">
        <v>1614</v>
      </c>
      <c r="D331" s="296" t="s">
        <v>240</v>
      </c>
      <c r="E331" s="52" t="s">
        <v>1590</v>
      </c>
      <c r="F331" s="299" t="s">
        <v>1615</v>
      </c>
      <c r="G331" s="64" t="s">
        <v>1493</v>
      </c>
      <c r="H331" s="29" t="s">
        <v>1616</v>
      </c>
      <c r="I331" s="116"/>
      <c r="J331" s="29"/>
      <c r="K331" s="29"/>
      <c r="L331" s="30"/>
      <c r="M331" s="91"/>
      <c r="N331" s="91"/>
      <c r="O331" s="78"/>
      <c r="P331" s="78"/>
      <c r="Q331" s="78"/>
      <c r="R331" s="78"/>
      <c r="S331" s="78"/>
      <c r="T331" s="78"/>
      <c r="U331" s="113" t="s">
        <v>1617</v>
      </c>
      <c r="V331" s="113"/>
      <c r="W331" s="29">
        <v>83630</v>
      </c>
      <c r="X331" s="113"/>
      <c r="Y331" s="114"/>
      <c r="Z331" s="113"/>
      <c r="AA331" s="114"/>
      <c r="AB331" s="114" t="s">
        <v>1618</v>
      </c>
      <c r="AC331" s="113" t="s">
        <v>1619</v>
      </c>
      <c r="AD331" s="113"/>
      <c r="AE331" s="113" t="s">
        <v>1620</v>
      </c>
      <c r="AF331" s="113"/>
      <c r="AG331" s="113"/>
      <c r="AH331" s="113"/>
      <c r="AI331" s="113"/>
      <c r="AJ331" s="113"/>
      <c r="AK331" s="113">
        <v>9630</v>
      </c>
      <c r="AL331" s="113" t="s">
        <v>1621</v>
      </c>
      <c r="AM331" s="113" t="s">
        <v>1622</v>
      </c>
      <c r="AN331" s="113" t="s">
        <v>1623</v>
      </c>
      <c r="AO331" s="113"/>
      <c r="AP331" s="113" t="s">
        <v>1624</v>
      </c>
      <c r="AQ331" s="113" t="s">
        <v>1625</v>
      </c>
      <c r="AR331" s="112">
        <v>21.89</v>
      </c>
      <c r="AS331" s="27"/>
      <c r="AT331" s="31" t="s">
        <v>1626</v>
      </c>
      <c r="AU331" s="31" t="s">
        <v>1627</v>
      </c>
      <c r="AV331" s="31"/>
      <c r="AW331" s="31"/>
      <c r="AX331" s="31"/>
      <c r="AY331" s="31"/>
      <c r="AZ331" s="31"/>
      <c r="BA331" s="31"/>
      <c r="BB331" s="296">
        <v>8.5359999999999996</v>
      </c>
      <c r="BC331" s="296">
        <v>2.4060000000000001</v>
      </c>
      <c r="BD331" s="296">
        <v>10.692</v>
      </c>
      <c r="BE331" s="291">
        <f t="shared" ref="BE331:BE338" si="121">(BD331*BC331*BB331)/1728</f>
        <v>0.12707649899999998</v>
      </c>
      <c r="BF331" s="296">
        <v>0.6</v>
      </c>
      <c r="BG331" s="296">
        <v>12.25</v>
      </c>
      <c r="BH331" s="296">
        <v>10.25</v>
      </c>
      <c r="BI331" s="296">
        <v>8.25</v>
      </c>
      <c r="BJ331" s="291">
        <f t="shared" si="118"/>
        <v>0.59947374131944442</v>
      </c>
      <c r="BK331" s="296">
        <f t="shared" ref="BK331:BK336" si="122">BF331*BO331+0.4</f>
        <v>2.1999999999999997</v>
      </c>
      <c r="BL331" s="345"/>
      <c r="BM331" s="345"/>
      <c r="BN331" s="52" t="s">
        <v>64</v>
      </c>
      <c r="BO331" s="296">
        <v>3</v>
      </c>
      <c r="BP331" s="296">
        <v>12</v>
      </c>
      <c r="BQ331" s="296">
        <v>5</v>
      </c>
      <c r="BR331" s="32">
        <f t="shared" si="119"/>
        <v>180</v>
      </c>
      <c r="BS331" s="32">
        <f t="shared" si="120"/>
        <v>182</v>
      </c>
      <c r="BT331" s="296" t="s">
        <v>69</v>
      </c>
      <c r="BU331" s="32" t="s">
        <v>67</v>
      </c>
      <c r="BV331" s="15"/>
      <c r="BW331" s="15"/>
      <c r="BX331" s="15"/>
      <c r="BY331" s="118"/>
      <c r="BZ331" s="118"/>
      <c r="CA331" s="118"/>
      <c r="CB331" s="118"/>
      <c r="CC331" s="118"/>
      <c r="CD331" s="118"/>
      <c r="CE331" s="118"/>
      <c r="CF331" s="118"/>
    </row>
    <row r="332" spans="1:84" s="119" customFormat="1" x14ac:dyDescent="0.25">
      <c r="A332" s="93">
        <v>41685</v>
      </c>
      <c r="B332" s="93"/>
      <c r="C332" s="296" t="s">
        <v>1628</v>
      </c>
      <c r="D332" s="296" t="s">
        <v>240</v>
      </c>
      <c r="E332" s="52" t="s">
        <v>1590</v>
      </c>
      <c r="F332" s="299" t="s">
        <v>1629</v>
      </c>
      <c r="G332" s="64" t="s">
        <v>1493</v>
      </c>
      <c r="H332" s="29" t="s">
        <v>1630</v>
      </c>
      <c r="I332" s="116"/>
      <c r="J332" s="29"/>
      <c r="K332" s="29"/>
      <c r="L332" s="30"/>
      <c r="M332" s="91"/>
      <c r="N332" s="91"/>
      <c r="O332" s="78"/>
      <c r="P332" s="78"/>
      <c r="Q332" s="78"/>
      <c r="R332" s="78"/>
      <c r="S332" s="78"/>
      <c r="T332" s="78"/>
      <c r="U332" s="113" t="s">
        <v>1631</v>
      </c>
      <c r="V332" s="113"/>
      <c r="W332" s="29">
        <v>83031</v>
      </c>
      <c r="X332" s="113"/>
      <c r="Y332" s="114"/>
      <c r="Z332" s="113"/>
      <c r="AA332" s="114"/>
      <c r="AB332" s="114" t="s">
        <v>1632</v>
      </c>
      <c r="AC332" s="113" t="s">
        <v>1633</v>
      </c>
      <c r="AD332" s="113"/>
      <c r="AE332" s="113" t="s">
        <v>1634</v>
      </c>
      <c r="AF332" s="113"/>
      <c r="AG332" s="113"/>
      <c r="AH332" s="113" t="s">
        <v>1635</v>
      </c>
      <c r="AI332" s="113"/>
      <c r="AJ332" s="113"/>
      <c r="AK332" s="113">
        <v>9031</v>
      </c>
      <c r="AL332" s="113" t="s">
        <v>1636</v>
      </c>
      <c r="AM332" s="113" t="s">
        <v>1637</v>
      </c>
      <c r="AN332" s="113"/>
      <c r="AO332" s="113"/>
      <c r="AP332" s="113" t="s">
        <v>1638</v>
      </c>
      <c r="AQ332" s="113" t="s">
        <v>1639</v>
      </c>
      <c r="AR332" s="112">
        <v>26.14</v>
      </c>
      <c r="AS332" s="27">
        <f t="shared" ref="AS332:AS380" si="123">AR332/0.444</f>
        <v>58.873873873873876</v>
      </c>
      <c r="AT332" s="31" t="s">
        <v>1640</v>
      </c>
      <c r="AU332" s="31" t="s">
        <v>1641</v>
      </c>
      <c r="AV332" s="31"/>
      <c r="AW332" s="31"/>
      <c r="AX332" s="31"/>
      <c r="AY332" s="31"/>
      <c r="AZ332" s="31"/>
      <c r="BA332" s="31"/>
      <c r="BB332" s="296">
        <v>8.5359999999999996</v>
      </c>
      <c r="BC332" s="296">
        <v>2.4060000000000001</v>
      </c>
      <c r="BD332" s="296">
        <v>10.692</v>
      </c>
      <c r="BE332" s="291">
        <f t="shared" si="121"/>
        <v>0.12707649899999998</v>
      </c>
      <c r="BF332" s="296">
        <v>0.6</v>
      </c>
      <c r="BG332" s="296">
        <v>12.25</v>
      </c>
      <c r="BH332" s="296">
        <v>10.25</v>
      </c>
      <c r="BI332" s="296">
        <v>8.25</v>
      </c>
      <c r="BJ332" s="291">
        <f t="shared" si="118"/>
        <v>0.59947374131944442</v>
      </c>
      <c r="BK332" s="296">
        <f t="shared" si="122"/>
        <v>2.1999999999999997</v>
      </c>
      <c r="BL332" s="345"/>
      <c r="BM332" s="345"/>
      <c r="BN332" s="52" t="s">
        <v>64</v>
      </c>
      <c r="BO332" s="296">
        <v>3</v>
      </c>
      <c r="BP332" s="296">
        <v>12</v>
      </c>
      <c r="BQ332" s="296">
        <v>5</v>
      </c>
      <c r="BR332" s="32">
        <f t="shared" si="119"/>
        <v>180</v>
      </c>
      <c r="BS332" s="32">
        <f t="shared" si="120"/>
        <v>182</v>
      </c>
      <c r="BT332" s="296" t="s">
        <v>182</v>
      </c>
      <c r="BU332" s="32" t="s">
        <v>67</v>
      </c>
      <c r="BV332" s="15"/>
      <c r="BW332" s="15"/>
      <c r="BX332" s="15"/>
      <c r="BY332" s="118"/>
      <c r="BZ332" s="118"/>
      <c r="CA332" s="118"/>
      <c r="CB332" s="118"/>
      <c r="CC332" s="118"/>
      <c r="CD332" s="118"/>
      <c r="CE332" s="118"/>
      <c r="CF332" s="118"/>
    </row>
    <row r="333" spans="1:84" s="119" customFormat="1" x14ac:dyDescent="0.25">
      <c r="A333" s="93">
        <v>41685</v>
      </c>
      <c r="B333" s="93"/>
      <c r="C333" s="296" t="s">
        <v>1642</v>
      </c>
      <c r="D333" s="296" t="s">
        <v>240</v>
      </c>
      <c r="E333" s="52" t="s">
        <v>1590</v>
      </c>
      <c r="F333" s="299" t="s">
        <v>1643</v>
      </c>
      <c r="G333" s="64" t="s">
        <v>1493</v>
      </c>
      <c r="H333" s="29" t="s">
        <v>1644</v>
      </c>
      <c r="I333" s="116"/>
      <c r="J333" s="29"/>
      <c r="K333" s="29"/>
      <c r="L333" s="30"/>
      <c r="M333" s="91"/>
      <c r="N333" s="91"/>
      <c r="O333" s="78"/>
      <c r="P333" s="78"/>
      <c r="Q333" s="78"/>
      <c r="R333" s="78"/>
      <c r="S333" s="78"/>
      <c r="T333" s="78"/>
      <c r="U333" s="113" t="s">
        <v>1645</v>
      </c>
      <c r="V333" s="113"/>
      <c r="W333" s="29">
        <v>83530</v>
      </c>
      <c r="X333" s="113"/>
      <c r="Y333" s="114"/>
      <c r="Z333" s="113"/>
      <c r="AA333" s="114"/>
      <c r="AB333" s="114" t="s">
        <v>1646</v>
      </c>
      <c r="AC333" s="113" t="s">
        <v>1647</v>
      </c>
      <c r="AD333" s="113"/>
      <c r="AE333" s="113" t="s">
        <v>1648</v>
      </c>
      <c r="AF333" s="113"/>
      <c r="AG333" s="113"/>
      <c r="AH333" s="113"/>
      <c r="AI333" s="113"/>
      <c r="AJ333" s="113"/>
      <c r="AK333" s="113">
        <v>9530</v>
      </c>
      <c r="AL333" s="113" t="s">
        <v>1649</v>
      </c>
      <c r="AM333" s="113" t="s">
        <v>1650</v>
      </c>
      <c r="AN333" s="113" t="s">
        <v>1651</v>
      </c>
      <c r="AO333" s="113"/>
      <c r="AP333" s="113" t="s">
        <v>1652</v>
      </c>
      <c r="AQ333" s="113" t="s">
        <v>1653</v>
      </c>
      <c r="AR333" s="112">
        <v>15.95</v>
      </c>
      <c r="AS333" s="27">
        <f t="shared" si="123"/>
        <v>35.923423423423422</v>
      </c>
      <c r="AT333" s="31" t="s">
        <v>1654</v>
      </c>
      <c r="AU333" s="31" t="s">
        <v>1655</v>
      </c>
      <c r="AV333" s="31"/>
      <c r="AW333" s="31"/>
      <c r="AX333" s="31"/>
      <c r="AY333" s="31"/>
      <c r="AZ333" s="31"/>
      <c r="BA333" s="31"/>
      <c r="BB333" s="296">
        <v>7.0359999999999996</v>
      </c>
      <c r="BC333" s="296">
        <v>2.536</v>
      </c>
      <c r="BD333" s="296">
        <v>11.821999999999999</v>
      </c>
      <c r="BE333" s="291">
        <f t="shared" si="121"/>
        <v>0.12207375307407406</v>
      </c>
      <c r="BF333" s="296">
        <v>0.6</v>
      </c>
      <c r="BG333" s="296">
        <v>12.25</v>
      </c>
      <c r="BH333" s="296">
        <v>7.5</v>
      </c>
      <c r="BI333" s="296">
        <v>8.5</v>
      </c>
      <c r="BJ333" s="291">
        <f t="shared" si="118"/>
        <v>0.4519314236111111</v>
      </c>
      <c r="BK333" s="296">
        <f t="shared" si="122"/>
        <v>2.1999999999999997</v>
      </c>
      <c r="BL333" s="345"/>
      <c r="BM333" s="345"/>
      <c r="BN333" s="52" t="s">
        <v>64</v>
      </c>
      <c r="BO333" s="296">
        <v>3</v>
      </c>
      <c r="BP333" s="296">
        <v>20</v>
      </c>
      <c r="BQ333" s="296">
        <v>5</v>
      </c>
      <c r="BR333" s="32">
        <f t="shared" si="119"/>
        <v>300</v>
      </c>
      <c r="BS333" s="32">
        <f t="shared" si="120"/>
        <v>270</v>
      </c>
      <c r="BT333" s="296" t="s">
        <v>69</v>
      </c>
      <c r="BU333" s="32" t="s">
        <v>67</v>
      </c>
      <c r="BV333" s="15"/>
      <c r="BW333" s="15"/>
      <c r="BX333" s="15"/>
      <c r="BY333" s="118"/>
      <c r="BZ333" s="118"/>
      <c r="CA333" s="118"/>
      <c r="CB333" s="118"/>
      <c r="CC333" s="118"/>
      <c r="CD333" s="118"/>
      <c r="CE333" s="118"/>
      <c r="CF333" s="118"/>
    </row>
    <row r="334" spans="1:84" s="119" customFormat="1" ht="30" x14ac:dyDescent="0.25">
      <c r="A334" s="93">
        <v>41685</v>
      </c>
      <c r="B334" s="93"/>
      <c r="C334" s="296" t="s">
        <v>1656</v>
      </c>
      <c r="D334" s="296" t="s">
        <v>240</v>
      </c>
      <c r="E334" s="52" t="s">
        <v>1590</v>
      </c>
      <c r="F334" s="299" t="s">
        <v>1657</v>
      </c>
      <c r="G334" s="64" t="s">
        <v>223</v>
      </c>
      <c r="H334" s="29" t="s">
        <v>1658</v>
      </c>
      <c r="I334" s="64" t="s">
        <v>1009</v>
      </c>
      <c r="J334" s="29" t="s">
        <v>1659</v>
      </c>
      <c r="K334" s="29"/>
      <c r="L334" s="30"/>
      <c r="M334" s="91"/>
      <c r="N334" s="91"/>
      <c r="O334" s="78"/>
      <c r="P334" s="78"/>
      <c r="Q334" s="78"/>
      <c r="R334" s="78"/>
      <c r="S334" s="78"/>
      <c r="T334" s="78"/>
      <c r="U334" s="113" t="s">
        <v>1660</v>
      </c>
      <c r="V334" s="113"/>
      <c r="W334" s="29">
        <v>83737</v>
      </c>
      <c r="X334" s="113"/>
      <c r="Y334" s="114"/>
      <c r="Z334" s="113"/>
      <c r="AA334" s="114"/>
      <c r="AB334" s="114" t="s">
        <v>1661</v>
      </c>
      <c r="AC334" s="113" t="s">
        <v>1662</v>
      </c>
      <c r="AD334" s="113"/>
      <c r="AE334" s="113" t="s">
        <v>1663</v>
      </c>
      <c r="AF334" s="113"/>
      <c r="AG334" s="113"/>
      <c r="AH334" s="113"/>
      <c r="AI334" s="113"/>
      <c r="AJ334" s="113"/>
      <c r="AK334" s="113">
        <v>9737</v>
      </c>
      <c r="AL334" s="113" t="s">
        <v>1664</v>
      </c>
      <c r="AM334" s="113" t="s">
        <v>1665</v>
      </c>
      <c r="AN334" s="113"/>
      <c r="AO334" s="113"/>
      <c r="AP334" s="113" t="s">
        <v>1666</v>
      </c>
      <c r="AQ334" s="113" t="s">
        <v>1667</v>
      </c>
      <c r="AR334" s="112">
        <v>24.04</v>
      </c>
      <c r="AS334" s="27">
        <f t="shared" si="123"/>
        <v>54.144144144144143</v>
      </c>
      <c r="AT334" s="31" t="s">
        <v>1668</v>
      </c>
      <c r="AU334" s="31" t="s">
        <v>1669</v>
      </c>
      <c r="AV334" s="31"/>
      <c r="AW334" s="31"/>
      <c r="AX334" s="31"/>
      <c r="AY334" s="31"/>
      <c r="AZ334" s="31"/>
      <c r="BA334" s="31"/>
      <c r="BB334" s="296">
        <v>10.536</v>
      </c>
      <c r="BC334" s="296">
        <v>2.786</v>
      </c>
      <c r="BD334" s="296">
        <v>15.071999999999999</v>
      </c>
      <c r="BE334" s="291">
        <f t="shared" si="121"/>
        <v>0.25602597066666666</v>
      </c>
      <c r="BF334" s="296">
        <v>0.64</v>
      </c>
      <c r="BG334" s="296">
        <v>15.68</v>
      </c>
      <c r="BH334" s="296">
        <v>11.81</v>
      </c>
      <c r="BI334" s="296">
        <v>9.6199999999999992</v>
      </c>
      <c r="BJ334" s="291">
        <f t="shared" si="118"/>
        <v>1.0309255185185184</v>
      </c>
      <c r="BK334" s="296">
        <f t="shared" si="122"/>
        <v>2.3199999999999998</v>
      </c>
      <c r="BL334" s="345"/>
      <c r="BM334" s="345"/>
      <c r="BN334" s="52" t="s">
        <v>64</v>
      </c>
      <c r="BO334" s="296">
        <v>3</v>
      </c>
      <c r="BP334" s="296">
        <v>10</v>
      </c>
      <c r="BQ334" s="296">
        <v>4</v>
      </c>
      <c r="BR334" s="32">
        <f t="shared" si="119"/>
        <v>120</v>
      </c>
      <c r="BS334" s="32">
        <f t="shared" si="120"/>
        <v>142.80000000000001</v>
      </c>
      <c r="BT334" s="32" t="s">
        <v>62</v>
      </c>
      <c r="BU334" s="32" t="s">
        <v>67</v>
      </c>
      <c r="BV334" s="15"/>
      <c r="BW334" s="15"/>
      <c r="BX334" s="15"/>
      <c r="BY334" s="118"/>
      <c r="BZ334" s="118"/>
      <c r="CA334" s="118"/>
      <c r="CB334" s="118"/>
      <c r="CC334" s="118"/>
      <c r="CD334" s="118"/>
      <c r="CE334" s="118"/>
      <c r="CF334" s="118"/>
    </row>
    <row r="335" spans="1:84" s="119" customFormat="1" x14ac:dyDescent="0.25">
      <c r="A335" s="93">
        <v>41685</v>
      </c>
      <c r="B335" s="93"/>
      <c r="C335" s="296" t="s">
        <v>1670</v>
      </c>
      <c r="D335" s="296" t="s">
        <v>240</v>
      </c>
      <c r="E335" s="52" t="s">
        <v>1671</v>
      </c>
      <c r="F335" s="299" t="s">
        <v>1672</v>
      </c>
      <c r="G335" s="64" t="s">
        <v>223</v>
      </c>
      <c r="H335" s="29" t="s">
        <v>1673</v>
      </c>
      <c r="I335" s="116"/>
      <c r="J335" s="29"/>
      <c r="K335" s="29"/>
      <c r="L335" s="30"/>
      <c r="M335" s="91"/>
      <c r="N335" s="91"/>
      <c r="O335" s="78"/>
      <c r="P335" s="78"/>
      <c r="Q335" s="78"/>
      <c r="R335" s="78"/>
      <c r="S335" s="78"/>
      <c r="T335" s="78"/>
      <c r="U335" s="113"/>
      <c r="V335" s="113"/>
      <c r="W335" s="29">
        <v>83014</v>
      </c>
      <c r="X335" s="113"/>
      <c r="Y335" s="114"/>
      <c r="Z335" s="113"/>
      <c r="AA335" s="114"/>
      <c r="AB335" s="114" t="s">
        <v>1674</v>
      </c>
      <c r="AC335" s="113" t="s">
        <v>1675</v>
      </c>
      <c r="AD335" s="113"/>
      <c r="AE335" s="113"/>
      <c r="AF335" s="113"/>
      <c r="AG335" s="113"/>
      <c r="AH335" s="113"/>
      <c r="AI335" s="113"/>
      <c r="AJ335" s="113"/>
      <c r="AK335" s="113">
        <v>9014</v>
      </c>
      <c r="AL335" s="113" t="s">
        <v>1676</v>
      </c>
      <c r="AM335" s="113" t="s">
        <v>1677</v>
      </c>
      <c r="AN335" s="113" t="s">
        <v>1678</v>
      </c>
      <c r="AO335" s="113"/>
      <c r="AP335" s="113" t="s">
        <v>1679</v>
      </c>
      <c r="AQ335" s="113" t="s">
        <v>1680</v>
      </c>
      <c r="AR335" s="112">
        <v>13.51</v>
      </c>
      <c r="AS335" s="27">
        <f t="shared" si="123"/>
        <v>30.427927927927929</v>
      </c>
      <c r="AT335" s="31" t="s">
        <v>1681</v>
      </c>
      <c r="AU335" s="31" t="s">
        <v>1682</v>
      </c>
      <c r="AV335" s="31"/>
      <c r="AW335" s="31"/>
      <c r="AX335" s="31"/>
      <c r="AY335" s="31"/>
      <c r="AZ335" s="31"/>
      <c r="BA335" s="31"/>
      <c r="BB335" s="296">
        <v>7.0359999999999996</v>
      </c>
      <c r="BC335" s="296">
        <v>7.0359999999999996</v>
      </c>
      <c r="BD335" s="296">
        <v>7.2519999999999998</v>
      </c>
      <c r="BE335" s="291">
        <f t="shared" si="121"/>
        <v>0.20776180937037034</v>
      </c>
      <c r="BF335" s="296">
        <v>0.65</v>
      </c>
      <c r="BG335" s="296">
        <v>21.75</v>
      </c>
      <c r="BH335" s="296">
        <v>7.43</v>
      </c>
      <c r="BI335" s="296">
        <v>7.81</v>
      </c>
      <c r="BJ335" s="291">
        <f t="shared" si="118"/>
        <v>0.73039092881944445</v>
      </c>
      <c r="BK335" s="296">
        <f t="shared" si="122"/>
        <v>2.35</v>
      </c>
      <c r="BL335" s="345"/>
      <c r="BM335" s="345"/>
      <c r="BN335" s="52" t="s">
        <v>64</v>
      </c>
      <c r="BO335" s="296">
        <v>3</v>
      </c>
      <c r="BP335" s="296">
        <v>10</v>
      </c>
      <c r="BQ335" s="296">
        <v>5</v>
      </c>
      <c r="BR335" s="32">
        <f t="shared" si="119"/>
        <v>150</v>
      </c>
      <c r="BS335" s="32">
        <f t="shared" si="120"/>
        <v>167.5</v>
      </c>
      <c r="BT335" s="296" t="s">
        <v>182</v>
      </c>
      <c r="BU335" s="32" t="s">
        <v>67</v>
      </c>
      <c r="BV335" s="15"/>
      <c r="BW335" s="15"/>
      <c r="BX335" s="15"/>
      <c r="BY335" s="118"/>
      <c r="BZ335" s="118"/>
      <c r="CA335" s="118"/>
      <c r="CB335" s="118"/>
      <c r="CC335" s="118"/>
      <c r="CD335" s="118"/>
      <c r="CE335" s="118"/>
      <c r="CF335" s="118"/>
    </row>
    <row r="336" spans="1:84" s="119" customFormat="1" x14ac:dyDescent="0.25">
      <c r="A336" s="93">
        <v>41685</v>
      </c>
      <c r="B336" s="93"/>
      <c r="C336" s="296" t="s">
        <v>1683</v>
      </c>
      <c r="D336" s="296" t="s">
        <v>240</v>
      </c>
      <c r="E336" s="52" t="s">
        <v>1590</v>
      </c>
      <c r="F336" s="299" t="s">
        <v>1684</v>
      </c>
      <c r="G336" s="64" t="s">
        <v>1493</v>
      </c>
      <c r="H336" s="29" t="s">
        <v>1685</v>
      </c>
      <c r="I336" s="116"/>
      <c r="J336" s="29"/>
      <c r="K336" s="29"/>
      <c r="L336" s="30"/>
      <c r="M336" s="91"/>
      <c r="N336" s="91"/>
      <c r="O336" s="78"/>
      <c r="P336" s="78"/>
      <c r="Q336" s="78"/>
      <c r="R336" s="78"/>
      <c r="S336" s="78"/>
      <c r="T336" s="78"/>
      <c r="U336" s="113"/>
      <c r="V336" s="113"/>
      <c r="W336" s="29">
        <v>83610</v>
      </c>
      <c r="X336" s="113"/>
      <c r="Y336" s="114"/>
      <c r="Z336" s="113"/>
      <c r="AA336" s="114"/>
      <c r="AB336" s="114" t="s">
        <v>1686</v>
      </c>
      <c r="AC336" s="113" t="s">
        <v>1687</v>
      </c>
      <c r="AD336" s="113"/>
      <c r="AE336" s="113" t="s">
        <v>1688</v>
      </c>
      <c r="AF336" s="113"/>
      <c r="AG336" s="113"/>
      <c r="AH336" s="113"/>
      <c r="AI336" s="113"/>
      <c r="AJ336" s="113"/>
      <c r="AK336" s="113">
        <v>9610</v>
      </c>
      <c r="AL336" s="113" t="s">
        <v>1689</v>
      </c>
      <c r="AM336" s="113" t="s">
        <v>1690</v>
      </c>
      <c r="AN336" s="113"/>
      <c r="AO336" s="113"/>
      <c r="AP336" s="113" t="s">
        <v>1691</v>
      </c>
      <c r="AQ336" s="113" t="s">
        <v>1692</v>
      </c>
      <c r="AR336" s="112">
        <v>16.11</v>
      </c>
      <c r="AS336" s="27">
        <f t="shared" si="123"/>
        <v>36.283783783783782</v>
      </c>
      <c r="AT336" s="31" t="s">
        <v>1693</v>
      </c>
      <c r="AU336" s="31" t="s">
        <v>1694</v>
      </c>
      <c r="AV336" s="31"/>
      <c r="AW336" s="31"/>
      <c r="AX336" s="31"/>
      <c r="AY336" s="31"/>
      <c r="AZ336" s="31"/>
      <c r="BA336" s="31"/>
      <c r="BB336" s="296">
        <v>7.7859999999999996</v>
      </c>
      <c r="BC336" s="296">
        <v>2.536</v>
      </c>
      <c r="BD336" s="296">
        <v>12.821999999999999</v>
      </c>
      <c r="BE336" s="291">
        <f t="shared" si="121"/>
        <v>0.14651283872222221</v>
      </c>
      <c r="BF336" s="296">
        <v>0.8</v>
      </c>
      <c r="BG336" s="296">
        <v>13.5</v>
      </c>
      <c r="BH336" s="296">
        <v>8.25</v>
      </c>
      <c r="BI336" s="296">
        <v>8.5</v>
      </c>
      <c r="BJ336" s="291">
        <f t="shared" si="118"/>
        <v>0.5478515625</v>
      </c>
      <c r="BK336" s="296">
        <f t="shared" si="122"/>
        <v>2.8000000000000003</v>
      </c>
      <c r="BL336" s="345"/>
      <c r="BM336" s="345"/>
      <c r="BN336" s="52" t="s">
        <v>64</v>
      </c>
      <c r="BO336" s="296">
        <v>3</v>
      </c>
      <c r="BP336" s="296">
        <v>14</v>
      </c>
      <c r="BQ336" s="296">
        <v>5</v>
      </c>
      <c r="BR336" s="32">
        <f t="shared" si="119"/>
        <v>210</v>
      </c>
      <c r="BS336" s="32">
        <f t="shared" si="120"/>
        <v>246</v>
      </c>
      <c r="BT336" s="296" t="s">
        <v>69</v>
      </c>
      <c r="BU336" s="32" t="s">
        <v>67</v>
      </c>
      <c r="BV336" s="15"/>
      <c r="BW336" s="15"/>
      <c r="BX336" s="15"/>
      <c r="BY336" s="118"/>
      <c r="BZ336" s="118"/>
      <c r="CA336" s="118"/>
      <c r="CB336" s="118"/>
      <c r="CC336" s="118"/>
      <c r="CD336" s="118"/>
      <c r="CE336" s="118"/>
      <c r="CF336" s="118"/>
    </row>
    <row r="337" spans="1:84" s="119" customFormat="1" ht="30" x14ac:dyDescent="0.25">
      <c r="A337" s="93">
        <v>41685</v>
      </c>
      <c r="B337" s="93"/>
      <c r="C337" s="296" t="s">
        <v>1695</v>
      </c>
      <c r="D337" s="296" t="s">
        <v>240</v>
      </c>
      <c r="E337" s="52" t="s">
        <v>1696</v>
      </c>
      <c r="F337" s="299" t="s">
        <v>1697</v>
      </c>
      <c r="G337" s="64" t="s">
        <v>1399</v>
      </c>
      <c r="H337" s="29" t="s">
        <v>1698</v>
      </c>
      <c r="I337" s="116"/>
      <c r="J337" s="29"/>
      <c r="K337" s="29"/>
      <c r="L337" s="30"/>
      <c r="M337" s="91"/>
      <c r="N337" s="91"/>
      <c r="O337" s="78"/>
      <c r="P337" s="78"/>
      <c r="Q337" s="78"/>
      <c r="R337" s="78"/>
      <c r="S337" s="78"/>
      <c r="T337" s="78"/>
      <c r="U337" s="113"/>
      <c r="V337" s="113"/>
      <c r="W337" s="29">
        <v>84260</v>
      </c>
      <c r="X337" s="113"/>
      <c r="Y337" s="114"/>
      <c r="Z337" s="113" t="s">
        <v>1695</v>
      </c>
      <c r="AA337" s="114"/>
      <c r="AB337" s="114" t="s">
        <v>1699</v>
      </c>
      <c r="AC337" s="113"/>
      <c r="AD337" s="113"/>
      <c r="AE337" s="113"/>
      <c r="AF337" s="113"/>
      <c r="AG337" s="113"/>
      <c r="AH337" s="113"/>
      <c r="AI337" s="113"/>
      <c r="AJ337" s="113"/>
      <c r="AK337" s="113">
        <v>7260</v>
      </c>
      <c r="AL337" s="113" t="s">
        <v>1700</v>
      </c>
      <c r="AM337" s="113" t="s">
        <v>1701</v>
      </c>
      <c r="AN337" s="113"/>
      <c r="AO337" s="113"/>
      <c r="AP337" s="113" t="s">
        <v>1702</v>
      </c>
      <c r="AQ337" s="113" t="s">
        <v>1703</v>
      </c>
      <c r="AR337" s="112">
        <v>9.4499999999999993</v>
      </c>
      <c r="AS337" s="27">
        <f t="shared" si="123"/>
        <v>21.283783783783782</v>
      </c>
      <c r="AT337" s="31" t="s">
        <v>1704</v>
      </c>
      <c r="AU337" s="31" t="s">
        <v>1705</v>
      </c>
      <c r="AV337" s="31"/>
      <c r="AW337" s="31"/>
      <c r="AX337" s="31"/>
      <c r="AY337" s="31"/>
      <c r="AZ337" s="31"/>
      <c r="BA337" s="31"/>
      <c r="BB337" s="296">
        <v>2.786</v>
      </c>
      <c r="BC337" s="296">
        <v>2.786</v>
      </c>
      <c r="BD337" s="296">
        <v>3.6970000000000001</v>
      </c>
      <c r="BE337" s="291">
        <f t="shared" si="121"/>
        <v>1.6606111002314815E-2</v>
      </c>
      <c r="BF337" s="296">
        <v>0.4</v>
      </c>
      <c r="BG337" s="296">
        <v>9</v>
      </c>
      <c r="BH337" s="296">
        <v>6.25</v>
      </c>
      <c r="BI337" s="296">
        <v>4.37</v>
      </c>
      <c r="BJ337" s="291">
        <f t="shared" si="118"/>
        <v>0.14225260416666666</v>
      </c>
      <c r="BK337" s="296">
        <f>BF337*BO337+0.25</f>
        <v>2.6500000000000004</v>
      </c>
      <c r="BL337" s="345"/>
      <c r="BM337" s="345"/>
      <c r="BN337" s="52" t="s">
        <v>64</v>
      </c>
      <c r="BO337" s="296">
        <v>6</v>
      </c>
      <c r="BP337" s="296">
        <v>30</v>
      </c>
      <c r="BQ337" s="296">
        <v>10</v>
      </c>
      <c r="BR337" s="32">
        <f t="shared" si="119"/>
        <v>1800</v>
      </c>
      <c r="BS337" s="32">
        <f t="shared" si="120"/>
        <v>845.00000000000011</v>
      </c>
      <c r="BT337" s="296" t="s">
        <v>69</v>
      </c>
      <c r="BU337" s="32" t="s">
        <v>67</v>
      </c>
      <c r="BV337" s="15"/>
      <c r="BW337" s="15"/>
      <c r="BX337" s="15"/>
      <c r="BY337" s="118"/>
      <c r="BZ337" s="118"/>
      <c r="CA337" s="118"/>
      <c r="CB337" s="118"/>
      <c r="CC337" s="118"/>
      <c r="CD337" s="118"/>
      <c r="CE337" s="118"/>
      <c r="CF337" s="118"/>
    </row>
    <row r="338" spans="1:84" s="119" customFormat="1" ht="30" x14ac:dyDescent="0.25">
      <c r="A338" s="93">
        <v>41685</v>
      </c>
      <c r="B338" s="93"/>
      <c r="C338" s="296" t="s">
        <v>1706</v>
      </c>
      <c r="D338" s="296" t="s">
        <v>240</v>
      </c>
      <c r="E338" s="52" t="s">
        <v>1696</v>
      </c>
      <c r="F338" s="299" t="s">
        <v>1707</v>
      </c>
      <c r="G338" s="64" t="s">
        <v>1009</v>
      </c>
      <c r="H338" s="29" t="s">
        <v>1708</v>
      </c>
      <c r="I338" s="116" t="s">
        <v>1395</v>
      </c>
      <c r="J338" s="29">
        <v>95810722210</v>
      </c>
      <c r="K338" s="29"/>
      <c r="L338" s="30"/>
      <c r="M338" s="91"/>
      <c r="N338" s="91"/>
      <c r="O338" s="78"/>
      <c r="P338" s="78"/>
      <c r="Q338" s="78"/>
      <c r="R338" s="78"/>
      <c r="S338" s="78"/>
      <c r="T338" s="78"/>
      <c r="U338" s="113"/>
      <c r="V338" s="113"/>
      <c r="W338" s="29">
        <v>84462</v>
      </c>
      <c r="X338" s="113"/>
      <c r="Y338" s="114"/>
      <c r="Z338" s="113" t="s">
        <v>1706</v>
      </c>
      <c r="AA338" s="114"/>
      <c r="AB338" s="114" t="s">
        <v>1709</v>
      </c>
      <c r="AC338" s="113" t="s">
        <v>1710</v>
      </c>
      <c r="AD338" s="113"/>
      <c r="AE338" s="113"/>
      <c r="AF338" s="113"/>
      <c r="AG338" s="113"/>
      <c r="AH338" s="113"/>
      <c r="AI338" s="113"/>
      <c r="AJ338" s="113"/>
      <c r="AK338" s="113">
        <v>7462</v>
      </c>
      <c r="AL338" s="113" t="s">
        <v>1711</v>
      </c>
      <c r="AM338" s="113" t="s">
        <v>1712</v>
      </c>
      <c r="AN338" s="113"/>
      <c r="AO338" s="113"/>
      <c r="AP338" s="113" t="s">
        <v>1713</v>
      </c>
      <c r="AQ338" s="113" t="s">
        <v>1714</v>
      </c>
      <c r="AR338" s="112">
        <v>15.19</v>
      </c>
      <c r="AS338" s="27">
        <f t="shared" si="123"/>
        <v>34.211711711711708</v>
      </c>
      <c r="AT338" s="31" t="s">
        <v>1715</v>
      </c>
      <c r="AU338" s="31" t="s">
        <v>1716</v>
      </c>
      <c r="AV338" s="31"/>
      <c r="AW338" s="31"/>
      <c r="AX338" s="31"/>
      <c r="AY338" s="31"/>
      <c r="AZ338" s="31"/>
      <c r="BA338" s="31"/>
      <c r="BB338" s="296">
        <v>3.8479999999999999</v>
      </c>
      <c r="BC338" s="296">
        <v>3.8479999999999999</v>
      </c>
      <c r="BD338" s="296">
        <v>5.4470000000000001</v>
      </c>
      <c r="BE338" s="291">
        <f t="shared" si="121"/>
        <v>4.6674939518518511E-2</v>
      </c>
      <c r="BF338" s="296">
        <v>0.5</v>
      </c>
      <c r="BG338" s="296">
        <v>11.93</v>
      </c>
      <c r="BH338" s="296">
        <v>8</v>
      </c>
      <c r="BI338" s="296">
        <v>6</v>
      </c>
      <c r="BJ338" s="291">
        <f t="shared" si="118"/>
        <v>0.3313888888888889</v>
      </c>
      <c r="BK338" s="296">
        <f>BF338*BO338+0.25</f>
        <v>3.25</v>
      </c>
      <c r="BL338" s="345"/>
      <c r="BM338" s="345"/>
      <c r="BN338" s="52" t="s">
        <v>64</v>
      </c>
      <c r="BO338" s="296">
        <v>6</v>
      </c>
      <c r="BP338" s="296">
        <v>20</v>
      </c>
      <c r="BQ338" s="296">
        <v>7</v>
      </c>
      <c r="BR338" s="32">
        <f t="shared" si="119"/>
        <v>840</v>
      </c>
      <c r="BS338" s="32">
        <f t="shared" si="120"/>
        <v>505</v>
      </c>
      <c r="BT338" s="296" t="s">
        <v>255</v>
      </c>
      <c r="BU338" s="32" t="s">
        <v>67</v>
      </c>
      <c r="BV338" s="15"/>
      <c r="BW338" s="15"/>
      <c r="BX338" s="15"/>
      <c r="BY338" s="118"/>
      <c r="BZ338" s="118"/>
      <c r="CA338" s="118"/>
      <c r="CB338" s="118"/>
      <c r="CC338" s="118"/>
      <c r="CD338" s="118"/>
      <c r="CE338" s="118"/>
      <c r="CF338" s="118"/>
    </row>
    <row r="339" spans="1:84" s="119" customFormat="1" ht="30" x14ac:dyDescent="0.25">
      <c r="A339" s="93">
        <v>41685</v>
      </c>
      <c r="B339" s="93"/>
      <c r="C339" s="296" t="s">
        <v>1717</v>
      </c>
      <c r="D339" s="296" t="s">
        <v>240</v>
      </c>
      <c r="E339" s="52" t="s">
        <v>1604</v>
      </c>
      <c r="F339" s="299" t="s">
        <v>1718</v>
      </c>
      <c r="G339" s="64" t="s">
        <v>72</v>
      </c>
      <c r="H339" s="29" t="s">
        <v>1719</v>
      </c>
      <c r="I339" s="116" t="s">
        <v>51</v>
      </c>
      <c r="J339" s="29" t="s">
        <v>1720</v>
      </c>
      <c r="K339" s="29"/>
      <c r="L339" s="30"/>
      <c r="M339" s="91"/>
      <c r="N339" s="91"/>
      <c r="O339" s="78"/>
      <c r="P339" s="78"/>
      <c r="Q339" s="78"/>
      <c r="R339" s="78"/>
      <c r="S339" s="78"/>
      <c r="T339" s="78"/>
      <c r="U339" s="113"/>
      <c r="V339" s="113"/>
      <c r="W339" s="29">
        <v>89367</v>
      </c>
      <c r="X339" s="113"/>
      <c r="Y339" s="114"/>
      <c r="Z339" s="113"/>
      <c r="AA339" s="114"/>
      <c r="AB339" s="114" t="s">
        <v>1721</v>
      </c>
      <c r="AC339" s="113" t="s">
        <v>1722</v>
      </c>
      <c r="AD339" s="113"/>
      <c r="AE339" s="113"/>
      <c r="AF339" s="113"/>
      <c r="AG339" s="113"/>
      <c r="AH339" s="113"/>
      <c r="AI339" s="113"/>
      <c r="AJ339" s="113"/>
      <c r="AK339" s="113">
        <v>4367</v>
      </c>
      <c r="AL339" s="113" t="s">
        <v>1723</v>
      </c>
      <c r="AM339" s="113" t="s">
        <v>1723</v>
      </c>
      <c r="AN339" s="113" t="s">
        <v>1717</v>
      </c>
      <c r="AO339" s="113"/>
      <c r="AP339" s="113" t="s">
        <v>1724</v>
      </c>
      <c r="AQ339" s="113" t="s">
        <v>1725</v>
      </c>
      <c r="AR339" s="112">
        <v>19.809999999999999</v>
      </c>
      <c r="AS339" s="27">
        <f t="shared" si="123"/>
        <v>44.617117117117111</v>
      </c>
      <c r="AT339" s="31" t="s">
        <v>1726</v>
      </c>
      <c r="AU339" s="31" t="s">
        <v>1727</v>
      </c>
      <c r="AV339" s="31"/>
      <c r="AW339" s="31"/>
      <c r="AX339" s="31"/>
      <c r="AY339" s="31"/>
      <c r="AZ339" s="31"/>
      <c r="BA339" s="31"/>
      <c r="BB339" s="432" t="s">
        <v>1024</v>
      </c>
      <c r="BC339" s="433"/>
      <c r="BD339" s="433"/>
      <c r="BE339" s="433"/>
      <c r="BF339" s="433"/>
      <c r="BG339" s="296">
        <v>12</v>
      </c>
      <c r="BH339" s="296">
        <v>12</v>
      </c>
      <c r="BI339" s="296">
        <v>9</v>
      </c>
      <c r="BJ339" s="291">
        <f t="shared" si="118"/>
        <v>0.75</v>
      </c>
      <c r="BK339" s="296">
        <v>1.69</v>
      </c>
      <c r="BL339" s="345"/>
      <c r="BM339" s="345"/>
      <c r="BN339" s="52" t="s">
        <v>64</v>
      </c>
      <c r="BO339" s="296">
        <v>6</v>
      </c>
      <c r="BP339" s="296">
        <v>12</v>
      </c>
      <c r="BQ339" s="296">
        <v>5</v>
      </c>
      <c r="BR339" s="32">
        <f t="shared" si="119"/>
        <v>360</v>
      </c>
      <c r="BS339" s="32">
        <f t="shared" si="120"/>
        <v>151.4</v>
      </c>
      <c r="BT339" s="32" t="s">
        <v>62</v>
      </c>
      <c r="BU339" s="32" t="s">
        <v>67</v>
      </c>
      <c r="BV339" s="15"/>
      <c r="BW339" s="15"/>
      <c r="BX339" s="15"/>
      <c r="BY339" s="118"/>
      <c r="BZ339" s="118"/>
      <c r="CA339" s="118"/>
      <c r="CB339" s="118"/>
      <c r="CC339" s="118"/>
      <c r="CD339" s="118"/>
      <c r="CE339" s="118"/>
      <c r="CF339" s="118"/>
    </row>
    <row r="340" spans="1:84" s="119" customFormat="1" ht="30" customHeight="1" x14ac:dyDescent="0.25">
      <c r="A340" s="93">
        <v>41671</v>
      </c>
      <c r="B340" s="93"/>
      <c r="C340" s="296" t="s">
        <v>1728</v>
      </c>
      <c r="D340" s="61" t="s">
        <v>73</v>
      </c>
      <c r="E340" s="299" t="s">
        <v>1729</v>
      </c>
      <c r="F340" s="120" t="s">
        <v>1730</v>
      </c>
      <c r="G340" s="64" t="s">
        <v>285</v>
      </c>
      <c r="H340" s="64" t="s">
        <v>1731</v>
      </c>
      <c r="I340" s="29"/>
      <c r="J340" s="29"/>
      <c r="K340" s="29"/>
      <c r="L340" s="78"/>
      <c r="M340" s="78"/>
      <c r="N340" s="78"/>
      <c r="O340" s="78"/>
      <c r="P340" s="78"/>
      <c r="Q340" s="78"/>
      <c r="R340" s="78"/>
      <c r="S340" s="78"/>
      <c r="T340" s="78"/>
      <c r="U340" s="113" t="s">
        <v>1732</v>
      </c>
      <c r="V340" s="113"/>
      <c r="W340" s="29"/>
      <c r="X340" s="113"/>
      <c r="Y340" s="114" t="s">
        <v>1733</v>
      </c>
      <c r="Z340" s="113"/>
      <c r="AA340" s="114" t="s">
        <v>1734</v>
      </c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2">
        <v>98.12</v>
      </c>
      <c r="AS340" s="27">
        <f t="shared" si="123"/>
        <v>220.99099099099101</v>
      </c>
      <c r="AT340" s="296" t="s">
        <v>1735</v>
      </c>
      <c r="AU340" s="296" t="s">
        <v>1736</v>
      </c>
      <c r="AV340" s="296"/>
      <c r="AW340" s="296"/>
      <c r="AX340" s="296"/>
      <c r="AY340" s="296"/>
      <c r="AZ340" s="296"/>
      <c r="BA340" s="296"/>
      <c r="BB340" s="434" t="s">
        <v>80</v>
      </c>
      <c r="BC340" s="434"/>
      <c r="BD340" s="434"/>
      <c r="BE340" s="434"/>
      <c r="BF340" s="434"/>
      <c r="BG340" s="121">
        <v>2.375</v>
      </c>
      <c r="BH340" s="121">
        <v>2.5</v>
      </c>
      <c r="BI340" s="121">
        <v>8.875</v>
      </c>
      <c r="BJ340" s="291">
        <f t="shared" si="118"/>
        <v>3.0494972511574073E-2</v>
      </c>
      <c r="BK340" s="122">
        <f>0.55+0.1</f>
        <v>0.65</v>
      </c>
      <c r="BL340" s="122"/>
      <c r="BM340" s="122"/>
      <c r="BN340" s="296" t="s">
        <v>64</v>
      </c>
      <c r="BO340" s="296">
        <v>1</v>
      </c>
      <c r="BP340" s="296">
        <v>156</v>
      </c>
      <c r="BQ340" s="296">
        <v>4</v>
      </c>
      <c r="BR340" s="32">
        <f t="shared" si="119"/>
        <v>624</v>
      </c>
      <c r="BS340" s="32">
        <f t="shared" si="120"/>
        <v>455.6</v>
      </c>
      <c r="BT340" s="32" t="s">
        <v>306</v>
      </c>
      <c r="BU340" s="32" t="s">
        <v>67</v>
      </c>
      <c r="BV340" s="92"/>
      <c r="BW340" s="92"/>
      <c r="BX340" s="15"/>
      <c r="BY340" s="118"/>
      <c r="BZ340" s="118"/>
      <c r="CA340" s="118"/>
      <c r="CB340" s="118"/>
      <c r="CC340" s="118"/>
      <c r="CD340" s="118"/>
      <c r="CE340" s="118"/>
      <c r="CF340" s="118"/>
    </row>
    <row r="341" spans="1:84" s="119" customFormat="1" ht="30" x14ac:dyDescent="0.25">
      <c r="A341" s="93">
        <v>41671</v>
      </c>
      <c r="B341" s="93"/>
      <c r="C341" s="52" t="s">
        <v>1737</v>
      </c>
      <c r="D341" s="61" t="s">
        <v>73</v>
      </c>
      <c r="E341" s="299" t="s">
        <v>1738</v>
      </c>
      <c r="F341" s="108" t="s">
        <v>1739</v>
      </c>
      <c r="G341" s="78" t="s">
        <v>1111</v>
      </c>
      <c r="H341" s="61" t="s">
        <v>1740</v>
      </c>
      <c r="I341" s="29"/>
      <c r="J341" s="29"/>
      <c r="K341" s="29"/>
      <c r="L341" s="78"/>
      <c r="M341" s="78"/>
      <c r="N341" s="78"/>
      <c r="O341" s="78"/>
      <c r="P341" s="78"/>
      <c r="Q341" s="78"/>
      <c r="R341" s="78"/>
      <c r="S341" s="78"/>
      <c r="T341" s="78"/>
      <c r="U341" s="113" t="s">
        <v>1741</v>
      </c>
      <c r="V341" s="113"/>
      <c r="W341" s="29"/>
      <c r="X341" s="113"/>
      <c r="Y341" s="114"/>
      <c r="Z341" s="113"/>
      <c r="AA341" s="114" t="s">
        <v>1742</v>
      </c>
      <c r="AB341" s="113" t="s">
        <v>1743</v>
      </c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>
        <v>57799</v>
      </c>
      <c r="AR341" s="112">
        <v>31.95</v>
      </c>
      <c r="AS341" s="27">
        <f t="shared" si="123"/>
        <v>71.959459459459453</v>
      </c>
      <c r="AT341" s="31" t="s">
        <v>1744</v>
      </c>
      <c r="AU341" s="31" t="s">
        <v>1745</v>
      </c>
      <c r="AV341" s="31"/>
      <c r="AW341" s="31"/>
      <c r="AX341" s="31"/>
      <c r="AY341" s="31"/>
      <c r="AZ341" s="31"/>
      <c r="BA341" s="31"/>
      <c r="BB341" s="432" t="s">
        <v>1024</v>
      </c>
      <c r="BC341" s="433"/>
      <c r="BD341" s="433"/>
      <c r="BE341" s="433"/>
      <c r="BF341" s="433"/>
      <c r="BG341" s="294">
        <v>18.056000000000001</v>
      </c>
      <c r="BH341" s="294">
        <v>12.055999999999999</v>
      </c>
      <c r="BI341" s="294">
        <v>11.231999999999999</v>
      </c>
      <c r="BJ341" s="291">
        <f t="shared" si="118"/>
        <v>1.4149403839999997</v>
      </c>
      <c r="BK341" s="294">
        <f>3.5*6+0.4</f>
        <v>21.4</v>
      </c>
      <c r="BL341" s="341"/>
      <c r="BM341" s="341"/>
      <c r="BN341" s="52" t="s">
        <v>64</v>
      </c>
      <c r="BO341" s="52">
        <v>6</v>
      </c>
      <c r="BP341" s="52">
        <v>8</v>
      </c>
      <c r="BQ341" s="52">
        <v>4</v>
      </c>
      <c r="BR341" s="32">
        <f t="shared" si="119"/>
        <v>192</v>
      </c>
      <c r="BS341" s="32">
        <f t="shared" si="120"/>
        <v>734.8</v>
      </c>
      <c r="BT341" s="32" t="s">
        <v>62</v>
      </c>
      <c r="BU341" s="32" t="s">
        <v>67</v>
      </c>
      <c r="BV341" s="92"/>
      <c r="BW341" s="92"/>
      <c r="BX341" s="15"/>
      <c r="BY341" s="118"/>
      <c r="BZ341" s="118"/>
      <c r="CA341" s="118"/>
      <c r="CB341" s="118"/>
      <c r="CC341" s="118"/>
      <c r="CD341" s="118"/>
      <c r="CE341" s="118"/>
      <c r="CF341" s="118"/>
    </row>
    <row r="342" spans="1:84" s="119" customFormat="1" ht="15" customHeight="1" x14ac:dyDescent="0.25">
      <c r="A342" s="93">
        <v>41671</v>
      </c>
      <c r="B342" s="93"/>
      <c r="C342" s="296" t="s">
        <v>1746</v>
      </c>
      <c r="D342" s="61" t="s">
        <v>73</v>
      </c>
      <c r="E342" s="78" t="s">
        <v>1747</v>
      </c>
      <c r="F342" s="299" t="s">
        <v>1748</v>
      </c>
      <c r="G342" s="299" t="s">
        <v>1749</v>
      </c>
      <c r="H342" s="29" t="s">
        <v>1750</v>
      </c>
      <c r="I342" s="116"/>
      <c r="J342" s="29"/>
      <c r="K342" s="29"/>
      <c r="L342" s="78"/>
      <c r="M342" s="78"/>
      <c r="N342" s="78"/>
      <c r="O342" s="78"/>
      <c r="P342" s="78"/>
      <c r="Q342" s="78"/>
      <c r="R342" s="78"/>
      <c r="S342" s="78"/>
      <c r="T342" s="78"/>
      <c r="U342" s="113"/>
      <c r="V342" s="113"/>
      <c r="W342" s="29"/>
      <c r="X342" s="113"/>
      <c r="Y342" s="29" t="s">
        <v>1751</v>
      </c>
      <c r="Z342" s="113"/>
      <c r="AA342" s="29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2">
        <v>291.25</v>
      </c>
      <c r="AS342" s="27">
        <f t="shared" si="123"/>
        <v>655.96846846846847</v>
      </c>
      <c r="AT342" s="296" t="s">
        <v>1752</v>
      </c>
      <c r="AU342" s="99">
        <v>10038568737110</v>
      </c>
      <c r="AV342" s="99"/>
      <c r="AW342" s="99"/>
      <c r="AX342" s="99"/>
      <c r="AY342" s="99"/>
      <c r="AZ342" s="99"/>
      <c r="BA342" s="99"/>
      <c r="BB342" s="434" t="s">
        <v>80</v>
      </c>
      <c r="BC342" s="434"/>
      <c r="BD342" s="434"/>
      <c r="BE342" s="434"/>
      <c r="BF342" s="434"/>
      <c r="BG342" s="121">
        <v>5.25</v>
      </c>
      <c r="BH342" s="121">
        <v>5.25</v>
      </c>
      <c r="BI342" s="121">
        <v>20.5</v>
      </c>
      <c r="BJ342" s="291">
        <f t="shared" si="118"/>
        <v>0.32698567708333331</v>
      </c>
      <c r="BK342" s="122">
        <v>3.25</v>
      </c>
      <c r="BL342" s="122"/>
      <c r="BM342" s="122"/>
      <c r="BN342" s="296" t="s">
        <v>64</v>
      </c>
      <c r="BO342" s="296">
        <v>1</v>
      </c>
      <c r="BP342" s="296">
        <v>36</v>
      </c>
      <c r="BQ342" s="296">
        <v>2</v>
      </c>
      <c r="BR342" s="32">
        <f t="shared" si="119"/>
        <v>72</v>
      </c>
      <c r="BS342" s="32">
        <f t="shared" si="120"/>
        <v>284</v>
      </c>
      <c r="BT342" s="32" t="s">
        <v>182</v>
      </c>
      <c r="BU342" s="32" t="s">
        <v>67</v>
      </c>
      <c r="BV342" s="92"/>
      <c r="BW342" s="92"/>
      <c r="BX342" s="15"/>
      <c r="BY342" s="118"/>
      <c r="BZ342" s="118"/>
      <c r="CA342" s="118"/>
      <c r="CB342" s="118"/>
      <c r="CC342" s="118"/>
      <c r="CD342" s="118"/>
      <c r="CE342" s="118"/>
      <c r="CF342" s="118"/>
    </row>
    <row r="343" spans="1:84" s="119" customFormat="1" ht="15" customHeight="1" x14ac:dyDescent="0.25">
      <c r="A343" s="93">
        <v>41671</v>
      </c>
      <c r="B343" s="93"/>
      <c r="C343" s="296" t="s">
        <v>1753</v>
      </c>
      <c r="D343" s="61" t="s">
        <v>73</v>
      </c>
      <c r="E343" s="78" t="s">
        <v>1754</v>
      </c>
      <c r="F343" s="299" t="s">
        <v>1755</v>
      </c>
      <c r="G343" s="64" t="s">
        <v>1756</v>
      </c>
      <c r="H343" s="29" t="s">
        <v>1757</v>
      </c>
      <c r="I343" s="116"/>
      <c r="J343" s="29"/>
      <c r="K343" s="29"/>
      <c r="L343" s="78"/>
      <c r="M343" s="78"/>
      <c r="N343" s="78"/>
      <c r="O343" s="78"/>
      <c r="P343" s="78"/>
      <c r="Q343" s="78"/>
      <c r="R343" s="78"/>
      <c r="S343" s="78"/>
      <c r="T343" s="78"/>
      <c r="U343" s="113" t="s">
        <v>1758</v>
      </c>
      <c r="V343" s="113"/>
      <c r="W343" s="29"/>
      <c r="X343" s="113"/>
      <c r="Y343" s="29" t="s">
        <v>1759</v>
      </c>
      <c r="Z343" s="113"/>
      <c r="AA343" s="29" t="s">
        <v>1760</v>
      </c>
      <c r="AB343" s="113" t="s">
        <v>1761</v>
      </c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 t="s">
        <v>1762</v>
      </c>
      <c r="AM343" s="113"/>
      <c r="AN343" s="113"/>
      <c r="AO343" s="113"/>
      <c r="AP343" s="113"/>
      <c r="AQ343" s="113">
        <v>42763</v>
      </c>
      <c r="AR343" s="112">
        <v>29.85</v>
      </c>
      <c r="AS343" s="27">
        <f t="shared" si="123"/>
        <v>67.229729729729726</v>
      </c>
      <c r="AT343" s="296" t="s">
        <v>1763</v>
      </c>
      <c r="AU343" s="99">
        <v>10038568738018</v>
      </c>
      <c r="AV343" s="99"/>
      <c r="AW343" s="99"/>
      <c r="AX343" s="99"/>
      <c r="AY343" s="99"/>
      <c r="AZ343" s="99"/>
      <c r="BA343" s="99"/>
      <c r="BB343" s="434" t="s">
        <v>80</v>
      </c>
      <c r="BC343" s="434"/>
      <c r="BD343" s="434"/>
      <c r="BE343" s="434"/>
      <c r="BF343" s="434"/>
      <c r="BG343" s="121">
        <v>7.25</v>
      </c>
      <c r="BH343" s="121">
        <v>9.1199999999999992</v>
      </c>
      <c r="BI343" s="121">
        <v>14.5</v>
      </c>
      <c r="BJ343" s="291">
        <f t="shared" si="118"/>
        <v>0.5548263888888888</v>
      </c>
      <c r="BK343" s="122">
        <f>2.61+0.25</f>
        <v>2.86</v>
      </c>
      <c r="BL343" s="122"/>
      <c r="BM343" s="122"/>
      <c r="BN343" s="296" t="s">
        <v>64</v>
      </c>
      <c r="BO343" s="296">
        <v>1</v>
      </c>
      <c r="BP343" s="296">
        <v>13</v>
      </c>
      <c r="BQ343" s="296">
        <v>5</v>
      </c>
      <c r="BR343" s="32">
        <f t="shared" si="119"/>
        <v>65</v>
      </c>
      <c r="BS343" s="32">
        <f t="shared" si="120"/>
        <v>235.9</v>
      </c>
      <c r="BT343" s="32" t="s">
        <v>62</v>
      </c>
      <c r="BU343" s="32" t="s">
        <v>67</v>
      </c>
      <c r="BV343" s="92"/>
      <c r="BW343" s="92"/>
      <c r="BX343" s="15"/>
      <c r="BY343" s="118"/>
      <c r="BZ343" s="118"/>
      <c r="CA343" s="118"/>
      <c r="CB343" s="118"/>
      <c r="CC343" s="118"/>
      <c r="CD343" s="118"/>
      <c r="CE343" s="118"/>
      <c r="CF343" s="118"/>
    </row>
    <row r="344" spans="1:84" s="119" customFormat="1" ht="30" x14ac:dyDescent="0.25">
      <c r="A344" s="93">
        <v>41671</v>
      </c>
      <c r="B344" s="93"/>
      <c r="C344" s="52" t="s">
        <v>1764</v>
      </c>
      <c r="D344" s="61" t="s">
        <v>250</v>
      </c>
      <c r="E344" s="78" t="s">
        <v>1102</v>
      </c>
      <c r="F344" s="299" t="s">
        <v>1765</v>
      </c>
      <c r="G344" s="64" t="s">
        <v>223</v>
      </c>
      <c r="H344" s="29" t="s">
        <v>1766</v>
      </c>
      <c r="I344" s="29" t="s">
        <v>1047</v>
      </c>
      <c r="J344" s="29" t="s">
        <v>1767</v>
      </c>
      <c r="K344" s="29"/>
      <c r="L344" s="78"/>
      <c r="M344" s="78"/>
      <c r="N344" s="78"/>
      <c r="O344" s="78"/>
      <c r="P344" s="78"/>
      <c r="Q344" s="78"/>
      <c r="R344" s="78"/>
      <c r="S344" s="78"/>
      <c r="T344" s="78"/>
      <c r="U344" s="113"/>
      <c r="V344" s="113"/>
      <c r="W344" s="29">
        <v>83746</v>
      </c>
      <c r="X344" s="113"/>
      <c r="Y344" s="29"/>
      <c r="Z344" s="113"/>
      <c r="AA344" s="29"/>
      <c r="AB344" s="113" t="s">
        <v>1768</v>
      </c>
      <c r="AC344" s="113" t="s">
        <v>1769</v>
      </c>
      <c r="AD344" s="113"/>
      <c r="AE344" s="113" t="s">
        <v>1770</v>
      </c>
      <c r="AF344" s="113"/>
      <c r="AG344" s="113"/>
      <c r="AH344" s="113"/>
      <c r="AI344" s="113" t="s">
        <v>1764</v>
      </c>
      <c r="AJ344" s="113"/>
      <c r="AK344" s="113">
        <v>9746</v>
      </c>
      <c r="AL344" s="113" t="s">
        <v>1771</v>
      </c>
      <c r="AM344" s="113" t="s">
        <v>1772</v>
      </c>
      <c r="AN344" s="113"/>
      <c r="AO344" s="113"/>
      <c r="AP344" s="113" t="s">
        <v>1773</v>
      </c>
      <c r="AQ344" s="113">
        <v>49746</v>
      </c>
      <c r="AR344" s="112">
        <v>26.95</v>
      </c>
      <c r="AS344" s="27">
        <f t="shared" si="123"/>
        <v>60.698198198198199</v>
      </c>
      <c r="AT344" s="31" t="s">
        <v>1774</v>
      </c>
      <c r="AU344" s="99">
        <v>10038568738315</v>
      </c>
      <c r="AV344" s="99"/>
      <c r="AW344" s="99"/>
      <c r="AX344" s="99"/>
      <c r="AY344" s="99"/>
      <c r="AZ344" s="99"/>
      <c r="BA344" s="99"/>
      <c r="BB344" s="121">
        <v>10.536</v>
      </c>
      <c r="BC344" s="121">
        <v>2.786</v>
      </c>
      <c r="BD344" s="121">
        <v>15.036</v>
      </c>
      <c r="BE344" s="291">
        <f>(BD344*BC344*BB344)/1728</f>
        <v>0.25541444366666666</v>
      </c>
      <c r="BF344" s="121">
        <f>0.81+0.1</f>
        <v>0.91</v>
      </c>
      <c r="BG344" s="121">
        <v>15.68</v>
      </c>
      <c r="BH344" s="121">
        <v>11.81</v>
      </c>
      <c r="BI344" s="121">
        <v>9.6199999999999992</v>
      </c>
      <c r="BJ344" s="291">
        <f t="shared" si="118"/>
        <v>1.0309255185185184</v>
      </c>
      <c r="BK344" s="122">
        <f>BF344*BO344</f>
        <v>2.73</v>
      </c>
      <c r="BL344" s="122"/>
      <c r="BM344" s="122"/>
      <c r="BN344" s="296" t="s">
        <v>64</v>
      </c>
      <c r="BO344" s="296">
        <v>3</v>
      </c>
      <c r="BP344" s="296">
        <v>10</v>
      </c>
      <c r="BQ344" s="296">
        <v>4</v>
      </c>
      <c r="BR344" s="32">
        <f t="shared" si="119"/>
        <v>120</v>
      </c>
      <c r="BS344" s="32">
        <f t="shared" si="120"/>
        <v>159.19999999999999</v>
      </c>
      <c r="BT344" s="32" t="s">
        <v>69</v>
      </c>
      <c r="BU344" s="32" t="s">
        <v>67</v>
      </c>
      <c r="BV344" s="92"/>
      <c r="BW344" s="92"/>
      <c r="BX344" s="15"/>
      <c r="BY344" s="118"/>
      <c r="BZ344" s="118"/>
      <c r="CA344" s="118"/>
      <c r="CB344" s="118"/>
      <c r="CC344" s="118"/>
      <c r="CD344" s="118"/>
      <c r="CE344" s="118"/>
      <c r="CF344" s="118"/>
    </row>
    <row r="345" spans="1:84" s="119" customFormat="1" x14ac:dyDescent="0.25">
      <c r="A345" s="93">
        <v>41671</v>
      </c>
      <c r="B345" s="93"/>
      <c r="C345" s="296" t="s">
        <v>1775</v>
      </c>
      <c r="D345" s="61" t="s">
        <v>250</v>
      </c>
      <c r="E345" s="78" t="s">
        <v>1102</v>
      </c>
      <c r="F345" s="299" t="s">
        <v>1776</v>
      </c>
      <c r="G345" s="64" t="s">
        <v>957</v>
      </c>
      <c r="H345" s="29" t="s">
        <v>1777</v>
      </c>
      <c r="I345" s="29"/>
      <c r="J345" s="29"/>
      <c r="K345" s="29"/>
      <c r="L345" s="78"/>
      <c r="M345" s="78"/>
      <c r="N345" s="78"/>
      <c r="O345" s="78"/>
      <c r="P345" s="78"/>
      <c r="Q345" s="78"/>
      <c r="R345" s="78"/>
      <c r="S345" s="78"/>
      <c r="T345" s="78"/>
      <c r="U345" s="113"/>
      <c r="V345" s="113"/>
      <c r="W345" s="29"/>
      <c r="X345" s="113"/>
      <c r="Y345" s="29"/>
      <c r="Z345" s="113"/>
      <c r="AA345" s="29"/>
      <c r="AB345" s="113" t="s">
        <v>1778</v>
      </c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 t="s">
        <v>1779</v>
      </c>
      <c r="AM345" s="113" t="s">
        <v>1780</v>
      </c>
      <c r="AN345" s="113"/>
      <c r="AO345" s="113"/>
      <c r="AP345" s="113" t="s">
        <v>1781</v>
      </c>
      <c r="AQ345" s="113"/>
      <c r="AR345" s="112">
        <v>19.649999999999999</v>
      </c>
      <c r="AS345" s="27">
        <f t="shared" si="123"/>
        <v>44.256756756756751</v>
      </c>
      <c r="AT345" s="31" t="s">
        <v>1782</v>
      </c>
      <c r="AU345" s="99">
        <v>10038568738322</v>
      </c>
      <c r="AV345" s="99"/>
      <c r="AW345" s="99"/>
      <c r="AX345" s="99"/>
      <c r="AY345" s="99"/>
      <c r="AZ345" s="99"/>
      <c r="BA345" s="99"/>
      <c r="BB345" s="121">
        <v>10.036</v>
      </c>
      <c r="BC345" s="121">
        <v>2.536</v>
      </c>
      <c r="BD345" s="121">
        <v>12.571999999999999</v>
      </c>
      <c r="BE345" s="291">
        <f>(BD345*BC345*BB345)/1728</f>
        <v>0.18516996140740738</v>
      </c>
      <c r="BF345" s="121">
        <f>0.78925+0.1</f>
        <v>0.88924999999999998</v>
      </c>
      <c r="BG345" s="121">
        <v>13.25</v>
      </c>
      <c r="BH345" s="121">
        <v>11</v>
      </c>
      <c r="BI345" s="121">
        <v>9</v>
      </c>
      <c r="BJ345" s="291">
        <f t="shared" si="118"/>
        <v>0.75911458333333337</v>
      </c>
      <c r="BK345" s="122">
        <f>BF345*BO345</f>
        <v>2.6677499999999998</v>
      </c>
      <c r="BL345" s="122"/>
      <c r="BM345" s="122"/>
      <c r="BN345" s="296" t="s">
        <v>64</v>
      </c>
      <c r="BO345" s="296">
        <v>3</v>
      </c>
      <c r="BP345" s="296">
        <v>12</v>
      </c>
      <c r="BQ345" s="296">
        <v>4</v>
      </c>
      <c r="BR345" s="32">
        <f t="shared" si="119"/>
        <v>144</v>
      </c>
      <c r="BS345" s="32">
        <f t="shared" si="120"/>
        <v>178.05199999999999</v>
      </c>
      <c r="BT345" s="32" t="s">
        <v>182</v>
      </c>
      <c r="BU345" s="32" t="s">
        <v>67</v>
      </c>
      <c r="BV345" s="92"/>
      <c r="BW345" s="92"/>
      <c r="BX345" s="15"/>
      <c r="BY345" s="118"/>
      <c r="BZ345" s="118"/>
      <c r="CA345" s="118"/>
      <c r="CB345" s="118"/>
      <c r="CC345" s="118"/>
      <c r="CD345" s="118"/>
      <c r="CE345" s="118"/>
      <c r="CF345" s="118"/>
    </row>
    <row r="346" spans="1:84" s="119" customFormat="1" x14ac:dyDescent="0.25">
      <c r="A346" s="93">
        <v>41671</v>
      </c>
      <c r="B346" s="93"/>
      <c r="C346" s="52" t="s">
        <v>1783</v>
      </c>
      <c r="D346" s="61" t="s">
        <v>240</v>
      </c>
      <c r="E346" s="78" t="s">
        <v>1102</v>
      </c>
      <c r="F346" s="299" t="s">
        <v>1784</v>
      </c>
      <c r="G346" s="64" t="s">
        <v>1493</v>
      </c>
      <c r="H346" s="29" t="s">
        <v>1785</v>
      </c>
      <c r="I346" s="116"/>
      <c r="J346" s="29"/>
      <c r="K346" s="29"/>
      <c r="L346" s="78"/>
      <c r="M346" s="78"/>
      <c r="N346" s="78"/>
      <c r="O346" s="78"/>
      <c r="P346" s="78"/>
      <c r="Q346" s="78"/>
      <c r="R346" s="78"/>
      <c r="S346" s="78"/>
      <c r="T346" s="78"/>
      <c r="U346" s="113"/>
      <c r="V346" s="113"/>
      <c r="W346" s="29"/>
      <c r="X346" s="113"/>
      <c r="Y346" s="29"/>
      <c r="Z346" s="113"/>
      <c r="AA346" s="29"/>
      <c r="AB346" s="113" t="s">
        <v>1786</v>
      </c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 t="s">
        <v>1787</v>
      </c>
      <c r="AM346" s="113" t="s">
        <v>1788</v>
      </c>
      <c r="AN346" s="113"/>
      <c r="AO346" s="113"/>
      <c r="AP346" s="113" t="s">
        <v>1789</v>
      </c>
      <c r="AQ346" s="113">
        <v>49091</v>
      </c>
      <c r="AR346" s="112">
        <v>27.93</v>
      </c>
      <c r="AS346" s="27">
        <f t="shared" si="123"/>
        <v>62.905405405405403</v>
      </c>
      <c r="AT346" s="31" t="s">
        <v>1790</v>
      </c>
      <c r="AU346" s="31" t="s">
        <v>1791</v>
      </c>
      <c r="AV346" s="31"/>
      <c r="AW346" s="31"/>
      <c r="AX346" s="31"/>
      <c r="AY346" s="31"/>
      <c r="AZ346" s="31"/>
      <c r="BA346" s="31"/>
      <c r="BB346" s="294">
        <v>7.476</v>
      </c>
      <c r="BC346" s="294">
        <v>2.786</v>
      </c>
      <c r="BD346" s="294">
        <v>9.5719999999999992</v>
      </c>
      <c r="BE346" s="291">
        <f>(BD346*BC346*BB346)/1728</f>
        <v>0.11537437372222221</v>
      </c>
      <c r="BF346" s="294">
        <f>0.5+0.1</f>
        <v>0.6</v>
      </c>
      <c r="BG346" s="294">
        <v>8.625</v>
      </c>
      <c r="BH346" s="294">
        <v>8.625</v>
      </c>
      <c r="BI346" s="294">
        <v>10.75</v>
      </c>
      <c r="BJ346" s="291">
        <f t="shared" si="118"/>
        <v>0.46278889973958331</v>
      </c>
      <c r="BK346" s="294">
        <f>BF346*BO346+0.4</f>
        <v>2.1999999999999997</v>
      </c>
      <c r="BL346" s="341"/>
      <c r="BM346" s="341"/>
      <c r="BN346" s="52" t="s">
        <v>64</v>
      </c>
      <c r="BO346" s="52">
        <v>3</v>
      </c>
      <c r="BP346" s="52">
        <v>20</v>
      </c>
      <c r="BQ346" s="52">
        <v>4</v>
      </c>
      <c r="BR346" s="32">
        <f t="shared" si="119"/>
        <v>240</v>
      </c>
      <c r="BS346" s="32">
        <f t="shared" si="120"/>
        <v>225.99999999999997</v>
      </c>
      <c r="BT346" s="32" t="s">
        <v>69</v>
      </c>
      <c r="BU346" s="32" t="s">
        <v>67</v>
      </c>
      <c r="BV346" s="92"/>
      <c r="BW346" s="92"/>
      <c r="BX346" s="15"/>
      <c r="BY346" s="118"/>
      <c r="BZ346" s="118"/>
      <c r="CA346" s="118"/>
      <c r="CB346" s="118"/>
      <c r="CC346" s="118"/>
      <c r="CD346" s="118"/>
      <c r="CE346" s="118"/>
      <c r="CF346" s="118"/>
    </row>
    <row r="347" spans="1:84" s="119" customFormat="1" x14ac:dyDescent="0.25">
      <c r="A347" s="93">
        <v>41671</v>
      </c>
      <c r="B347" s="93"/>
      <c r="C347" s="52" t="s">
        <v>1792</v>
      </c>
      <c r="D347" s="61" t="s">
        <v>240</v>
      </c>
      <c r="E347" s="78" t="s">
        <v>1102</v>
      </c>
      <c r="F347" s="299" t="s">
        <v>1793</v>
      </c>
      <c r="G347" s="64" t="s">
        <v>51</v>
      </c>
      <c r="H347" s="29" t="s">
        <v>1794</v>
      </c>
      <c r="I347" s="116"/>
      <c r="J347" s="29"/>
      <c r="K347" s="29"/>
      <c r="L347" s="78"/>
      <c r="M347" s="78"/>
      <c r="N347" s="78"/>
      <c r="O347" s="78"/>
      <c r="P347" s="78"/>
      <c r="Q347" s="78"/>
      <c r="R347" s="78"/>
      <c r="S347" s="78"/>
      <c r="T347" s="78"/>
      <c r="U347" s="113" t="s">
        <v>1795</v>
      </c>
      <c r="V347" s="113"/>
      <c r="W347" s="29"/>
      <c r="X347" s="113"/>
      <c r="Y347" s="29"/>
      <c r="Z347" s="113"/>
      <c r="AA347" s="29"/>
      <c r="AB347" s="113" t="s">
        <v>1796</v>
      </c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 t="s">
        <v>1797</v>
      </c>
      <c r="AM347" s="113" t="s">
        <v>1798</v>
      </c>
      <c r="AN347" s="113"/>
      <c r="AO347" s="113"/>
      <c r="AP347" s="113" t="s">
        <v>1799</v>
      </c>
      <c r="AQ347" s="113">
        <v>49017</v>
      </c>
      <c r="AR347" s="112">
        <v>20.96</v>
      </c>
      <c r="AS347" s="27">
        <f t="shared" si="123"/>
        <v>47.207207207207212</v>
      </c>
      <c r="AT347" s="31" t="s">
        <v>1800</v>
      </c>
      <c r="AU347" s="31" t="s">
        <v>1801</v>
      </c>
      <c r="AV347" s="31"/>
      <c r="AW347" s="31"/>
      <c r="AX347" s="31"/>
      <c r="AY347" s="31"/>
      <c r="AZ347" s="31"/>
      <c r="BA347" s="31"/>
      <c r="BB347" s="294">
        <v>6.9660000000000002</v>
      </c>
      <c r="BC347" s="294">
        <v>6.9660000000000002</v>
      </c>
      <c r="BD347" s="294">
        <v>9.1920000000000002</v>
      </c>
      <c r="BE347" s="291">
        <f>(BD347*BC347*BB347)/1728</f>
        <v>0.25812687150000008</v>
      </c>
      <c r="BF347" s="294">
        <v>0.4</v>
      </c>
      <c r="BG347" s="294">
        <v>22.12</v>
      </c>
      <c r="BH347" s="294">
        <v>10.119999999999999</v>
      </c>
      <c r="BI347" s="294">
        <v>10.37</v>
      </c>
      <c r="BJ347" s="291">
        <f t="shared" si="118"/>
        <v>1.3433854907407408</v>
      </c>
      <c r="BK347" s="294">
        <f>BF347*BO347+0.4</f>
        <v>1.6</v>
      </c>
      <c r="BL347" s="341"/>
      <c r="BM347" s="341"/>
      <c r="BN347" s="52" t="s">
        <v>64</v>
      </c>
      <c r="BO347" s="52">
        <v>3</v>
      </c>
      <c r="BP347" s="52">
        <v>6</v>
      </c>
      <c r="BQ347" s="52">
        <v>4</v>
      </c>
      <c r="BR347" s="32">
        <f t="shared" si="119"/>
        <v>72</v>
      </c>
      <c r="BS347" s="32">
        <f t="shared" si="120"/>
        <v>88.4</v>
      </c>
      <c r="BT347" s="52" t="s">
        <v>1412</v>
      </c>
      <c r="BU347" s="32" t="s">
        <v>67</v>
      </c>
      <c r="BV347" s="92"/>
      <c r="BW347" s="92"/>
      <c r="BX347" s="15"/>
      <c r="BY347" s="118"/>
      <c r="BZ347" s="118"/>
      <c r="CA347" s="118"/>
      <c r="CB347" s="118"/>
      <c r="CC347" s="118"/>
      <c r="CD347" s="118"/>
      <c r="CE347" s="118"/>
      <c r="CF347" s="118"/>
    </row>
    <row r="348" spans="1:84" s="119" customFormat="1" x14ac:dyDescent="0.25">
      <c r="A348" s="93">
        <v>41671</v>
      </c>
      <c r="B348" s="93"/>
      <c r="C348" s="52" t="s">
        <v>1802</v>
      </c>
      <c r="D348" s="61" t="s">
        <v>240</v>
      </c>
      <c r="E348" s="78" t="s">
        <v>1102</v>
      </c>
      <c r="F348" s="299" t="s">
        <v>1803</v>
      </c>
      <c r="G348" s="64" t="s">
        <v>957</v>
      </c>
      <c r="H348" s="29" t="s">
        <v>1804</v>
      </c>
      <c r="I348" s="116"/>
      <c r="J348" s="29"/>
      <c r="K348" s="29"/>
      <c r="L348" s="78"/>
      <c r="M348" s="78"/>
      <c r="N348" s="78"/>
      <c r="O348" s="78"/>
      <c r="P348" s="78"/>
      <c r="Q348" s="78"/>
      <c r="R348" s="78"/>
      <c r="S348" s="78"/>
      <c r="T348" s="78"/>
      <c r="U348" s="113"/>
      <c r="V348" s="113"/>
      <c r="W348" s="29">
        <v>83022</v>
      </c>
      <c r="X348" s="113"/>
      <c r="Y348" s="29"/>
      <c r="Z348" s="113"/>
      <c r="AA348" s="29"/>
      <c r="AB348" s="113" t="s">
        <v>1805</v>
      </c>
      <c r="AC348" s="113"/>
      <c r="AD348" s="113"/>
      <c r="AE348" s="113" t="s">
        <v>1806</v>
      </c>
      <c r="AF348" s="113"/>
      <c r="AG348" s="113"/>
      <c r="AH348" s="113"/>
      <c r="AI348" s="113"/>
      <c r="AJ348" s="113"/>
      <c r="AK348" s="113"/>
      <c r="AL348" s="113" t="s">
        <v>1807</v>
      </c>
      <c r="AM348" s="113" t="s">
        <v>1808</v>
      </c>
      <c r="AN348" s="113" t="s">
        <v>1809</v>
      </c>
      <c r="AO348" s="113"/>
      <c r="AP348" s="113" t="s">
        <v>1810</v>
      </c>
      <c r="AQ348" s="113">
        <v>49022</v>
      </c>
      <c r="AR348" s="112">
        <v>12.93</v>
      </c>
      <c r="AS348" s="27">
        <f t="shared" si="123"/>
        <v>29.121621621621621</v>
      </c>
      <c r="AT348" s="31" t="s">
        <v>1811</v>
      </c>
      <c r="AU348" s="31" t="s">
        <v>1812</v>
      </c>
      <c r="AV348" s="31"/>
      <c r="AW348" s="31"/>
      <c r="AX348" s="31"/>
      <c r="AY348" s="31"/>
      <c r="AZ348" s="31"/>
      <c r="BA348" s="31"/>
      <c r="BB348" s="295">
        <v>7.0359999999999996</v>
      </c>
      <c r="BC348" s="295">
        <v>2.536</v>
      </c>
      <c r="BD348" s="295">
        <v>11.821999999999999</v>
      </c>
      <c r="BE348" s="291">
        <f>(BD348*BC348*BB348)/1728</f>
        <v>0.12207375307407406</v>
      </c>
      <c r="BF348" s="294">
        <v>0.55000000000000004</v>
      </c>
      <c r="BG348" s="294">
        <v>12.25</v>
      </c>
      <c r="BH348" s="294">
        <v>7.5</v>
      </c>
      <c r="BI348" s="294">
        <v>8.5</v>
      </c>
      <c r="BJ348" s="291">
        <f t="shared" si="118"/>
        <v>0.4519314236111111</v>
      </c>
      <c r="BK348" s="295">
        <f>BF348*BO348+0.25</f>
        <v>1.9000000000000001</v>
      </c>
      <c r="BL348" s="344"/>
      <c r="BM348" s="344"/>
      <c r="BN348" s="296" t="s">
        <v>64</v>
      </c>
      <c r="BO348" s="296">
        <v>3</v>
      </c>
      <c r="BP348" s="296">
        <v>20</v>
      </c>
      <c r="BQ348" s="296">
        <v>5</v>
      </c>
      <c r="BR348" s="32">
        <f t="shared" si="119"/>
        <v>300</v>
      </c>
      <c r="BS348" s="32">
        <f t="shared" si="120"/>
        <v>240</v>
      </c>
      <c r="BT348" s="52" t="s">
        <v>255</v>
      </c>
      <c r="BU348" s="32" t="s">
        <v>67</v>
      </c>
      <c r="BV348" s="92"/>
      <c r="BW348" s="92"/>
      <c r="BX348" s="15"/>
      <c r="BY348" s="118"/>
      <c r="BZ348" s="118"/>
      <c r="CA348" s="118"/>
      <c r="CB348" s="118"/>
      <c r="CC348" s="118"/>
      <c r="CD348" s="118"/>
      <c r="CE348" s="118"/>
      <c r="CF348" s="118"/>
    </row>
    <row r="349" spans="1:84" s="119" customFormat="1" x14ac:dyDescent="0.25">
      <c r="A349" s="93">
        <v>41671</v>
      </c>
      <c r="B349" s="93"/>
      <c r="C349" s="52" t="s">
        <v>1813</v>
      </c>
      <c r="D349" s="61" t="s">
        <v>240</v>
      </c>
      <c r="E349" s="78" t="s">
        <v>1814</v>
      </c>
      <c r="F349" s="299" t="s">
        <v>1815</v>
      </c>
      <c r="G349" s="64" t="s">
        <v>1816</v>
      </c>
      <c r="H349" s="29" t="s">
        <v>1817</v>
      </c>
      <c r="I349" s="116" t="s">
        <v>1818</v>
      </c>
      <c r="J349" s="29"/>
      <c r="K349" s="29"/>
      <c r="L349" s="78"/>
      <c r="M349" s="78"/>
      <c r="N349" s="78"/>
      <c r="O349" s="78"/>
      <c r="P349" s="78"/>
      <c r="Q349" s="78"/>
      <c r="R349" s="78"/>
      <c r="S349" s="78"/>
      <c r="T349" s="78"/>
      <c r="U349" s="113" t="s">
        <v>1819</v>
      </c>
      <c r="V349" s="113"/>
      <c r="W349" s="29"/>
      <c r="X349" s="113"/>
      <c r="Y349" s="29"/>
      <c r="Z349" s="113"/>
      <c r="AA349" s="29"/>
      <c r="AB349" s="113" t="s">
        <v>1820</v>
      </c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 t="s">
        <v>1821</v>
      </c>
      <c r="AM349" s="113" t="s">
        <v>1821</v>
      </c>
      <c r="AN349" s="113" t="s">
        <v>1813</v>
      </c>
      <c r="AO349" s="113"/>
      <c r="AP349" s="113" t="s">
        <v>1822</v>
      </c>
      <c r="AQ349" s="113">
        <v>49359</v>
      </c>
      <c r="AR349" s="112">
        <v>40.47</v>
      </c>
      <c r="AS349" s="27">
        <f t="shared" si="123"/>
        <v>91.148648648648646</v>
      </c>
      <c r="AT349" s="31" t="s">
        <v>1823</v>
      </c>
      <c r="AU349" s="31" t="s">
        <v>1824</v>
      </c>
      <c r="AV349" s="31"/>
      <c r="AW349" s="31"/>
      <c r="AX349" s="31"/>
      <c r="AY349" s="31"/>
      <c r="AZ349" s="31"/>
      <c r="BA349" s="31"/>
      <c r="BB349" s="432" t="s">
        <v>1024</v>
      </c>
      <c r="BC349" s="433"/>
      <c r="BD349" s="433"/>
      <c r="BE349" s="433"/>
      <c r="BF349" s="433"/>
      <c r="BG349" s="294">
        <v>11.87</v>
      </c>
      <c r="BH349" s="294">
        <v>9</v>
      </c>
      <c r="BI349" s="294">
        <v>9</v>
      </c>
      <c r="BJ349" s="291">
        <f t="shared" si="118"/>
        <v>0.55640624999999999</v>
      </c>
      <c r="BK349" s="294">
        <v>1.9</v>
      </c>
      <c r="BL349" s="341"/>
      <c r="BM349" s="341"/>
      <c r="BN349" s="52" t="s">
        <v>64</v>
      </c>
      <c r="BO349" s="52">
        <v>6</v>
      </c>
      <c r="BP349" s="52">
        <v>17</v>
      </c>
      <c r="BQ349" s="52">
        <v>5</v>
      </c>
      <c r="BR349" s="32">
        <f t="shared" si="119"/>
        <v>510</v>
      </c>
      <c r="BS349" s="32">
        <f t="shared" si="120"/>
        <v>211.5</v>
      </c>
      <c r="BT349" s="32" t="s">
        <v>69</v>
      </c>
      <c r="BU349" s="32" t="s">
        <v>67</v>
      </c>
      <c r="BV349" s="92"/>
      <c r="BW349" s="92"/>
      <c r="BX349" s="15"/>
      <c r="BY349" s="118"/>
      <c r="BZ349" s="118"/>
      <c r="CA349" s="118"/>
      <c r="CB349" s="118"/>
      <c r="CC349" s="118"/>
      <c r="CD349" s="118"/>
      <c r="CE349" s="118"/>
      <c r="CF349" s="118"/>
    </row>
    <row r="350" spans="1:84" s="119" customFormat="1" x14ac:dyDescent="0.25">
      <c r="A350" s="93">
        <v>41671</v>
      </c>
      <c r="B350" s="93"/>
      <c r="C350" s="52" t="s">
        <v>1825</v>
      </c>
      <c r="D350" s="61" t="s">
        <v>240</v>
      </c>
      <c r="E350" s="78" t="s">
        <v>1814</v>
      </c>
      <c r="F350" s="299" t="s">
        <v>1826</v>
      </c>
      <c r="G350" s="64" t="s">
        <v>1816</v>
      </c>
      <c r="H350" s="29" t="s">
        <v>1827</v>
      </c>
      <c r="I350" s="116"/>
      <c r="J350" s="29"/>
      <c r="K350" s="29"/>
      <c r="L350" s="78"/>
      <c r="M350" s="78"/>
      <c r="N350" s="78"/>
      <c r="O350" s="78"/>
      <c r="P350" s="78"/>
      <c r="Q350" s="78"/>
      <c r="R350" s="78"/>
      <c r="S350" s="78"/>
      <c r="T350" s="78"/>
      <c r="U350" s="113"/>
      <c r="V350" s="113"/>
      <c r="W350" s="29"/>
      <c r="X350" s="113"/>
      <c r="Y350" s="29"/>
      <c r="Z350" s="113"/>
      <c r="AA350" s="29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 t="s">
        <v>1828</v>
      </c>
      <c r="AM350" s="113" t="s">
        <v>1828</v>
      </c>
      <c r="AN350" s="113" t="s">
        <v>1825</v>
      </c>
      <c r="AO350" s="113"/>
      <c r="AP350" s="113" t="s">
        <v>1829</v>
      </c>
      <c r="AQ350" s="113">
        <v>24030</v>
      </c>
      <c r="AR350" s="112">
        <v>17.07</v>
      </c>
      <c r="AS350" s="27">
        <f t="shared" si="123"/>
        <v>38.445945945945944</v>
      </c>
      <c r="AT350" s="31" t="s">
        <v>1830</v>
      </c>
      <c r="AU350" s="31" t="s">
        <v>1831</v>
      </c>
      <c r="AV350" s="31"/>
      <c r="AW350" s="31"/>
      <c r="AX350" s="31"/>
      <c r="AY350" s="31"/>
      <c r="AZ350" s="31"/>
      <c r="BA350" s="31"/>
      <c r="BB350" s="432" t="s">
        <v>1024</v>
      </c>
      <c r="BC350" s="433"/>
      <c r="BD350" s="433"/>
      <c r="BE350" s="433"/>
      <c r="BF350" s="433"/>
      <c r="BG350" s="294">
        <v>14.87</v>
      </c>
      <c r="BH350" s="294">
        <v>10</v>
      </c>
      <c r="BI350" s="294">
        <v>10.5</v>
      </c>
      <c r="BJ350" s="291">
        <f t="shared" si="118"/>
        <v>0.90355902777777775</v>
      </c>
      <c r="BK350" s="294">
        <f>0.25*6*0.4</f>
        <v>0.60000000000000009</v>
      </c>
      <c r="BL350" s="341"/>
      <c r="BM350" s="341"/>
      <c r="BN350" s="52" t="s">
        <v>64</v>
      </c>
      <c r="BO350" s="52">
        <v>6</v>
      </c>
      <c r="BP350" s="52">
        <v>12</v>
      </c>
      <c r="BQ350" s="52">
        <v>4</v>
      </c>
      <c r="BR350" s="32">
        <f t="shared" si="119"/>
        <v>288</v>
      </c>
      <c r="BS350" s="32">
        <f t="shared" si="120"/>
        <v>78.800000000000011</v>
      </c>
      <c r="BT350" s="32" t="s">
        <v>69</v>
      </c>
      <c r="BU350" s="32" t="s">
        <v>67</v>
      </c>
      <c r="BV350" s="92"/>
      <c r="BW350" s="92"/>
      <c r="BX350" s="15"/>
      <c r="BY350" s="118"/>
      <c r="BZ350" s="118"/>
      <c r="CA350" s="118"/>
      <c r="CB350" s="118"/>
      <c r="CC350" s="118"/>
      <c r="CD350" s="118"/>
      <c r="CE350" s="118"/>
      <c r="CF350" s="118"/>
    </row>
    <row r="351" spans="1:84" s="119" customFormat="1" x14ac:dyDescent="0.25">
      <c r="A351" s="93">
        <v>41671</v>
      </c>
      <c r="B351" s="93"/>
      <c r="C351" s="52" t="s">
        <v>1832</v>
      </c>
      <c r="D351" s="61" t="s">
        <v>240</v>
      </c>
      <c r="E351" s="78" t="s">
        <v>1814</v>
      </c>
      <c r="F351" s="299" t="s">
        <v>1833</v>
      </c>
      <c r="G351" s="64" t="s">
        <v>1374</v>
      </c>
      <c r="H351" s="29" t="s">
        <v>1834</v>
      </c>
      <c r="I351" s="116"/>
      <c r="J351" s="29"/>
      <c r="K351" s="29"/>
      <c r="L351" s="78"/>
      <c r="M351" s="78"/>
      <c r="N351" s="78"/>
      <c r="O351" s="78"/>
      <c r="P351" s="78"/>
      <c r="Q351" s="78"/>
      <c r="R351" s="78"/>
      <c r="S351" s="78"/>
      <c r="T351" s="78"/>
      <c r="U351" s="113"/>
      <c r="V351" s="113"/>
      <c r="W351" s="29"/>
      <c r="X351" s="113"/>
      <c r="Y351" s="29"/>
      <c r="Z351" s="113"/>
      <c r="AA351" s="29"/>
      <c r="AB351" s="113" t="s">
        <v>1835</v>
      </c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 t="s">
        <v>1836</v>
      </c>
      <c r="AM351" s="113" t="s">
        <v>1836</v>
      </c>
      <c r="AN351" s="113" t="s">
        <v>1832</v>
      </c>
      <c r="AO351" s="113"/>
      <c r="AP351" s="113" t="s">
        <v>1837</v>
      </c>
      <c r="AQ351" s="113">
        <v>24148</v>
      </c>
      <c r="AR351" s="112">
        <v>19.91</v>
      </c>
      <c r="AS351" s="27">
        <f t="shared" si="123"/>
        <v>44.842342342342342</v>
      </c>
      <c r="AT351" s="31" t="s">
        <v>1838</v>
      </c>
      <c r="AU351" s="31" t="s">
        <v>1839</v>
      </c>
      <c r="AV351" s="31"/>
      <c r="AW351" s="31"/>
      <c r="AX351" s="31"/>
      <c r="AY351" s="31"/>
      <c r="AZ351" s="31"/>
      <c r="BA351" s="31"/>
      <c r="BB351" s="432" t="s">
        <v>1024</v>
      </c>
      <c r="BC351" s="433"/>
      <c r="BD351" s="433"/>
      <c r="BE351" s="433"/>
      <c r="BF351" s="433"/>
      <c r="BG351" s="294">
        <v>9.75</v>
      </c>
      <c r="BH351" s="294">
        <v>8.18</v>
      </c>
      <c r="BI351" s="294">
        <v>8.5</v>
      </c>
      <c r="BJ351" s="291">
        <f t="shared" si="118"/>
        <v>0.39231336805555556</v>
      </c>
      <c r="BK351" s="294">
        <f>0.11*6+0.4</f>
        <v>1.06</v>
      </c>
      <c r="BL351" s="341"/>
      <c r="BM351" s="341"/>
      <c r="BN351" s="52" t="s">
        <v>64</v>
      </c>
      <c r="BO351" s="52">
        <v>6</v>
      </c>
      <c r="BP351" s="52">
        <v>20</v>
      </c>
      <c r="BQ351" s="52">
        <v>5</v>
      </c>
      <c r="BR351" s="32">
        <f t="shared" si="119"/>
        <v>600</v>
      </c>
      <c r="BS351" s="32">
        <f t="shared" si="120"/>
        <v>156</v>
      </c>
      <c r="BT351" s="32" t="s">
        <v>69</v>
      </c>
      <c r="BU351" s="32" t="s">
        <v>67</v>
      </c>
      <c r="BV351" s="92"/>
      <c r="BW351" s="92"/>
      <c r="BX351" s="15"/>
      <c r="BY351" s="118"/>
      <c r="BZ351" s="118"/>
      <c r="CA351" s="118"/>
      <c r="CB351" s="118"/>
      <c r="CC351" s="118"/>
      <c r="CD351" s="118"/>
      <c r="CE351" s="118"/>
      <c r="CF351" s="118"/>
    </row>
    <row r="352" spans="1:84" s="119" customFormat="1" x14ac:dyDescent="0.25">
      <c r="A352" s="93">
        <v>41671</v>
      </c>
      <c r="B352" s="93"/>
      <c r="C352" s="52" t="s">
        <v>1840</v>
      </c>
      <c r="D352" s="61" t="s">
        <v>240</v>
      </c>
      <c r="E352" s="78" t="s">
        <v>1814</v>
      </c>
      <c r="F352" s="299" t="s">
        <v>1841</v>
      </c>
      <c r="G352" s="64" t="s">
        <v>223</v>
      </c>
      <c r="H352" s="29" t="s">
        <v>1842</v>
      </c>
      <c r="I352" s="116"/>
      <c r="J352" s="29"/>
      <c r="K352" s="29"/>
      <c r="L352" s="78"/>
      <c r="M352" s="78"/>
      <c r="N352" s="78"/>
      <c r="O352" s="78"/>
      <c r="P352" s="78"/>
      <c r="Q352" s="78"/>
      <c r="R352" s="78"/>
      <c r="S352" s="78"/>
      <c r="T352" s="78"/>
      <c r="U352" s="113" t="s">
        <v>1843</v>
      </c>
      <c r="V352" s="113"/>
      <c r="W352" s="29"/>
      <c r="X352" s="113"/>
      <c r="Y352" s="29"/>
      <c r="Z352" s="113"/>
      <c r="AA352" s="29"/>
      <c r="AB352" s="113" t="s">
        <v>1844</v>
      </c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 t="s">
        <v>1845</v>
      </c>
      <c r="AM352" s="113"/>
      <c r="AN352" s="113"/>
      <c r="AO352" s="113"/>
      <c r="AP352" s="113" t="s">
        <v>1846</v>
      </c>
      <c r="AQ352" s="113"/>
      <c r="AR352" s="112">
        <v>23.5</v>
      </c>
      <c r="AS352" s="27">
        <f t="shared" si="123"/>
        <v>52.927927927927925</v>
      </c>
      <c r="AT352" s="31" t="s">
        <v>1847</v>
      </c>
      <c r="AU352" s="31" t="s">
        <v>1848</v>
      </c>
      <c r="AV352" s="31"/>
      <c r="AW352" s="31"/>
      <c r="AX352" s="31"/>
      <c r="AY352" s="31"/>
      <c r="AZ352" s="31"/>
      <c r="BA352" s="31"/>
      <c r="BB352" s="432" t="s">
        <v>1024</v>
      </c>
      <c r="BC352" s="433"/>
      <c r="BD352" s="433"/>
      <c r="BE352" s="433"/>
      <c r="BF352" s="433"/>
      <c r="BG352" s="294">
        <v>12</v>
      </c>
      <c r="BH352" s="294">
        <v>10.37</v>
      </c>
      <c r="BI352" s="294">
        <v>10.62</v>
      </c>
      <c r="BJ352" s="291">
        <f t="shared" si="118"/>
        <v>0.76478749999999995</v>
      </c>
      <c r="BK352" s="295">
        <v>1.75</v>
      </c>
      <c r="BL352" s="344"/>
      <c r="BM352" s="344"/>
      <c r="BN352" s="296" t="s">
        <v>64</v>
      </c>
      <c r="BO352" s="296">
        <v>6</v>
      </c>
      <c r="BP352" s="296">
        <v>12</v>
      </c>
      <c r="BQ352" s="296">
        <v>4</v>
      </c>
      <c r="BR352" s="32">
        <f t="shared" si="119"/>
        <v>288</v>
      </c>
      <c r="BS352" s="32">
        <f t="shared" si="120"/>
        <v>134</v>
      </c>
      <c r="BT352" s="296" t="s">
        <v>62</v>
      </c>
      <c r="BU352" s="32" t="s">
        <v>67</v>
      </c>
      <c r="BV352" s="92"/>
      <c r="BW352" s="92"/>
      <c r="BX352" s="15"/>
      <c r="BY352" s="118"/>
      <c r="BZ352" s="118"/>
      <c r="CA352" s="118"/>
      <c r="CB352" s="118"/>
      <c r="CC352" s="118"/>
      <c r="CD352" s="118"/>
      <c r="CE352" s="118"/>
      <c r="CF352" s="118"/>
    </row>
    <row r="353" spans="1:84" s="119" customFormat="1" ht="30" x14ac:dyDescent="0.25">
      <c r="A353" s="93">
        <v>41640</v>
      </c>
      <c r="B353" s="93"/>
      <c r="C353" s="296" t="s">
        <v>1849</v>
      </c>
      <c r="D353" s="61" t="s">
        <v>73</v>
      </c>
      <c r="E353" s="78" t="s">
        <v>1110</v>
      </c>
      <c r="F353" s="299" t="s">
        <v>1850</v>
      </c>
      <c r="G353" s="64" t="s">
        <v>1851</v>
      </c>
      <c r="H353" s="29" t="s">
        <v>1852</v>
      </c>
      <c r="I353" s="29" t="s">
        <v>1853</v>
      </c>
      <c r="J353" s="29">
        <v>28040481</v>
      </c>
      <c r="K353" s="29" t="s">
        <v>1854</v>
      </c>
      <c r="L353" s="30" t="s">
        <v>1855</v>
      </c>
      <c r="M353" s="91"/>
      <c r="N353" s="91"/>
      <c r="O353" s="91"/>
      <c r="P353" s="91"/>
      <c r="Q353" s="78"/>
      <c r="R353" s="78"/>
      <c r="S353" s="78"/>
      <c r="T353" s="78"/>
      <c r="U353" s="95"/>
      <c r="V353" s="95"/>
      <c r="W353" s="95"/>
      <c r="X353" s="95"/>
      <c r="Y353" s="29" t="s">
        <v>1856</v>
      </c>
      <c r="Z353" s="95"/>
      <c r="AA353" s="29" t="s">
        <v>1857</v>
      </c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299"/>
      <c r="AN353" s="95"/>
      <c r="AO353" s="95"/>
      <c r="AP353" s="95"/>
      <c r="AQ353" s="95"/>
      <c r="AR353" s="112">
        <v>12.68</v>
      </c>
      <c r="AS353" s="27">
        <f t="shared" si="123"/>
        <v>28.558558558558559</v>
      </c>
      <c r="AT353" s="31">
        <v>38568737922</v>
      </c>
      <c r="AU353" s="99">
        <v>10038568737929</v>
      </c>
      <c r="AV353" s="99"/>
      <c r="AW353" s="99"/>
      <c r="AX353" s="99"/>
      <c r="AY353" s="99"/>
      <c r="AZ353" s="99"/>
      <c r="BA353" s="99"/>
      <c r="BB353" s="437" t="s">
        <v>1858</v>
      </c>
      <c r="BC353" s="437"/>
      <c r="BD353" s="437"/>
      <c r="BE353" s="437"/>
      <c r="BF353" s="437"/>
      <c r="BG353" s="121">
        <v>15.81</v>
      </c>
      <c r="BH353" s="121">
        <v>11.93</v>
      </c>
      <c r="BI353" s="121">
        <v>29.5</v>
      </c>
      <c r="BJ353" s="291">
        <f>(BI353*BH353*BG353)/1728</f>
        <v>3.2199608506944446</v>
      </c>
      <c r="BK353" s="122">
        <f>1.2*12+0.4</f>
        <v>14.799999999999999</v>
      </c>
      <c r="BL353" s="122"/>
      <c r="BM353" s="122"/>
      <c r="BN353" s="296" t="s">
        <v>64</v>
      </c>
      <c r="BO353" s="296">
        <v>12</v>
      </c>
      <c r="BP353" s="296">
        <v>10</v>
      </c>
      <c r="BQ353" s="296">
        <v>7</v>
      </c>
      <c r="BR353" s="32">
        <f>BO353*BP353*BQ353</f>
        <v>840</v>
      </c>
      <c r="BS353" s="32">
        <f>(BK353*BP353*BQ353)+50</f>
        <v>1086</v>
      </c>
      <c r="BT353" s="32" t="s">
        <v>62</v>
      </c>
      <c r="BU353" s="32" t="s">
        <v>67</v>
      </c>
      <c r="BV353" s="92">
        <v>73</v>
      </c>
      <c r="BW353" s="92"/>
      <c r="BX353" s="92"/>
      <c r="BY353" s="15"/>
      <c r="BZ353" s="15"/>
      <c r="CA353" s="118"/>
      <c r="CB353" s="118"/>
      <c r="CC353" s="118"/>
      <c r="CD353" s="118"/>
      <c r="CE353" s="118"/>
      <c r="CF353" s="118"/>
    </row>
    <row r="354" spans="1:84" s="119" customFormat="1" ht="90" x14ac:dyDescent="0.25">
      <c r="A354" s="93">
        <v>41640</v>
      </c>
      <c r="B354" s="93"/>
      <c r="C354" s="96" t="s">
        <v>1859</v>
      </c>
      <c r="D354" s="96" t="s">
        <v>73</v>
      </c>
      <c r="E354" s="123" t="s">
        <v>1860</v>
      </c>
      <c r="F354" s="96" t="s">
        <v>1861</v>
      </c>
      <c r="G354" s="64" t="s">
        <v>1862</v>
      </c>
      <c r="H354" s="29" t="s">
        <v>1863</v>
      </c>
      <c r="I354" s="29" t="s">
        <v>66</v>
      </c>
      <c r="J354" s="29" t="s">
        <v>1864</v>
      </c>
      <c r="K354" s="29" t="s">
        <v>1093</v>
      </c>
      <c r="L354" s="30" t="s">
        <v>1865</v>
      </c>
      <c r="M354" s="29" t="s">
        <v>1866</v>
      </c>
      <c r="N354" s="30" t="s">
        <v>1867</v>
      </c>
      <c r="O354" s="29" t="s">
        <v>71</v>
      </c>
      <c r="P354" s="29" t="s">
        <v>1868</v>
      </c>
      <c r="Q354" s="78"/>
      <c r="R354" s="78"/>
      <c r="S354" s="78"/>
      <c r="T354" s="78"/>
      <c r="U354" s="28" t="s">
        <v>1869</v>
      </c>
      <c r="V354" s="28"/>
      <c r="W354" s="29" t="s">
        <v>1870</v>
      </c>
      <c r="X354" s="28"/>
      <c r="Y354" s="29" t="s">
        <v>1871</v>
      </c>
      <c r="Z354" s="28"/>
      <c r="AA354" s="29" t="s">
        <v>1872</v>
      </c>
      <c r="AB354" s="28"/>
      <c r="AC354" s="28"/>
      <c r="AD354" s="29" t="s">
        <v>1873</v>
      </c>
      <c r="AE354" s="28"/>
      <c r="AF354" s="28"/>
      <c r="AG354" s="28"/>
      <c r="AH354" s="28"/>
      <c r="AI354" s="28"/>
      <c r="AJ354" s="28"/>
      <c r="AK354" s="28">
        <v>9978</v>
      </c>
      <c r="AL354" s="64"/>
      <c r="AM354" s="299"/>
      <c r="AN354" s="64"/>
      <c r="AO354" s="64"/>
      <c r="AP354" s="64"/>
      <c r="AQ354" s="29" t="s">
        <v>1874</v>
      </c>
      <c r="AR354" s="112">
        <v>30.47</v>
      </c>
      <c r="AS354" s="27">
        <f t="shared" si="123"/>
        <v>68.626126126126124</v>
      </c>
      <c r="AT354" s="31" t="s">
        <v>1875</v>
      </c>
      <c r="AU354" s="99">
        <v>100038568737899</v>
      </c>
      <c r="AV354" s="99"/>
      <c r="AW354" s="99"/>
      <c r="AX354" s="99"/>
      <c r="AY354" s="99"/>
      <c r="AZ354" s="99"/>
      <c r="BA354" s="99"/>
      <c r="BB354" s="435" t="s">
        <v>1876</v>
      </c>
      <c r="BC354" s="435"/>
      <c r="BD354" s="435"/>
      <c r="BE354" s="435"/>
      <c r="BF354" s="435"/>
      <c r="BG354" s="121">
        <v>5.2359999999999998</v>
      </c>
      <c r="BH354" s="121">
        <v>5.2359999999999998</v>
      </c>
      <c r="BI354" s="121">
        <v>10.590999999999999</v>
      </c>
      <c r="BJ354" s="293">
        <f>(BI354*BH354*BG354)/1728</f>
        <v>0.16803219695370367</v>
      </c>
      <c r="BK354" s="122">
        <f>1.1+0.25</f>
        <v>1.35</v>
      </c>
      <c r="BL354" s="122"/>
      <c r="BM354" s="122"/>
      <c r="BN354" s="296" t="s">
        <v>64</v>
      </c>
      <c r="BO354" s="296">
        <v>1</v>
      </c>
      <c r="BP354" s="296">
        <v>56</v>
      </c>
      <c r="BQ354" s="296">
        <v>4</v>
      </c>
      <c r="BR354" s="32">
        <f>BO354*BP354*BQ354</f>
        <v>224</v>
      </c>
      <c r="BS354" s="32">
        <f>(BK354*BR354)+50</f>
        <v>352.40000000000003</v>
      </c>
      <c r="BT354" s="32" t="s">
        <v>1877</v>
      </c>
      <c r="BU354" s="32" t="s">
        <v>67</v>
      </c>
      <c r="BV354" s="15">
        <v>73</v>
      </c>
      <c r="BW354" s="1"/>
      <c r="BX354" s="1"/>
      <c r="BY354" s="1"/>
      <c r="BZ354" s="1"/>
      <c r="CA354" s="118"/>
      <c r="CB354" s="118"/>
      <c r="CC354" s="118"/>
      <c r="CD354" s="118"/>
      <c r="CE354" s="118"/>
      <c r="CF354" s="118"/>
    </row>
    <row r="355" spans="1:84" s="119" customFormat="1" ht="30" customHeight="1" x14ac:dyDescent="0.25">
      <c r="A355" s="93">
        <v>41609</v>
      </c>
      <c r="B355" s="93"/>
      <c r="C355" s="52" t="s">
        <v>1878</v>
      </c>
      <c r="D355" s="52" t="s">
        <v>73</v>
      </c>
      <c r="E355" s="52" t="s">
        <v>1879</v>
      </c>
      <c r="F355" s="88" t="s">
        <v>1880</v>
      </c>
      <c r="G355" s="88" t="s">
        <v>1020</v>
      </c>
      <c r="H355" s="40" t="s">
        <v>1881</v>
      </c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299"/>
      <c r="AN355" s="78"/>
      <c r="AO355" s="78"/>
      <c r="AP355" s="78"/>
      <c r="AQ355" s="78"/>
      <c r="AR355" s="112">
        <v>47.61</v>
      </c>
      <c r="AS355" s="72">
        <f t="shared" si="123"/>
        <v>107.22972972972973</v>
      </c>
      <c r="AT355" s="31" t="s">
        <v>1882</v>
      </c>
      <c r="AU355" s="99">
        <v>10038568739398</v>
      </c>
      <c r="AV355" s="99"/>
      <c r="AW355" s="99"/>
      <c r="AX355" s="99"/>
      <c r="AY355" s="99"/>
      <c r="AZ355" s="99"/>
      <c r="BA355" s="99"/>
      <c r="BB355" s="435" t="s">
        <v>1876</v>
      </c>
      <c r="BC355" s="435"/>
      <c r="BD355" s="435"/>
      <c r="BE355" s="435"/>
      <c r="BF355" s="435"/>
      <c r="BG355" s="296">
        <v>11.75</v>
      </c>
      <c r="BH355" s="296">
        <v>4.75</v>
      </c>
      <c r="BI355" s="296">
        <v>5</v>
      </c>
      <c r="BJ355" s="293">
        <f>(BI355*BH355*BG355)/1728</f>
        <v>0.16149450231481483</v>
      </c>
      <c r="BK355" s="52">
        <f>0.5+1.5+0.58+0.25</f>
        <v>2.83</v>
      </c>
      <c r="BL355" s="52"/>
      <c r="BM355" s="52"/>
      <c r="BN355" s="296" t="s">
        <v>64</v>
      </c>
      <c r="BO355" s="296">
        <v>1</v>
      </c>
      <c r="BP355" s="296">
        <v>28</v>
      </c>
      <c r="BQ355" s="296">
        <v>9</v>
      </c>
      <c r="BR355" s="32">
        <f>BO355*BP355*BQ355</f>
        <v>252</v>
      </c>
      <c r="BS355" s="32">
        <f>(BK355*BR355)+50</f>
        <v>763.16</v>
      </c>
      <c r="BT355" s="32" t="s">
        <v>62</v>
      </c>
      <c r="BU355" s="32" t="s">
        <v>67</v>
      </c>
      <c r="BV355" s="15"/>
      <c r="BW355" s="15"/>
      <c r="BX355" s="15"/>
      <c r="BY355" s="118"/>
      <c r="BZ355" s="118"/>
      <c r="CA355" s="118"/>
      <c r="CB355" s="118"/>
      <c r="CC355" s="118"/>
      <c r="CD355" s="118"/>
      <c r="CE355" s="118"/>
      <c r="CF355" s="118"/>
    </row>
    <row r="356" spans="1:84" s="119" customFormat="1" x14ac:dyDescent="0.25">
      <c r="A356" s="93">
        <v>41609</v>
      </c>
      <c r="B356" s="93"/>
      <c r="C356" s="88" t="s">
        <v>1883</v>
      </c>
      <c r="D356" s="88" t="s">
        <v>73</v>
      </c>
      <c r="E356" s="88" t="s">
        <v>1884</v>
      </c>
      <c r="F356" s="88" t="s">
        <v>1885</v>
      </c>
      <c r="G356" s="88" t="s">
        <v>1020</v>
      </c>
      <c r="H356" s="40" t="s">
        <v>1886</v>
      </c>
      <c r="I356" s="78" t="s">
        <v>65</v>
      </c>
      <c r="J356" s="78" t="s">
        <v>1887</v>
      </c>
      <c r="K356" s="78" t="s">
        <v>71</v>
      </c>
      <c r="L356" s="78">
        <v>85104856</v>
      </c>
      <c r="M356" s="78"/>
      <c r="N356" s="78"/>
      <c r="O356" s="78"/>
      <c r="P356" s="78"/>
      <c r="Q356" s="78"/>
      <c r="R356" s="78"/>
      <c r="S356" s="78"/>
      <c r="T356" s="78"/>
      <c r="U356" s="78" t="s">
        <v>1888</v>
      </c>
      <c r="V356" s="78"/>
      <c r="W356" s="78">
        <v>86938</v>
      </c>
      <c r="X356" s="78"/>
      <c r="Y356" s="78"/>
      <c r="Z356" s="78"/>
      <c r="AA356" s="78" t="s">
        <v>1889</v>
      </c>
      <c r="AB356" s="78" t="s">
        <v>1890</v>
      </c>
      <c r="AC356" s="78"/>
      <c r="AD356" s="78"/>
      <c r="AE356" s="78"/>
      <c r="AF356" s="78"/>
      <c r="AG356" s="78"/>
      <c r="AH356" s="78"/>
      <c r="AI356" s="78"/>
      <c r="AJ356" s="78"/>
      <c r="AK356" s="78">
        <v>3938</v>
      </c>
      <c r="AL356" s="78"/>
      <c r="AM356" s="299"/>
      <c r="AN356" s="78"/>
      <c r="AO356" s="78"/>
      <c r="AP356" s="78"/>
      <c r="AQ356" s="78">
        <v>33938</v>
      </c>
      <c r="AR356" s="112">
        <v>53.05</v>
      </c>
      <c r="AS356" s="72">
        <f t="shared" si="123"/>
        <v>119.48198198198197</v>
      </c>
      <c r="AT356" s="31" t="s">
        <v>1891</v>
      </c>
      <c r="AU356" s="99" t="s">
        <v>1892</v>
      </c>
      <c r="AV356" s="99"/>
      <c r="AW356" s="99"/>
      <c r="AX356" s="99"/>
      <c r="AY356" s="99"/>
      <c r="AZ356" s="99"/>
      <c r="BA356" s="99"/>
      <c r="BB356" s="296">
        <v>5.165</v>
      </c>
      <c r="BC356" s="296">
        <v>5.165</v>
      </c>
      <c r="BD356" s="296">
        <v>6.2050000000000001</v>
      </c>
      <c r="BE356" s="293">
        <f>(BD356*BC356*BB356)/1728</f>
        <v>9.5794086299189812E-2</v>
      </c>
      <c r="BF356" s="294">
        <v>2.3199999999999998</v>
      </c>
      <c r="BG356" s="52">
        <v>15.868</v>
      </c>
      <c r="BH356" s="52">
        <v>11.993</v>
      </c>
      <c r="BI356" s="52">
        <v>8.2989999999999995</v>
      </c>
      <c r="BJ356" s="293">
        <f>(BI356*BH356*BG356)/1728</f>
        <v>0.91397023395601851</v>
      </c>
      <c r="BK356" s="122">
        <v>14.188000000000001</v>
      </c>
      <c r="BL356" s="122"/>
      <c r="BM356" s="122"/>
      <c r="BN356" s="296" t="s">
        <v>64</v>
      </c>
      <c r="BO356" s="52">
        <v>6</v>
      </c>
      <c r="BP356" s="52">
        <v>10</v>
      </c>
      <c r="BQ356" s="78">
        <v>5</v>
      </c>
      <c r="BR356" s="32">
        <f>BO356*BP356*BQ356</f>
        <v>300</v>
      </c>
      <c r="BS356" s="32">
        <f>(BF356*BR356)+50</f>
        <v>746</v>
      </c>
      <c r="BT356" s="32" t="s">
        <v>62</v>
      </c>
      <c r="BU356" s="32" t="s">
        <v>67</v>
      </c>
      <c r="BV356" s="15"/>
      <c r="BW356" s="15"/>
      <c r="BX356" s="15"/>
      <c r="BY356" s="118"/>
      <c r="BZ356" s="118"/>
      <c r="CA356" s="118"/>
      <c r="CB356" s="118"/>
      <c r="CC356" s="118"/>
      <c r="CD356" s="118"/>
      <c r="CE356" s="118"/>
      <c r="CF356" s="118"/>
    </row>
    <row r="357" spans="1:84" s="119" customFormat="1" x14ac:dyDescent="0.25">
      <c r="A357" s="93">
        <v>41609</v>
      </c>
      <c r="B357" s="93"/>
      <c r="C357" s="88" t="s">
        <v>1893</v>
      </c>
      <c r="D357" s="88" t="s">
        <v>240</v>
      </c>
      <c r="E357" s="61" t="s">
        <v>1894</v>
      </c>
      <c r="F357" s="88" t="s">
        <v>1895</v>
      </c>
      <c r="G357" s="61" t="s">
        <v>223</v>
      </c>
      <c r="H357" s="61" t="s">
        <v>1896</v>
      </c>
      <c r="I357" s="78" t="s">
        <v>1897</v>
      </c>
      <c r="J357" s="61" t="s">
        <v>1898</v>
      </c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61" t="s">
        <v>1899</v>
      </c>
      <c r="AM357" s="299"/>
      <c r="AN357" s="61" t="s">
        <v>1900</v>
      </c>
      <c r="AO357" s="61"/>
      <c r="AP357" s="61" t="s">
        <v>1901</v>
      </c>
      <c r="AQ357" s="78"/>
      <c r="AR357" s="112">
        <v>6.75</v>
      </c>
      <c r="AS357" s="72">
        <f t="shared" si="123"/>
        <v>15.202702702702702</v>
      </c>
      <c r="AT357" s="124" t="s">
        <v>1902</v>
      </c>
      <c r="AU357" s="124" t="s">
        <v>1903</v>
      </c>
      <c r="AV357" s="124"/>
      <c r="AW357" s="124"/>
      <c r="AX357" s="124"/>
      <c r="AY357" s="124"/>
      <c r="AZ357" s="124"/>
      <c r="BA357" s="124"/>
      <c r="BB357" s="94">
        <v>2.411</v>
      </c>
      <c r="BC357" s="94">
        <v>2.411</v>
      </c>
      <c r="BD357" s="94">
        <v>6.5720000000000001</v>
      </c>
      <c r="BE357" s="293">
        <f>(BD357*BC357*BB357)/1728</f>
        <v>2.2107937969907412E-2</v>
      </c>
      <c r="BF357" s="94">
        <v>1.1000000000000001</v>
      </c>
      <c r="BG357" s="94">
        <v>10.25</v>
      </c>
      <c r="BH357" s="94">
        <v>7.75</v>
      </c>
      <c r="BI357" s="94">
        <v>7.12</v>
      </c>
      <c r="BJ357" s="293">
        <f>(BI357*BH357*BG357)/1728</f>
        <v>0.32731192129629633</v>
      </c>
      <c r="BK357" s="94">
        <v>14.7</v>
      </c>
      <c r="BL357" s="94"/>
      <c r="BM357" s="94"/>
      <c r="BN357" s="94" t="s">
        <v>64</v>
      </c>
      <c r="BO357" s="125">
        <v>12</v>
      </c>
      <c r="BP357" s="125">
        <v>22</v>
      </c>
      <c r="BQ357" s="125">
        <v>6</v>
      </c>
      <c r="BR357" s="125">
        <f>BO357*BP357*BQ357</f>
        <v>1584</v>
      </c>
      <c r="BS357" s="84">
        <f>(BF357*BR357)+50</f>
        <v>1792.4</v>
      </c>
      <c r="BT357" s="125" t="s">
        <v>62</v>
      </c>
      <c r="BU357" s="125" t="s">
        <v>67</v>
      </c>
      <c r="BV357" s="15"/>
      <c r="BW357" s="15"/>
      <c r="BX357" s="15"/>
      <c r="BY357" s="118"/>
      <c r="BZ357" s="118"/>
      <c r="CA357" s="118"/>
      <c r="CB357" s="118"/>
      <c r="CC357" s="118"/>
      <c r="CD357" s="118"/>
      <c r="CE357" s="118"/>
      <c r="CF357" s="118"/>
    </row>
    <row r="358" spans="1:84" s="119" customFormat="1" ht="210" x14ac:dyDescent="0.25">
      <c r="A358" s="93">
        <v>41562</v>
      </c>
      <c r="B358" s="93"/>
      <c r="C358" s="52" t="s">
        <v>1904</v>
      </c>
      <c r="D358" s="88" t="s">
        <v>73</v>
      </c>
      <c r="E358" s="52" t="s">
        <v>1102</v>
      </c>
      <c r="F358" s="126" t="s">
        <v>1905</v>
      </c>
      <c r="G358" s="88" t="s">
        <v>63</v>
      </c>
      <c r="H358" s="78">
        <v>87517153</v>
      </c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 t="s">
        <v>1906</v>
      </c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112">
        <v>94.9</v>
      </c>
      <c r="AS358" s="27">
        <f t="shared" si="123"/>
        <v>213.73873873873876</v>
      </c>
      <c r="AT358" s="127">
        <v>10038568737837</v>
      </c>
      <c r="AU358" s="74" t="s">
        <v>1907</v>
      </c>
      <c r="AV358" s="74"/>
      <c r="AW358" s="74"/>
      <c r="AX358" s="74"/>
      <c r="AY358" s="74"/>
      <c r="AZ358" s="74"/>
      <c r="BA358" s="74"/>
      <c r="BB358" s="28"/>
      <c r="BC358" s="28"/>
      <c r="BD358" s="28"/>
      <c r="BE358" s="28"/>
      <c r="BF358" s="28"/>
      <c r="BG358" s="28">
        <v>10.75</v>
      </c>
      <c r="BH358" s="28">
        <v>7.12</v>
      </c>
      <c r="BI358" s="28">
        <v>6.25</v>
      </c>
      <c r="BJ358" s="28"/>
      <c r="BK358" s="28">
        <v>1</v>
      </c>
      <c r="BL358" s="28"/>
      <c r="BM358" s="28"/>
      <c r="BN358" s="28" t="s">
        <v>64</v>
      </c>
      <c r="BO358" s="28"/>
      <c r="BP358" s="28">
        <v>35</v>
      </c>
      <c r="BQ358" s="28">
        <v>4</v>
      </c>
      <c r="BR358" s="28"/>
      <c r="BS358" s="28"/>
      <c r="BT358" s="28" t="s">
        <v>62</v>
      </c>
      <c r="BU358" s="74"/>
      <c r="BV358" s="1"/>
      <c r="BW358" s="15"/>
      <c r="BX358" s="15"/>
      <c r="BY358" s="1"/>
      <c r="BZ358" s="1"/>
      <c r="CA358" s="1"/>
      <c r="CB358" s="1"/>
      <c r="CC358" s="1"/>
      <c r="CD358" s="1"/>
      <c r="CE358" s="1"/>
      <c r="CF358" s="1"/>
    </row>
    <row r="359" spans="1:84" s="56" customFormat="1" x14ac:dyDescent="0.25">
      <c r="A359" s="93">
        <v>41518</v>
      </c>
      <c r="B359" s="93"/>
      <c r="C359" s="28">
        <v>1151</v>
      </c>
      <c r="D359" s="88" t="s">
        <v>73</v>
      </c>
      <c r="E359" s="28" t="s">
        <v>1908</v>
      </c>
      <c r="F359" s="128" t="s">
        <v>1909</v>
      </c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>
        <v>75</v>
      </c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63">
        <v>316.14</v>
      </c>
      <c r="AS359" s="27">
        <f t="shared" si="123"/>
        <v>712.02702702702697</v>
      </c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 t="s">
        <v>64</v>
      </c>
      <c r="BO359" s="28"/>
      <c r="BP359" s="28"/>
      <c r="BQ359" s="28"/>
      <c r="BR359" s="28"/>
      <c r="BS359" s="28"/>
      <c r="BT359" s="28"/>
      <c r="BU359" s="74" t="s">
        <v>1910</v>
      </c>
      <c r="BV359" s="1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s="56" customFormat="1" x14ac:dyDescent="0.25">
      <c r="A360" s="93">
        <v>41518</v>
      </c>
      <c r="B360" s="93"/>
      <c r="C360" s="96" t="s">
        <v>1911</v>
      </c>
      <c r="D360" s="88" t="s">
        <v>73</v>
      </c>
      <c r="E360" s="96" t="s">
        <v>1912</v>
      </c>
      <c r="F360" s="126" t="s">
        <v>1913</v>
      </c>
      <c r="G360" s="96" t="s">
        <v>66</v>
      </c>
      <c r="H360" s="96" t="s">
        <v>1914</v>
      </c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112">
        <v>39.85</v>
      </c>
      <c r="AS360" s="27">
        <f t="shared" si="123"/>
        <v>89.752252252252248</v>
      </c>
      <c r="AT360" s="28" t="s">
        <v>1915</v>
      </c>
      <c r="AU360" s="28"/>
      <c r="AV360" s="28"/>
      <c r="AW360" s="28"/>
      <c r="AX360" s="28"/>
      <c r="AY360" s="28"/>
      <c r="AZ360" s="28"/>
      <c r="BA360" s="28"/>
      <c r="BB360" s="37">
        <v>7.75</v>
      </c>
      <c r="BC360" s="37">
        <v>2.5</v>
      </c>
      <c r="BD360" s="37">
        <v>12.75</v>
      </c>
      <c r="BE360" s="28">
        <f t="shared" ref="BE360:BE374" si="124">(BD360*BC360*BB360)/1728</f>
        <v>0.14295789930555555</v>
      </c>
      <c r="BF360" s="37">
        <v>8.48</v>
      </c>
      <c r="BG360" s="37">
        <v>3</v>
      </c>
      <c r="BH360" s="37">
        <v>13.49</v>
      </c>
      <c r="BI360" s="37">
        <v>3</v>
      </c>
      <c r="BJ360" s="28">
        <f t="shared" ref="BJ360:BJ374" si="125">(BI360*BH360*BF360)/1728</f>
        <v>0.19860277777777779</v>
      </c>
      <c r="BK360" s="37">
        <v>8.24</v>
      </c>
      <c r="BL360" s="37"/>
      <c r="BM360" s="37"/>
      <c r="BN360" s="28" t="s">
        <v>64</v>
      </c>
      <c r="BO360" s="28">
        <v>3</v>
      </c>
      <c r="BP360" s="28">
        <v>14</v>
      </c>
      <c r="BQ360" s="28">
        <v>5</v>
      </c>
      <c r="BR360" s="28">
        <f t="shared" ref="BR360:BR374" si="126">(BP360*3)*BQ360</f>
        <v>210</v>
      </c>
      <c r="BS360" s="28">
        <f t="shared" ref="BS360:BS374" si="127">(BR360*BK360)+50</f>
        <v>1780.4</v>
      </c>
      <c r="BT360" s="28" t="s">
        <v>62</v>
      </c>
      <c r="BU360" s="74" t="s">
        <v>67</v>
      </c>
      <c r="BV360" s="1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s="56" customFormat="1" ht="30" x14ac:dyDescent="0.25">
      <c r="A361" s="93">
        <v>41518</v>
      </c>
      <c r="B361" s="93"/>
      <c r="C361" s="96" t="s">
        <v>1916</v>
      </c>
      <c r="D361" s="88" t="s">
        <v>73</v>
      </c>
      <c r="E361" s="96" t="s">
        <v>1912</v>
      </c>
      <c r="F361" s="126" t="s">
        <v>1917</v>
      </c>
      <c r="G361" s="96" t="s">
        <v>1918</v>
      </c>
      <c r="H361" s="96" t="s">
        <v>1919</v>
      </c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112">
        <v>49.95</v>
      </c>
      <c r="AS361" s="27">
        <f t="shared" si="123"/>
        <v>112.5</v>
      </c>
      <c r="AT361" s="28" t="s">
        <v>1920</v>
      </c>
      <c r="AU361" s="28"/>
      <c r="AV361" s="28"/>
      <c r="AW361" s="28"/>
      <c r="AX361" s="28"/>
      <c r="AY361" s="28"/>
      <c r="AZ361" s="28"/>
      <c r="BA361" s="28"/>
      <c r="BB361" s="37">
        <v>10.75</v>
      </c>
      <c r="BC361" s="37">
        <v>1.75</v>
      </c>
      <c r="BD361" s="37">
        <v>17.62</v>
      </c>
      <c r="BE361" s="28">
        <f t="shared" si="124"/>
        <v>0.1918265335648148</v>
      </c>
      <c r="BF361" s="37">
        <v>6.6</v>
      </c>
      <c r="BG361" s="37">
        <v>3</v>
      </c>
      <c r="BH361" s="37">
        <v>18.11</v>
      </c>
      <c r="BI361" s="37">
        <v>3</v>
      </c>
      <c r="BJ361" s="28">
        <f t="shared" si="125"/>
        <v>0.20751041666666664</v>
      </c>
      <c r="BK361" s="37">
        <v>12.24</v>
      </c>
      <c r="BL361" s="37"/>
      <c r="BM361" s="37"/>
      <c r="BN361" s="28" t="s">
        <v>64</v>
      </c>
      <c r="BO361" s="28">
        <v>3</v>
      </c>
      <c r="BP361" s="28">
        <v>7</v>
      </c>
      <c r="BQ361" s="28">
        <v>6</v>
      </c>
      <c r="BR361" s="28">
        <f t="shared" si="126"/>
        <v>126</v>
      </c>
      <c r="BS361" s="28">
        <f t="shared" si="127"/>
        <v>1592.24</v>
      </c>
      <c r="BT361" s="28" t="s">
        <v>62</v>
      </c>
      <c r="BU361" s="74" t="s">
        <v>67</v>
      </c>
      <c r="BV361" s="1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s="56" customFormat="1" x14ac:dyDescent="0.25">
      <c r="A362" s="93">
        <v>41518</v>
      </c>
      <c r="B362" s="93"/>
      <c r="C362" s="96" t="s">
        <v>1921</v>
      </c>
      <c r="D362" s="88" t="s">
        <v>73</v>
      </c>
      <c r="E362" s="96" t="s">
        <v>1912</v>
      </c>
      <c r="F362" s="126" t="s">
        <v>1922</v>
      </c>
      <c r="G362" s="96" t="s">
        <v>1923</v>
      </c>
      <c r="H362" s="96">
        <v>20435801</v>
      </c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112">
        <v>24.95</v>
      </c>
      <c r="AS362" s="27">
        <f t="shared" si="123"/>
        <v>56.193693693693689</v>
      </c>
      <c r="AT362" s="28" t="s">
        <v>1924</v>
      </c>
      <c r="AU362" s="28"/>
      <c r="AV362" s="28"/>
      <c r="AW362" s="28"/>
      <c r="AX362" s="28"/>
      <c r="AY362" s="28"/>
      <c r="AZ362" s="28"/>
      <c r="BA362" s="28"/>
      <c r="BB362" s="37">
        <v>10.75</v>
      </c>
      <c r="BC362" s="37">
        <v>1.75</v>
      </c>
      <c r="BD362" s="37">
        <v>17.62</v>
      </c>
      <c r="BE362" s="28">
        <f t="shared" si="124"/>
        <v>0.1918265335648148</v>
      </c>
      <c r="BF362" s="37">
        <v>6.6</v>
      </c>
      <c r="BG362" s="37">
        <v>3</v>
      </c>
      <c r="BH362" s="37">
        <v>18.11</v>
      </c>
      <c r="BI362" s="37">
        <v>3</v>
      </c>
      <c r="BJ362" s="28">
        <f t="shared" si="125"/>
        <v>0.20751041666666664</v>
      </c>
      <c r="BK362" s="37">
        <v>12.24</v>
      </c>
      <c r="BL362" s="37"/>
      <c r="BM362" s="37"/>
      <c r="BN362" s="28" t="s">
        <v>64</v>
      </c>
      <c r="BO362" s="28">
        <v>3</v>
      </c>
      <c r="BP362" s="28">
        <v>7</v>
      </c>
      <c r="BQ362" s="28">
        <v>6</v>
      </c>
      <c r="BR362" s="28">
        <f t="shared" si="126"/>
        <v>126</v>
      </c>
      <c r="BS362" s="28">
        <f t="shared" si="127"/>
        <v>1592.24</v>
      </c>
      <c r="BT362" s="28" t="s">
        <v>62</v>
      </c>
      <c r="BU362" s="74" t="s">
        <v>67</v>
      </c>
      <c r="BV362" s="1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s="56" customFormat="1" x14ac:dyDescent="0.25">
      <c r="A363" s="93">
        <v>41518</v>
      </c>
      <c r="B363" s="93"/>
      <c r="C363" s="96" t="s">
        <v>1925</v>
      </c>
      <c r="D363" s="88" t="s">
        <v>73</v>
      </c>
      <c r="E363" s="96" t="s">
        <v>1912</v>
      </c>
      <c r="F363" s="126" t="s">
        <v>1926</v>
      </c>
      <c r="G363" s="96" t="s">
        <v>1923</v>
      </c>
      <c r="H363" s="96">
        <v>3948712</v>
      </c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112">
        <v>25.35</v>
      </c>
      <c r="AS363" s="27">
        <f t="shared" si="123"/>
        <v>57.094594594594597</v>
      </c>
      <c r="AT363" s="28" t="s">
        <v>1927</v>
      </c>
      <c r="AU363" s="78"/>
      <c r="AV363" s="78"/>
      <c r="AW363" s="78"/>
      <c r="AX363" s="78"/>
      <c r="AY363" s="78"/>
      <c r="AZ363" s="78"/>
      <c r="BA363" s="78"/>
      <c r="BB363" s="37">
        <v>10.75</v>
      </c>
      <c r="BC363" s="37">
        <v>1.75</v>
      </c>
      <c r="BD363" s="37">
        <v>17.62</v>
      </c>
      <c r="BE363" s="28">
        <f t="shared" si="124"/>
        <v>0.1918265335648148</v>
      </c>
      <c r="BF363" s="37">
        <v>6.6</v>
      </c>
      <c r="BG363" s="37">
        <v>3</v>
      </c>
      <c r="BH363" s="37">
        <v>18.11</v>
      </c>
      <c r="BI363" s="37">
        <v>3</v>
      </c>
      <c r="BJ363" s="28">
        <f t="shared" si="125"/>
        <v>0.20751041666666664</v>
      </c>
      <c r="BK363" s="37">
        <v>12.24</v>
      </c>
      <c r="BL363" s="37"/>
      <c r="BM363" s="37"/>
      <c r="BN363" s="28" t="s">
        <v>64</v>
      </c>
      <c r="BO363" s="28">
        <v>3</v>
      </c>
      <c r="BP363" s="78">
        <v>7</v>
      </c>
      <c r="BQ363" s="78">
        <v>6</v>
      </c>
      <c r="BR363" s="28">
        <f t="shared" si="126"/>
        <v>126</v>
      </c>
      <c r="BS363" s="28">
        <f t="shared" si="127"/>
        <v>1592.24</v>
      </c>
      <c r="BT363" s="28" t="s">
        <v>62</v>
      </c>
      <c r="BU363" s="74" t="s">
        <v>67</v>
      </c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s="56" customFormat="1" x14ac:dyDescent="0.25">
      <c r="A364" s="93">
        <v>41518</v>
      </c>
      <c r="B364" s="93"/>
      <c r="C364" s="96" t="s">
        <v>1928</v>
      </c>
      <c r="D364" s="88" t="s">
        <v>73</v>
      </c>
      <c r="E364" s="96" t="s">
        <v>1912</v>
      </c>
      <c r="F364" s="126" t="s">
        <v>1926</v>
      </c>
      <c r="G364" s="96" t="s">
        <v>1923</v>
      </c>
      <c r="H364" s="96">
        <v>8089705</v>
      </c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112">
        <v>28.85</v>
      </c>
      <c r="AS364" s="27">
        <f t="shared" si="123"/>
        <v>64.977477477477478</v>
      </c>
      <c r="AT364" s="28" t="s">
        <v>1929</v>
      </c>
      <c r="AU364" s="78"/>
      <c r="AV364" s="78"/>
      <c r="AW364" s="78"/>
      <c r="AX364" s="78"/>
      <c r="AY364" s="78"/>
      <c r="AZ364" s="78"/>
      <c r="BA364" s="78"/>
      <c r="BB364" s="37">
        <v>7.75</v>
      </c>
      <c r="BC364" s="37">
        <v>2.5</v>
      </c>
      <c r="BD364" s="37">
        <v>12.75</v>
      </c>
      <c r="BE364" s="28">
        <f t="shared" si="124"/>
        <v>0.14295789930555555</v>
      </c>
      <c r="BF364" s="37">
        <v>8.48</v>
      </c>
      <c r="BG364" s="37">
        <v>3</v>
      </c>
      <c r="BH364" s="37">
        <v>13.49</v>
      </c>
      <c r="BI364" s="37">
        <v>3</v>
      </c>
      <c r="BJ364" s="28">
        <f t="shared" si="125"/>
        <v>0.19860277777777779</v>
      </c>
      <c r="BK364" s="37">
        <v>8.24</v>
      </c>
      <c r="BL364" s="37"/>
      <c r="BM364" s="37"/>
      <c r="BN364" s="28" t="s">
        <v>64</v>
      </c>
      <c r="BO364" s="28">
        <v>3</v>
      </c>
      <c r="BP364" s="78">
        <v>14</v>
      </c>
      <c r="BQ364" s="78">
        <v>5</v>
      </c>
      <c r="BR364" s="28">
        <f t="shared" si="126"/>
        <v>210</v>
      </c>
      <c r="BS364" s="28">
        <f t="shared" si="127"/>
        <v>1780.4</v>
      </c>
      <c r="BT364" s="28" t="s">
        <v>62</v>
      </c>
      <c r="BU364" s="74" t="s">
        <v>67</v>
      </c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s="56" customFormat="1" ht="30" x14ac:dyDescent="0.25">
      <c r="A365" s="93">
        <v>41518</v>
      </c>
      <c r="B365" s="93"/>
      <c r="C365" s="96" t="s">
        <v>1930</v>
      </c>
      <c r="D365" s="88" t="s">
        <v>73</v>
      </c>
      <c r="E365" s="96" t="s">
        <v>1912</v>
      </c>
      <c r="F365" s="126" t="s">
        <v>1931</v>
      </c>
      <c r="G365" s="126" t="s">
        <v>1932</v>
      </c>
      <c r="H365" s="126">
        <v>91559</v>
      </c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112">
        <v>27.75</v>
      </c>
      <c r="AS365" s="27">
        <f t="shared" si="123"/>
        <v>62.5</v>
      </c>
      <c r="AT365" s="28" t="s">
        <v>1933</v>
      </c>
      <c r="AU365" s="28"/>
      <c r="AV365" s="28"/>
      <c r="AW365" s="28"/>
      <c r="AX365" s="28"/>
      <c r="AY365" s="28"/>
      <c r="AZ365" s="28"/>
      <c r="BA365" s="28"/>
      <c r="BB365" s="37">
        <v>11.25</v>
      </c>
      <c r="BC365" s="37">
        <v>2.68</v>
      </c>
      <c r="BD365" s="37">
        <v>11.25</v>
      </c>
      <c r="BE365" s="28">
        <f t="shared" si="124"/>
        <v>0.1962890625</v>
      </c>
      <c r="BF365" s="37">
        <v>9</v>
      </c>
      <c r="BG365" s="37">
        <v>3</v>
      </c>
      <c r="BH365" s="37">
        <v>11.75</v>
      </c>
      <c r="BI365" s="37">
        <v>3</v>
      </c>
      <c r="BJ365" s="28">
        <f t="shared" si="125"/>
        <v>0.18359375</v>
      </c>
      <c r="BK365" s="37">
        <v>11.75</v>
      </c>
      <c r="BL365" s="37"/>
      <c r="BM365" s="37"/>
      <c r="BN365" s="28" t="s">
        <v>64</v>
      </c>
      <c r="BO365" s="28">
        <v>3</v>
      </c>
      <c r="BP365" s="28">
        <v>12</v>
      </c>
      <c r="BQ365" s="28">
        <v>5</v>
      </c>
      <c r="BR365" s="28">
        <f t="shared" si="126"/>
        <v>180</v>
      </c>
      <c r="BS365" s="28">
        <f t="shared" si="127"/>
        <v>2165</v>
      </c>
      <c r="BT365" s="28" t="s">
        <v>62</v>
      </c>
      <c r="BU365" s="74" t="s">
        <v>67</v>
      </c>
      <c r="BV365" s="1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s="56" customFormat="1" x14ac:dyDescent="0.25">
      <c r="A366" s="93">
        <v>41518</v>
      </c>
      <c r="B366" s="93"/>
      <c r="C366" s="96" t="s">
        <v>1934</v>
      </c>
      <c r="D366" s="88" t="s">
        <v>73</v>
      </c>
      <c r="E366" s="96" t="s">
        <v>1912</v>
      </c>
      <c r="F366" s="126" t="s">
        <v>1935</v>
      </c>
      <c r="G366" s="126" t="s">
        <v>1932</v>
      </c>
      <c r="H366" s="126" t="s">
        <v>1936</v>
      </c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112">
        <v>46.85</v>
      </c>
      <c r="AS366" s="27">
        <f t="shared" si="123"/>
        <v>105.51801801801803</v>
      </c>
      <c r="AT366" s="28" t="s">
        <v>1937</v>
      </c>
      <c r="AU366" s="28"/>
      <c r="AV366" s="28"/>
      <c r="AW366" s="28"/>
      <c r="AX366" s="28"/>
      <c r="AY366" s="28"/>
      <c r="AZ366" s="28"/>
      <c r="BA366" s="28"/>
      <c r="BB366" s="37">
        <v>11.25</v>
      </c>
      <c r="BC366" s="37">
        <v>2.68</v>
      </c>
      <c r="BD366" s="37">
        <v>11.25</v>
      </c>
      <c r="BE366" s="28">
        <f t="shared" si="124"/>
        <v>0.1962890625</v>
      </c>
      <c r="BF366" s="37">
        <v>9</v>
      </c>
      <c r="BG366" s="37">
        <v>3</v>
      </c>
      <c r="BH366" s="37">
        <v>11.75</v>
      </c>
      <c r="BI366" s="37">
        <v>3</v>
      </c>
      <c r="BJ366" s="28">
        <f t="shared" si="125"/>
        <v>0.18359375</v>
      </c>
      <c r="BK366" s="37">
        <v>11.75</v>
      </c>
      <c r="BL366" s="37"/>
      <c r="BM366" s="37"/>
      <c r="BN366" s="28" t="s">
        <v>64</v>
      </c>
      <c r="BO366" s="28">
        <v>3</v>
      </c>
      <c r="BP366" s="28">
        <v>12</v>
      </c>
      <c r="BQ366" s="28">
        <v>5</v>
      </c>
      <c r="BR366" s="28">
        <f t="shared" si="126"/>
        <v>180</v>
      </c>
      <c r="BS366" s="28">
        <f t="shared" si="127"/>
        <v>2165</v>
      </c>
      <c r="BT366" s="28" t="s">
        <v>62</v>
      </c>
      <c r="BU366" s="74" t="s">
        <v>67</v>
      </c>
      <c r="BV366" s="1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s="56" customFormat="1" x14ac:dyDescent="0.25">
      <c r="A367" s="93">
        <v>41518</v>
      </c>
      <c r="B367" s="93"/>
      <c r="C367" s="96" t="s">
        <v>1938</v>
      </c>
      <c r="D367" s="88" t="s">
        <v>73</v>
      </c>
      <c r="E367" s="96" t="s">
        <v>1912</v>
      </c>
      <c r="F367" s="126" t="s">
        <v>1939</v>
      </c>
      <c r="G367" s="96" t="s">
        <v>1940</v>
      </c>
      <c r="H367" s="96" t="s">
        <v>1941</v>
      </c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112">
        <v>34.950000000000003</v>
      </c>
      <c r="AS367" s="27">
        <f t="shared" si="123"/>
        <v>78.716216216216225</v>
      </c>
      <c r="AT367" s="28" t="s">
        <v>1942</v>
      </c>
      <c r="AU367" s="28"/>
      <c r="AV367" s="28"/>
      <c r="AW367" s="28"/>
      <c r="AX367" s="28"/>
      <c r="AY367" s="28"/>
      <c r="AZ367" s="28"/>
      <c r="BA367" s="28"/>
      <c r="BB367" s="37">
        <v>7.5</v>
      </c>
      <c r="BC367" s="37">
        <v>1.31</v>
      </c>
      <c r="BD367" s="37">
        <v>13</v>
      </c>
      <c r="BE367" s="28">
        <f t="shared" si="124"/>
        <v>7.3914930555555564E-2</v>
      </c>
      <c r="BF367" s="37">
        <v>4.6399999999999997</v>
      </c>
      <c r="BG367" s="37">
        <v>3</v>
      </c>
      <c r="BH367" s="37">
        <v>14.26</v>
      </c>
      <c r="BI367" s="37">
        <v>3</v>
      </c>
      <c r="BJ367" s="28">
        <f t="shared" si="125"/>
        <v>0.11487222222222222</v>
      </c>
      <c r="BK367" s="37">
        <v>9.6300000000000008</v>
      </c>
      <c r="BL367" s="37"/>
      <c r="BM367" s="37"/>
      <c r="BN367" s="28" t="s">
        <v>64</v>
      </c>
      <c r="BO367" s="28">
        <v>3</v>
      </c>
      <c r="BP367" s="28">
        <v>12</v>
      </c>
      <c r="BQ367" s="28">
        <v>9</v>
      </c>
      <c r="BR367" s="28">
        <f t="shared" si="126"/>
        <v>324</v>
      </c>
      <c r="BS367" s="28">
        <f t="shared" si="127"/>
        <v>3170.1200000000003</v>
      </c>
      <c r="BT367" s="28" t="s">
        <v>62</v>
      </c>
      <c r="BU367" s="74" t="s">
        <v>67</v>
      </c>
      <c r="BV367" s="1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s="56" customFormat="1" x14ac:dyDescent="0.25">
      <c r="A368" s="93">
        <v>41518</v>
      </c>
      <c r="B368" s="93"/>
      <c r="C368" s="96" t="s">
        <v>1943</v>
      </c>
      <c r="D368" s="88" t="s">
        <v>73</v>
      </c>
      <c r="E368" s="96" t="s">
        <v>1912</v>
      </c>
      <c r="F368" s="126" t="s">
        <v>1944</v>
      </c>
      <c r="G368" s="96" t="s">
        <v>1945</v>
      </c>
      <c r="H368" s="96" t="s">
        <v>1946</v>
      </c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112">
        <v>29.95</v>
      </c>
      <c r="AS368" s="27">
        <f t="shared" si="123"/>
        <v>67.454954954954957</v>
      </c>
      <c r="AT368" s="28" t="s">
        <v>1947</v>
      </c>
      <c r="AU368" s="28"/>
      <c r="AV368" s="28"/>
      <c r="AW368" s="28"/>
      <c r="AX368" s="28"/>
      <c r="AY368" s="28"/>
      <c r="AZ368" s="28"/>
      <c r="BA368" s="28"/>
      <c r="BB368" s="37">
        <v>10.75</v>
      </c>
      <c r="BC368" s="37">
        <v>1.75</v>
      </c>
      <c r="BD368" s="37">
        <v>17.62</v>
      </c>
      <c r="BE368" s="28">
        <f t="shared" si="124"/>
        <v>0.1918265335648148</v>
      </c>
      <c r="BF368" s="37">
        <v>6.6</v>
      </c>
      <c r="BG368" s="37">
        <v>3</v>
      </c>
      <c r="BH368" s="37">
        <v>18.11</v>
      </c>
      <c r="BI368" s="37">
        <v>3</v>
      </c>
      <c r="BJ368" s="28">
        <f t="shared" si="125"/>
        <v>0.20751041666666664</v>
      </c>
      <c r="BK368" s="37">
        <v>12.24</v>
      </c>
      <c r="BL368" s="37"/>
      <c r="BM368" s="37"/>
      <c r="BN368" s="28" t="s">
        <v>64</v>
      </c>
      <c r="BO368" s="28">
        <v>3</v>
      </c>
      <c r="BP368" s="28">
        <v>7</v>
      </c>
      <c r="BQ368" s="28">
        <v>6</v>
      </c>
      <c r="BR368" s="28">
        <f t="shared" si="126"/>
        <v>126</v>
      </c>
      <c r="BS368" s="28">
        <f t="shared" si="127"/>
        <v>1592.24</v>
      </c>
      <c r="BT368" s="28" t="s">
        <v>62</v>
      </c>
      <c r="BU368" s="74" t="s">
        <v>67</v>
      </c>
      <c r="BV368" s="1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s="56" customFormat="1" x14ac:dyDescent="0.25">
      <c r="A369" s="93">
        <v>41518</v>
      </c>
      <c r="B369" s="93"/>
      <c r="C369" s="96" t="s">
        <v>1948</v>
      </c>
      <c r="D369" s="88" t="s">
        <v>73</v>
      </c>
      <c r="E369" s="96" t="s">
        <v>1912</v>
      </c>
      <c r="F369" s="126" t="s">
        <v>1949</v>
      </c>
      <c r="G369" s="96" t="s">
        <v>1940</v>
      </c>
      <c r="H369" s="96" t="s">
        <v>1950</v>
      </c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112">
        <v>28.58</v>
      </c>
      <c r="AS369" s="27">
        <f t="shared" si="123"/>
        <v>64.369369369369366</v>
      </c>
      <c r="AT369" s="28" t="s">
        <v>1951</v>
      </c>
      <c r="AU369" s="28"/>
      <c r="AV369" s="28"/>
      <c r="AW369" s="28"/>
      <c r="AX369" s="28"/>
      <c r="AY369" s="28"/>
      <c r="AZ369" s="28"/>
      <c r="BA369" s="28"/>
      <c r="BB369" s="37">
        <v>14</v>
      </c>
      <c r="BC369" s="37">
        <v>3.06</v>
      </c>
      <c r="BD369" s="37">
        <v>14</v>
      </c>
      <c r="BE369" s="28">
        <f t="shared" si="124"/>
        <v>0.34708333333333335</v>
      </c>
      <c r="BF369" s="37">
        <v>14.73</v>
      </c>
      <c r="BG369" s="37">
        <v>3</v>
      </c>
      <c r="BH369" s="37">
        <v>14.49</v>
      </c>
      <c r="BI369" s="37">
        <v>3</v>
      </c>
      <c r="BJ369" s="28">
        <f t="shared" si="125"/>
        <v>0.37055156249999999</v>
      </c>
      <c r="BK369" s="37">
        <v>9.86</v>
      </c>
      <c r="BL369" s="37"/>
      <c r="BM369" s="37"/>
      <c r="BN369" s="28" t="s">
        <v>64</v>
      </c>
      <c r="BO369" s="28">
        <v>3</v>
      </c>
      <c r="BP369" s="28">
        <v>6</v>
      </c>
      <c r="BQ369" s="28">
        <v>4</v>
      </c>
      <c r="BR369" s="28">
        <f t="shared" si="126"/>
        <v>72</v>
      </c>
      <c r="BS369" s="28">
        <f t="shared" si="127"/>
        <v>759.92</v>
      </c>
      <c r="BT369" s="28" t="s">
        <v>62</v>
      </c>
      <c r="BU369" s="74" t="s">
        <v>67</v>
      </c>
      <c r="BV369" s="1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s="56" customFormat="1" x14ac:dyDescent="0.25">
      <c r="A370" s="93">
        <v>41518</v>
      </c>
      <c r="B370" s="93"/>
      <c r="C370" s="96" t="s">
        <v>1952</v>
      </c>
      <c r="D370" s="88" t="s">
        <v>73</v>
      </c>
      <c r="E370" s="96" t="s">
        <v>1912</v>
      </c>
      <c r="F370" s="126" t="s">
        <v>1953</v>
      </c>
      <c r="G370" s="96" t="s">
        <v>1932</v>
      </c>
      <c r="H370" s="96">
        <v>8031900159</v>
      </c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112">
        <v>14.95</v>
      </c>
      <c r="AS370" s="27">
        <f t="shared" si="123"/>
        <v>33.671171171171167</v>
      </c>
      <c r="AT370" s="28" t="s">
        <v>1954</v>
      </c>
      <c r="AU370" s="28"/>
      <c r="AV370" s="28"/>
      <c r="AW370" s="28"/>
      <c r="AX370" s="28"/>
      <c r="AY370" s="28"/>
      <c r="AZ370" s="28"/>
      <c r="BA370" s="28"/>
      <c r="BB370" s="37">
        <v>9.06</v>
      </c>
      <c r="BC370" s="37">
        <v>1.37</v>
      </c>
      <c r="BD370" s="37">
        <v>9.25</v>
      </c>
      <c r="BE370" s="28">
        <f t="shared" si="124"/>
        <v>6.6442621527777787E-2</v>
      </c>
      <c r="BF370" s="37">
        <v>4.7300000000000004</v>
      </c>
      <c r="BG370" s="37">
        <v>3</v>
      </c>
      <c r="BH370" s="37">
        <v>10.49</v>
      </c>
      <c r="BI370" s="37">
        <v>3</v>
      </c>
      <c r="BJ370" s="28">
        <f t="shared" si="125"/>
        <v>8.6141840277777784E-2</v>
      </c>
      <c r="BK370" s="37">
        <v>9.99</v>
      </c>
      <c r="BL370" s="37"/>
      <c r="BM370" s="37"/>
      <c r="BN370" s="28" t="s">
        <v>64</v>
      </c>
      <c r="BO370" s="28">
        <v>3</v>
      </c>
      <c r="BP370" s="28">
        <v>16</v>
      </c>
      <c r="BQ370" s="28">
        <v>9</v>
      </c>
      <c r="BR370" s="28">
        <f t="shared" si="126"/>
        <v>432</v>
      </c>
      <c r="BS370" s="28">
        <f t="shared" si="127"/>
        <v>4365.68</v>
      </c>
      <c r="BT370" s="28" t="s">
        <v>62</v>
      </c>
      <c r="BU370" s="74" t="s">
        <v>67</v>
      </c>
      <c r="BV370" s="1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s="56" customFormat="1" x14ac:dyDescent="0.25">
      <c r="A371" s="93">
        <v>41518</v>
      </c>
      <c r="B371" s="93"/>
      <c r="C371" s="96" t="s">
        <v>1955</v>
      </c>
      <c r="D371" s="88" t="s">
        <v>73</v>
      </c>
      <c r="E371" s="96" t="s">
        <v>1912</v>
      </c>
      <c r="F371" s="126" t="s">
        <v>1956</v>
      </c>
      <c r="G371" s="96" t="s">
        <v>1932</v>
      </c>
      <c r="H371" s="96">
        <v>91595</v>
      </c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112">
        <v>12.95</v>
      </c>
      <c r="AS371" s="27">
        <f t="shared" si="123"/>
        <v>29.166666666666664</v>
      </c>
      <c r="AT371" s="28" t="s">
        <v>1957</v>
      </c>
      <c r="AU371" s="28"/>
      <c r="AV371" s="28"/>
      <c r="AW371" s="28"/>
      <c r="AX371" s="28"/>
      <c r="AY371" s="28"/>
      <c r="AZ371" s="28"/>
      <c r="BA371" s="28"/>
      <c r="BB371" s="37">
        <v>9.06</v>
      </c>
      <c r="BC371" s="37">
        <v>1.37</v>
      </c>
      <c r="BD371" s="37">
        <v>9.25</v>
      </c>
      <c r="BE371" s="28">
        <f t="shared" si="124"/>
        <v>6.6442621527777787E-2</v>
      </c>
      <c r="BF371" s="37">
        <v>4.7300000000000004</v>
      </c>
      <c r="BG371" s="37">
        <v>3</v>
      </c>
      <c r="BH371" s="37">
        <v>10.49</v>
      </c>
      <c r="BI371" s="37">
        <v>3</v>
      </c>
      <c r="BJ371" s="28">
        <f t="shared" si="125"/>
        <v>8.6141840277777784E-2</v>
      </c>
      <c r="BK371" s="37">
        <v>9.99</v>
      </c>
      <c r="BL371" s="37"/>
      <c r="BM371" s="37"/>
      <c r="BN371" s="28" t="s">
        <v>64</v>
      </c>
      <c r="BO371" s="28">
        <v>3</v>
      </c>
      <c r="BP371" s="28">
        <v>16</v>
      </c>
      <c r="BQ371" s="28">
        <v>9</v>
      </c>
      <c r="BR371" s="28">
        <f t="shared" si="126"/>
        <v>432</v>
      </c>
      <c r="BS371" s="28">
        <f t="shared" si="127"/>
        <v>4365.68</v>
      </c>
      <c r="BT371" s="28" t="s">
        <v>62</v>
      </c>
      <c r="BU371" s="74" t="s">
        <v>67</v>
      </c>
      <c r="BV371" s="1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s="56" customFormat="1" x14ac:dyDescent="0.25">
      <c r="A372" s="93">
        <v>41518</v>
      </c>
      <c r="B372" s="93"/>
      <c r="C372" s="96" t="s">
        <v>1958</v>
      </c>
      <c r="D372" s="88" t="s">
        <v>73</v>
      </c>
      <c r="E372" s="96" t="s">
        <v>1912</v>
      </c>
      <c r="F372" s="126" t="s">
        <v>1959</v>
      </c>
      <c r="G372" s="96" t="s">
        <v>1960</v>
      </c>
      <c r="H372" s="96" t="s">
        <v>1961</v>
      </c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112">
        <v>34.299999999999997</v>
      </c>
      <c r="AS372" s="27">
        <f t="shared" si="123"/>
        <v>77.252252252252248</v>
      </c>
      <c r="AT372" s="28" t="s">
        <v>1962</v>
      </c>
      <c r="AU372" s="28"/>
      <c r="AV372" s="28"/>
      <c r="AW372" s="28"/>
      <c r="AX372" s="28"/>
      <c r="AY372" s="28"/>
      <c r="AZ372" s="28"/>
      <c r="BA372" s="28"/>
      <c r="BB372" s="37">
        <v>7.09</v>
      </c>
      <c r="BC372" s="37">
        <v>1.53</v>
      </c>
      <c r="BD372" s="37">
        <v>11.5</v>
      </c>
      <c r="BE372" s="28">
        <f t="shared" si="124"/>
        <v>7.2192447916666666E-2</v>
      </c>
      <c r="BF372" s="37">
        <v>5.23</v>
      </c>
      <c r="BG372" s="37">
        <v>3</v>
      </c>
      <c r="BH372" s="37">
        <v>11.92</v>
      </c>
      <c r="BI372" s="37">
        <v>3</v>
      </c>
      <c r="BJ372" s="28">
        <f t="shared" si="125"/>
        <v>0.10823194444444445</v>
      </c>
      <c r="BK372" s="37">
        <v>7.99</v>
      </c>
      <c r="BL372" s="37"/>
      <c r="BM372" s="37"/>
      <c r="BN372" s="28" t="s">
        <v>64</v>
      </c>
      <c r="BO372" s="28">
        <v>3</v>
      </c>
      <c r="BP372" s="28">
        <v>20</v>
      </c>
      <c r="BQ372" s="28">
        <v>8</v>
      </c>
      <c r="BR372" s="28">
        <f t="shared" si="126"/>
        <v>480</v>
      </c>
      <c r="BS372" s="28">
        <f t="shared" si="127"/>
        <v>3885.2000000000003</v>
      </c>
      <c r="BT372" s="28" t="s">
        <v>62</v>
      </c>
      <c r="BU372" s="74" t="s">
        <v>67</v>
      </c>
      <c r="BV372" s="1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s="56" customFormat="1" x14ac:dyDescent="0.25">
      <c r="A373" s="93">
        <v>41518</v>
      </c>
      <c r="B373" s="93"/>
      <c r="C373" s="96" t="s">
        <v>1963</v>
      </c>
      <c r="D373" s="88" t="s">
        <v>73</v>
      </c>
      <c r="E373" s="96" t="s">
        <v>1912</v>
      </c>
      <c r="F373" s="126" t="s">
        <v>1964</v>
      </c>
      <c r="G373" s="96" t="s">
        <v>1940</v>
      </c>
      <c r="H373" s="96" t="s">
        <v>1965</v>
      </c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112">
        <v>38.9</v>
      </c>
      <c r="AS373" s="27">
        <f t="shared" si="123"/>
        <v>87.612612612612608</v>
      </c>
      <c r="AT373" s="28" t="s">
        <v>1966</v>
      </c>
      <c r="AU373" s="28"/>
      <c r="AV373" s="28"/>
      <c r="AW373" s="28"/>
      <c r="AX373" s="28"/>
      <c r="AY373" s="28"/>
      <c r="AZ373" s="28"/>
      <c r="BA373" s="28"/>
      <c r="BB373" s="37">
        <v>7.5</v>
      </c>
      <c r="BC373" s="37">
        <v>1.31</v>
      </c>
      <c r="BD373" s="37">
        <v>13</v>
      </c>
      <c r="BE373" s="28">
        <f t="shared" si="124"/>
        <v>7.3914930555555564E-2</v>
      </c>
      <c r="BF373" s="37">
        <v>4.6399999999999997</v>
      </c>
      <c r="BG373" s="37">
        <v>3</v>
      </c>
      <c r="BH373" s="37">
        <v>14.26</v>
      </c>
      <c r="BI373" s="37">
        <v>3</v>
      </c>
      <c r="BJ373" s="28">
        <f t="shared" si="125"/>
        <v>0.11487222222222222</v>
      </c>
      <c r="BK373" s="37">
        <v>9.6300000000000008</v>
      </c>
      <c r="BL373" s="37"/>
      <c r="BM373" s="37"/>
      <c r="BN373" s="28" t="s">
        <v>64</v>
      </c>
      <c r="BO373" s="28">
        <v>3</v>
      </c>
      <c r="BP373" s="28">
        <v>12</v>
      </c>
      <c r="BQ373" s="28">
        <v>9</v>
      </c>
      <c r="BR373" s="28">
        <f t="shared" si="126"/>
        <v>324</v>
      </c>
      <c r="BS373" s="28">
        <f t="shared" si="127"/>
        <v>3170.1200000000003</v>
      </c>
      <c r="BT373" s="28" t="s">
        <v>62</v>
      </c>
      <c r="BU373" s="74" t="s">
        <v>67</v>
      </c>
      <c r="BV373" s="1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s="56" customFormat="1" x14ac:dyDescent="0.25">
      <c r="A374" s="93">
        <v>41518</v>
      </c>
      <c r="B374" s="93"/>
      <c r="C374" s="96" t="s">
        <v>1967</v>
      </c>
      <c r="D374" s="88" t="s">
        <v>73</v>
      </c>
      <c r="E374" s="96" t="s">
        <v>1912</v>
      </c>
      <c r="F374" s="126" t="s">
        <v>1968</v>
      </c>
      <c r="G374" s="96" t="s">
        <v>1932</v>
      </c>
      <c r="H374" s="96" t="s">
        <v>1969</v>
      </c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112">
        <v>23.95</v>
      </c>
      <c r="AS374" s="27">
        <f t="shared" si="123"/>
        <v>53.941441441441441</v>
      </c>
      <c r="AT374" s="28" t="s">
        <v>1970</v>
      </c>
      <c r="AU374" s="28"/>
      <c r="AV374" s="28"/>
      <c r="AW374" s="28"/>
      <c r="AX374" s="28"/>
      <c r="AY374" s="28"/>
      <c r="AZ374" s="28"/>
      <c r="BA374" s="28"/>
      <c r="BB374" s="37">
        <v>9.06</v>
      </c>
      <c r="BC374" s="37">
        <v>1.37</v>
      </c>
      <c r="BD374" s="37">
        <v>9.25</v>
      </c>
      <c r="BE374" s="28">
        <f t="shared" si="124"/>
        <v>6.6442621527777787E-2</v>
      </c>
      <c r="BF374" s="37">
        <v>4.7300000000000004</v>
      </c>
      <c r="BG374" s="37">
        <v>3</v>
      </c>
      <c r="BH374" s="37">
        <v>10.49</v>
      </c>
      <c r="BI374" s="37">
        <v>3</v>
      </c>
      <c r="BJ374" s="28">
        <f t="shared" si="125"/>
        <v>8.6141840277777784E-2</v>
      </c>
      <c r="BK374" s="37">
        <v>9.99</v>
      </c>
      <c r="BL374" s="37"/>
      <c r="BM374" s="37"/>
      <c r="BN374" s="28" t="s">
        <v>64</v>
      </c>
      <c r="BO374" s="28">
        <v>3</v>
      </c>
      <c r="BP374" s="28">
        <v>16</v>
      </c>
      <c r="BQ374" s="28">
        <v>9</v>
      </c>
      <c r="BR374" s="28">
        <f t="shared" si="126"/>
        <v>432</v>
      </c>
      <c r="BS374" s="28">
        <f t="shared" si="127"/>
        <v>4365.68</v>
      </c>
      <c r="BT374" s="28" t="s">
        <v>62</v>
      </c>
      <c r="BU374" s="74" t="s">
        <v>67</v>
      </c>
      <c r="BV374" s="1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s="56" customFormat="1" x14ac:dyDescent="0.25">
      <c r="A375" s="93">
        <v>41518</v>
      </c>
      <c r="B375" s="93"/>
      <c r="C375" s="96" t="s">
        <v>1971</v>
      </c>
      <c r="D375" s="88" t="s">
        <v>73</v>
      </c>
      <c r="E375" s="96" t="s">
        <v>1912</v>
      </c>
      <c r="F375" s="126" t="s">
        <v>1972</v>
      </c>
      <c r="G375" s="96" t="s">
        <v>1973</v>
      </c>
      <c r="H375" s="96" t="s">
        <v>1974</v>
      </c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112">
        <v>69.900000000000006</v>
      </c>
      <c r="AS375" s="27">
        <f t="shared" si="123"/>
        <v>157.43243243243245</v>
      </c>
      <c r="AT375" s="2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28" t="s">
        <v>64</v>
      </c>
      <c r="BO375" s="78"/>
      <c r="BP375" s="78"/>
      <c r="BQ375" s="78"/>
      <c r="BR375" s="78"/>
      <c r="BS375" s="28"/>
      <c r="BT375" s="78"/>
      <c r="BU375" s="74" t="s">
        <v>67</v>
      </c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s="56" customFormat="1" x14ac:dyDescent="0.25">
      <c r="A376" s="93">
        <v>41518</v>
      </c>
      <c r="B376" s="93"/>
      <c r="C376" s="78" t="s">
        <v>1975</v>
      </c>
      <c r="D376" s="88" t="s">
        <v>73</v>
      </c>
      <c r="E376" s="28" t="s">
        <v>1814</v>
      </c>
      <c r="F376" s="96" t="s">
        <v>1976</v>
      </c>
      <c r="G376" s="78" t="s">
        <v>1977</v>
      </c>
      <c r="H376" s="78" t="s">
        <v>1978</v>
      </c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 t="s">
        <v>1979</v>
      </c>
      <c r="V376" s="78"/>
      <c r="W376" s="78">
        <v>89117</v>
      </c>
      <c r="X376" s="78"/>
      <c r="Y376" s="78"/>
      <c r="Z376" s="78"/>
      <c r="AA376" s="78" t="s">
        <v>1980</v>
      </c>
      <c r="AB376" s="78"/>
      <c r="AC376" s="78" t="s">
        <v>1981</v>
      </c>
      <c r="AD376" s="78"/>
      <c r="AE376" s="78"/>
      <c r="AF376" s="78"/>
      <c r="AG376" s="78"/>
      <c r="AH376" s="78"/>
      <c r="AI376" s="78"/>
      <c r="AJ376" s="78"/>
      <c r="AK376" s="78">
        <v>4117</v>
      </c>
      <c r="AL376" s="78"/>
      <c r="AM376" s="78"/>
      <c r="AN376" s="78"/>
      <c r="AO376" s="78"/>
      <c r="AP376" s="78"/>
      <c r="AQ376" s="78">
        <v>24117</v>
      </c>
      <c r="AR376" s="112">
        <v>12.16</v>
      </c>
      <c r="AS376" s="27">
        <f t="shared" si="123"/>
        <v>27.387387387387388</v>
      </c>
      <c r="AT376" s="2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28" t="s">
        <v>64</v>
      </c>
      <c r="BO376" s="78"/>
      <c r="BP376" s="78">
        <v>26</v>
      </c>
      <c r="BQ376" s="78">
        <v>7</v>
      </c>
      <c r="BR376" s="78">
        <v>546</v>
      </c>
      <c r="BS376" s="28"/>
      <c r="BT376" s="78"/>
      <c r="BU376" s="74" t="s">
        <v>67</v>
      </c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s="56" customFormat="1" x14ac:dyDescent="0.25">
      <c r="A377" s="93">
        <v>41518</v>
      </c>
      <c r="B377" s="93"/>
      <c r="C377" s="78" t="s">
        <v>1982</v>
      </c>
      <c r="D377" s="88" t="s">
        <v>73</v>
      </c>
      <c r="E377" s="28" t="s">
        <v>1102</v>
      </c>
      <c r="F377" s="299" t="s">
        <v>1983</v>
      </c>
      <c r="G377" s="78" t="s">
        <v>1984</v>
      </c>
      <c r="H377" s="78">
        <v>87720899</v>
      </c>
      <c r="I377" s="78" t="s">
        <v>66</v>
      </c>
      <c r="J377" s="78" t="s">
        <v>1985</v>
      </c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 t="s">
        <v>1986</v>
      </c>
      <c r="V377" s="78"/>
      <c r="W377" s="78">
        <v>87795</v>
      </c>
      <c r="X377" s="78"/>
      <c r="Y377" s="78" t="s">
        <v>1987</v>
      </c>
      <c r="Z377" s="78"/>
      <c r="AA377" s="78" t="s">
        <v>1988</v>
      </c>
      <c r="AB377" s="78"/>
      <c r="AC377" s="78" t="s">
        <v>1989</v>
      </c>
      <c r="AD377" s="78" t="s">
        <v>1990</v>
      </c>
      <c r="AE377" s="78"/>
      <c r="AF377" s="78"/>
      <c r="AG377" s="78"/>
      <c r="AH377" s="78" t="s">
        <v>1991</v>
      </c>
      <c r="AI377" s="78"/>
      <c r="AJ377" s="78"/>
      <c r="AK377" s="78">
        <v>2795</v>
      </c>
      <c r="AL377" s="78"/>
      <c r="AM377" s="78"/>
      <c r="AN377" s="78"/>
      <c r="AO377" s="78"/>
      <c r="AP377" s="78"/>
      <c r="AQ377" s="78">
        <v>42795</v>
      </c>
      <c r="AR377" s="112">
        <v>59.92</v>
      </c>
      <c r="AS377" s="27">
        <f t="shared" si="123"/>
        <v>134.95495495495496</v>
      </c>
      <c r="AT377" s="2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  <c r="BK377" s="78"/>
      <c r="BL377" s="78"/>
      <c r="BM377" s="78"/>
      <c r="BN377" s="28" t="s">
        <v>64</v>
      </c>
      <c r="BO377" s="78"/>
      <c r="BP377" s="78">
        <v>136</v>
      </c>
      <c r="BQ377" s="78">
        <v>3</v>
      </c>
      <c r="BR377" s="78">
        <v>408</v>
      </c>
      <c r="BS377" s="28"/>
      <c r="BT377" s="78"/>
      <c r="BU377" s="74" t="s">
        <v>67</v>
      </c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s="56" customFormat="1" ht="30" x14ac:dyDescent="0.25">
      <c r="A378" s="93">
        <v>41518</v>
      </c>
      <c r="B378" s="93"/>
      <c r="C378" s="78" t="s">
        <v>1992</v>
      </c>
      <c r="D378" s="88" t="s">
        <v>73</v>
      </c>
      <c r="E378" s="28" t="s">
        <v>1102</v>
      </c>
      <c r="F378" s="299" t="s">
        <v>1993</v>
      </c>
      <c r="G378" s="78" t="s">
        <v>1032</v>
      </c>
      <c r="H378" s="78">
        <v>3903343</v>
      </c>
      <c r="I378" s="78" t="s">
        <v>65</v>
      </c>
      <c r="J378" s="78" t="s">
        <v>1994</v>
      </c>
      <c r="K378" s="78" t="s">
        <v>1995</v>
      </c>
      <c r="L378" s="78" t="s">
        <v>1996</v>
      </c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112">
        <v>355</v>
      </c>
      <c r="AS378" s="27">
        <f t="shared" si="123"/>
        <v>799.54954954954951</v>
      </c>
      <c r="AT378" s="2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28" t="s">
        <v>64</v>
      </c>
      <c r="BO378" s="78"/>
      <c r="BP378" s="78">
        <v>4</v>
      </c>
      <c r="BQ378" s="78">
        <v>4</v>
      </c>
      <c r="BR378" s="78">
        <v>16</v>
      </c>
      <c r="BS378" s="28"/>
      <c r="BT378" s="78"/>
      <c r="BU378" s="74" t="s">
        <v>67</v>
      </c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s="56" customFormat="1" x14ac:dyDescent="0.25">
      <c r="A379" s="93">
        <v>41518</v>
      </c>
      <c r="B379" s="93"/>
      <c r="C379" s="78" t="s">
        <v>1997</v>
      </c>
      <c r="D379" s="88" t="s">
        <v>73</v>
      </c>
      <c r="E379" s="28" t="s">
        <v>1998</v>
      </c>
      <c r="F379" s="299" t="s">
        <v>1999</v>
      </c>
      <c r="G379" s="78" t="s">
        <v>1940</v>
      </c>
      <c r="H379" s="78" t="s">
        <v>2000</v>
      </c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>
        <v>84708</v>
      </c>
      <c r="X379" s="78"/>
      <c r="Y379" s="78"/>
      <c r="Z379" s="78"/>
      <c r="AA379" s="78" t="s">
        <v>2001</v>
      </c>
      <c r="AB379" s="78"/>
      <c r="AC379" s="78"/>
      <c r="AD379" s="78"/>
      <c r="AE379" s="78"/>
      <c r="AF379" s="78"/>
      <c r="AG379" s="78"/>
      <c r="AH379" s="78"/>
      <c r="AI379" s="78"/>
      <c r="AJ379" s="78"/>
      <c r="AK379" s="78">
        <v>7708</v>
      </c>
      <c r="AL379" s="78"/>
      <c r="AM379" s="78"/>
      <c r="AN379" s="78"/>
      <c r="AO379" s="78"/>
      <c r="AP379" s="78"/>
      <c r="AQ379" s="78">
        <v>57708</v>
      </c>
      <c r="AR379" s="112">
        <v>66.42</v>
      </c>
      <c r="AS379" s="27">
        <f t="shared" si="123"/>
        <v>149.59459459459458</v>
      </c>
      <c r="AT379" s="2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28" t="s">
        <v>64</v>
      </c>
      <c r="BO379" s="78"/>
      <c r="BP379" s="78">
        <v>10</v>
      </c>
      <c r="BQ379" s="78">
        <v>3</v>
      </c>
      <c r="BR379" s="78">
        <v>180</v>
      </c>
      <c r="BS379" s="28"/>
      <c r="BT379" s="78"/>
      <c r="BU379" s="74" t="s">
        <v>67</v>
      </c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s="56" customFormat="1" x14ac:dyDescent="0.25">
      <c r="A380" s="93">
        <v>41518</v>
      </c>
      <c r="B380" s="93"/>
      <c r="C380" s="28" t="s">
        <v>2002</v>
      </c>
      <c r="D380" s="88" t="s">
        <v>73</v>
      </c>
      <c r="E380" s="28" t="s">
        <v>1879</v>
      </c>
      <c r="F380" s="128" t="s">
        <v>2003</v>
      </c>
      <c r="G380" s="78" t="s">
        <v>2004</v>
      </c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112">
        <v>118.03</v>
      </c>
      <c r="AS380" s="27">
        <f t="shared" si="123"/>
        <v>265.83333333333331</v>
      </c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 t="s">
        <v>64</v>
      </c>
      <c r="BO380" s="28"/>
      <c r="BP380" s="28"/>
      <c r="BQ380" s="28"/>
      <c r="BR380" s="28"/>
      <c r="BS380" s="28"/>
      <c r="BT380" s="28"/>
      <c r="BU380" s="74" t="s">
        <v>1910</v>
      </c>
      <c r="BV380" s="1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s="56" customFormat="1" x14ac:dyDescent="0.25">
      <c r="A381" s="93">
        <v>41334</v>
      </c>
      <c r="B381" s="93"/>
      <c r="C381" s="30" t="s">
        <v>2005</v>
      </c>
      <c r="D381" s="88" t="s">
        <v>73</v>
      </c>
      <c r="E381" s="78" t="s">
        <v>1102</v>
      </c>
      <c r="F381" s="299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112">
        <v>52.95</v>
      </c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s="56" customFormat="1" x14ac:dyDescent="0.25">
      <c r="A382" s="93">
        <v>41334</v>
      </c>
      <c r="B382" s="93"/>
      <c r="C382" s="30" t="s">
        <v>2006</v>
      </c>
      <c r="D382" s="88" t="s">
        <v>73</v>
      </c>
      <c r="E382" s="78"/>
      <c r="F382" s="299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112">
        <v>14.71</v>
      </c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s="56" customFormat="1" x14ac:dyDescent="0.25">
      <c r="A383" s="93">
        <v>41334</v>
      </c>
      <c r="B383" s="93"/>
      <c r="C383" s="30" t="s">
        <v>2007</v>
      </c>
      <c r="D383" s="88" t="s">
        <v>73</v>
      </c>
      <c r="E383" s="78" t="s">
        <v>1102</v>
      </c>
      <c r="F383" s="299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112">
        <v>29.57</v>
      </c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s="56" customFormat="1" x14ac:dyDescent="0.25">
      <c r="A384" s="93">
        <v>41334</v>
      </c>
      <c r="B384" s="93"/>
      <c r="C384" s="29" t="s">
        <v>2008</v>
      </c>
      <c r="D384" s="88" t="s">
        <v>73</v>
      </c>
      <c r="E384" s="78"/>
      <c r="F384" s="299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112">
        <v>43.8</v>
      </c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1:84" s="56" customFormat="1" x14ac:dyDescent="0.25">
      <c r="A385" s="299" t="s">
        <v>2009</v>
      </c>
      <c r="B385" s="299"/>
      <c r="C385" s="129" t="s">
        <v>2010</v>
      </c>
      <c r="D385" s="88" t="s">
        <v>73</v>
      </c>
      <c r="E385" s="78" t="s">
        <v>1102</v>
      </c>
      <c r="F385" s="299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112">
        <v>109.5</v>
      </c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1:84" s="56" customFormat="1" x14ac:dyDescent="0.25">
      <c r="A386" s="299" t="s">
        <v>2009</v>
      </c>
      <c r="B386" s="299"/>
      <c r="C386" s="129" t="s">
        <v>2011</v>
      </c>
      <c r="D386" s="88" t="s">
        <v>73</v>
      </c>
      <c r="E386" s="78" t="s">
        <v>1102</v>
      </c>
      <c r="F386" s="299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112">
        <v>48.26</v>
      </c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1:84" s="56" customFormat="1" x14ac:dyDescent="0.25">
      <c r="A387" s="299" t="s">
        <v>2009</v>
      </c>
      <c r="B387" s="299"/>
      <c r="C387" s="28" t="s">
        <v>2012</v>
      </c>
      <c r="D387" s="88" t="s">
        <v>73</v>
      </c>
      <c r="E387" s="78" t="s">
        <v>1102</v>
      </c>
      <c r="F387" s="299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112">
        <v>91.12</v>
      </c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1:84" s="56" customFormat="1" x14ac:dyDescent="0.25">
      <c r="A388" s="299" t="s">
        <v>2009</v>
      </c>
      <c r="B388" s="299"/>
      <c r="C388" s="28" t="s">
        <v>2013</v>
      </c>
      <c r="D388" s="88" t="s">
        <v>73</v>
      </c>
      <c r="E388" s="78" t="s">
        <v>1102</v>
      </c>
      <c r="F388" s="299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112">
        <v>66.39</v>
      </c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1:84" s="56" customFormat="1" x14ac:dyDescent="0.25">
      <c r="A389" s="299" t="s">
        <v>2009</v>
      </c>
      <c r="B389" s="299"/>
      <c r="C389" s="129" t="s">
        <v>2014</v>
      </c>
      <c r="D389" s="88" t="s">
        <v>73</v>
      </c>
      <c r="E389" s="78" t="s">
        <v>78</v>
      </c>
      <c r="F389" s="299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112">
        <v>31.38</v>
      </c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1:84" s="56" customFormat="1" x14ac:dyDescent="0.25">
      <c r="A390" s="299" t="s">
        <v>2009</v>
      </c>
      <c r="B390" s="299"/>
      <c r="C390" s="85" t="s">
        <v>2015</v>
      </c>
      <c r="D390" s="88" t="s">
        <v>73</v>
      </c>
      <c r="E390" s="78" t="s">
        <v>78</v>
      </c>
      <c r="F390" s="299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112">
        <v>41.94</v>
      </c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1:84" s="56" customFormat="1" x14ac:dyDescent="0.25">
      <c r="A391" s="299" t="s">
        <v>2009</v>
      </c>
      <c r="B391" s="299"/>
      <c r="C391" s="28" t="s">
        <v>2016</v>
      </c>
      <c r="D391" s="88" t="s">
        <v>73</v>
      </c>
      <c r="E391" s="78" t="s">
        <v>78</v>
      </c>
      <c r="F391" s="299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112">
        <v>55.1</v>
      </c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1:84" s="56" customFormat="1" x14ac:dyDescent="0.25">
      <c r="A392" s="299" t="s">
        <v>2009</v>
      </c>
      <c r="B392" s="299"/>
      <c r="C392" s="28" t="s">
        <v>2017</v>
      </c>
      <c r="D392" s="88" t="s">
        <v>73</v>
      </c>
      <c r="E392" s="78" t="s">
        <v>78</v>
      </c>
      <c r="F392" s="299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112">
        <v>27.84</v>
      </c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1:84" s="56" customFormat="1" x14ac:dyDescent="0.25">
      <c r="A393" s="299" t="s">
        <v>2009</v>
      </c>
      <c r="B393" s="299"/>
      <c r="C393" s="28" t="s">
        <v>2018</v>
      </c>
      <c r="D393" s="88" t="s">
        <v>73</v>
      </c>
      <c r="E393" s="78" t="s">
        <v>78</v>
      </c>
      <c r="F393" s="299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112">
        <v>40.369999999999997</v>
      </c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1:84" s="56" customFormat="1" x14ac:dyDescent="0.25">
      <c r="A394" s="299" t="s">
        <v>2009</v>
      </c>
      <c r="B394" s="299"/>
      <c r="C394" s="28" t="s">
        <v>2019</v>
      </c>
      <c r="D394" s="88" t="s">
        <v>73</v>
      </c>
      <c r="E394" s="78" t="s">
        <v>78</v>
      </c>
      <c r="F394" s="299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112">
        <v>49.43</v>
      </c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1:84" s="56" customFormat="1" x14ac:dyDescent="0.25">
      <c r="A395" s="299" t="s">
        <v>2009</v>
      </c>
      <c r="B395" s="299"/>
      <c r="C395" s="128" t="s">
        <v>2020</v>
      </c>
      <c r="D395" s="88" t="s">
        <v>73</v>
      </c>
      <c r="E395" s="78" t="s">
        <v>78</v>
      </c>
      <c r="F395" s="299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112">
        <v>35.75</v>
      </c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1:84" s="56" customFormat="1" x14ac:dyDescent="0.25">
      <c r="A396" s="299" t="s">
        <v>2009</v>
      </c>
      <c r="B396" s="299"/>
      <c r="C396" s="128" t="s">
        <v>2021</v>
      </c>
      <c r="D396" s="88" t="s">
        <v>73</v>
      </c>
      <c r="E396" s="78" t="s">
        <v>78</v>
      </c>
      <c r="F396" s="299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112">
        <v>35.83</v>
      </c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1:84" s="56" customFormat="1" x14ac:dyDescent="0.25">
      <c r="A397" s="299" t="s">
        <v>2009</v>
      </c>
      <c r="B397" s="299"/>
      <c r="C397" s="85" t="s">
        <v>1248</v>
      </c>
      <c r="D397" s="88" t="s">
        <v>73</v>
      </c>
      <c r="E397" s="78" t="s">
        <v>2022</v>
      </c>
      <c r="F397" s="299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112">
        <v>89.43</v>
      </c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</row>
    <row r="398" spans="1:84" s="56" customFormat="1" x14ac:dyDescent="0.25">
      <c r="A398" s="299" t="s">
        <v>2009</v>
      </c>
      <c r="B398" s="299"/>
      <c r="C398" s="128" t="s">
        <v>2023</v>
      </c>
      <c r="D398" s="88" t="s">
        <v>73</v>
      </c>
      <c r="E398" s="78" t="s">
        <v>2022</v>
      </c>
      <c r="F398" s="299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112">
        <v>29.67</v>
      </c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</row>
    <row r="399" spans="1:84" s="56" customFormat="1" x14ac:dyDescent="0.25">
      <c r="A399" s="299" t="s">
        <v>2009</v>
      </c>
      <c r="B399" s="299"/>
      <c r="C399" s="128" t="s">
        <v>2024</v>
      </c>
      <c r="D399" s="88" t="s">
        <v>73</v>
      </c>
      <c r="E399" s="78" t="s">
        <v>2022</v>
      </c>
      <c r="F399" s="299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112">
        <v>71.72</v>
      </c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</row>
    <row r="400" spans="1:84" s="56" customFormat="1" x14ac:dyDescent="0.25">
      <c r="A400" s="299" t="s">
        <v>2009</v>
      </c>
      <c r="B400" s="299"/>
      <c r="C400" s="28" t="s">
        <v>2025</v>
      </c>
      <c r="D400" s="88" t="s">
        <v>73</v>
      </c>
      <c r="E400" s="78" t="s">
        <v>2026</v>
      </c>
      <c r="F400" s="299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112">
        <v>35.67</v>
      </c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</row>
  </sheetData>
  <mergeCells count="97">
    <mergeCell ref="BB11:BF11"/>
    <mergeCell ref="BB12:BF12"/>
    <mergeCell ref="BB13:BF13"/>
    <mergeCell ref="BB14:BF14"/>
    <mergeCell ref="A5:F5"/>
    <mergeCell ref="G5:P5"/>
    <mergeCell ref="U5:AQ5"/>
    <mergeCell ref="AT5:AU5"/>
    <mergeCell ref="AV5:BA5"/>
    <mergeCell ref="BB10:BF10"/>
    <mergeCell ref="BB7:BF7"/>
    <mergeCell ref="BB8:BF8"/>
    <mergeCell ref="BG175:BK175"/>
    <mergeCell ref="BB5:BF5"/>
    <mergeCell ref="BG5:BK5"/>
    <mergeCell ref="BB124:BF124"/>
    <mergeCell ref="AR5:AS5"/>
    <mergeCell ref="BB24:BF24"/>
    <mergeCell ref="BB25:BF25"/>
    <mergeCell ref="BB26:BF26"/>
    <mergeCell ref="BB19:BF19"/>
    <mergeCell ref="BB20:BF20"/>
    <mergeCell ref="BB21:BF21"/>
    <mergeCell ref="BB22:BF22"/>
    <mergeCell ref="BB16:BF16"/>
    <mergeCell ref="BB17:BF17"/>
    <mergeCell ref="BB18:BF18"/>
    <mergeCell ref="BB9:BF9"/>
    <mergeCell ref="BB261:BF261"/>
    <mergeCell ref="BG155:BK155"/>
    <mergeCell ref="BG156:BK156"/>
    <mergeCell ref="BG157:BK157"/>
    <mergeCell ref="BB241:BF241"/>
    <mergeCell ref="BG191:BK191"/>
    <mergeCell ref="BB200:BF200"/>
    <mergeCell ref="BB215:BF215"/>
    <mergeCell ref="BB217:BF217"/>
    <mergeCell ref="BB223:BF223"/>
    <mergeCell ref="BB224:BF224"/>
    <mergeCell ref="BB225:BF225"/>
    <mergeCell ref="BB226:BF226"/>
    <mergeCell ref="BB227:BF227"/>
    <mergeCell ref="BB231:BF231"/>
    <mergeCell ref="BB236:BF236"/>
    <mergeCell ref="BB260:BF260"/>
    <mergeCell ref="BB244:BF244"/>
    <mergeCell ref="BB245:BF245"/>
    <mergeCell ref="BB246:BF246"/>
    <mergeCell ref="BB247:BF247"/>
    <mergeCell ref="BB248:BF248"/>
    <mergeCell ref="BB249:BF249"/>
    <mergeCell ref="BB250:BF250"/>
    <mergeCell ref="BB252:BE252"/>
    <mergeCell ref="BB257:BF257"/>
    <mergeCell ref="BB258:BF258"/>
    <mergeCell ref="BB259:BF259"/>
    <mergeCell ref="BB262:BF262"/>
    <mergeCell ref="BB265:BF265"/>
    <mergeCell ref="BB266:BF266"/>
    <mergeCell ref="BB267:BF267"/>
    <mergeCell ref="BB268:BF268"/>
    <mergeCell ref="BB310:BF310"/>
    <mergeCell ref="BB277:BF277"/>
    <mergeCell ref="BB278:BF278"/>
    <mergeCell ref="BB279:BF279"/>
    <mergeCell ref="BB280:BF280"/>
    <mergeCell ref="BB305:BF305"/>
    <mergeCell ref="BB308:BF308"/>
    <mergeCell ref="BB281:BF281"/>
    <mergeCell ref="BB275:BF275"/>
    <mergeCell ref="BL5:BU5"/>
    <mergeCell ref="BB353:BF353"/>
    <mergeCell ref="BB354:BF354"/>
    <mergeCell ref="BB341:BF341"/>
    <mergeCell ref="BB313:BF313"/>
    <mergeCell ref="BB314:BF314"/>
    <mergeCell ref="BB315:BF315"/>
    <mergeCell ref="BB316:BF316"/>
    <mergeCell ref="BB317:BF317"/>
    <mergeCell ref="BB340:BF340"/>
    <mergeCell ref="BB282:BF282"/>
    <mergeCell ref="BB283:BF283"/>
    <mergeCell ref="BB284:BF284"/>
    <mergeCell ref="BB299:BF299"/>
    <mergeCell ref="BB309:BF309"/>
    <mergeCell ref="BB355:BF355"/>
    <mergeCell ref="BB342:BF342"/>
    <mergeCell ref="BB343:BF343"/>
    <mergeCell ref="BB349:BF349"/>
    <mergeCell ref="BB350:BF350"/>
    <mergeCell ref="BB351:BF351"/>
    <mergeCell ref="BB352:BF352"/>
    <mergeCell ref="BB322:BF322"/>
    <mergeCell ref="BB330:BF330"/>
    <mergeCell ref="BB339:BF339"/>
    <mergeCell ref="BB323:BF323"/>
    <mergeCell ref="BB326:BF326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62"/>
  <sheetViews>
    <sheetView showGridLines="0" workbookViewId="0">
      <pane xSplit="1" ySplit="1" topLeftCell="B2" activePane="bottomRight" state="frozen"/>
      <selection activeCell="I22" sqref="I22"/>
      <selection pane="topRight" activeCell="I22" sqref="I22"/>
      <selection pane="bottomLeft" activeCell="I22" sqref="I22"/>
      <selection pane="bottomRight" activeCell="B2" sqref="B2"/>
    </sheetView>
  </sheetViews>
  <sheetFormatPr defaultRowHeight="15" x14ac:dyDescent="0.25"/>
  <cols>
    <col min="1" max="1" width="13.7109375" style="149" customWidth="1"/>
    <col min="2" max="2" width="20.28515625" style="149" customWidth="1"/>
    <col min="3" max="3" width="42.28515625" style="149" customWidth="1"/>
    <col min="4" max="256" width="9.140625" style="149"/>
    <col min="257" max="257" width="13.7109375" style="149" customWidth="1"/>
    <col min="258" max="258" width="12.28515625" style="149" bestFit="1" customWidth="1"/>
    <col min="259" max="512" width="9.140625" style="149"/>
    <col min="513" max="513" width="13.7109375" style="149" customWidth="1"/>
    <col min="514" max="514" width="12.28515625" style="149" bestFit="1" customWidth="1"/>
    <col min="515" max="768" width="9.140625" style="149"/>
    <col min="769" max="769" width="13.7109375" style="149" customWidth="1"/>
    <col min="770" max="770" width="12.28515625" style="149" bestFit="1" customWidth="1"/>
    <col min="771" max="1024" width="9.140625" style="149"/>
    <col min="1025" max="1025" width="13.7109375" style="149" customWidth="1"/>
    <col min="1026" max="1026" width="12.28515625" style="149" bestFit="1" customWidth="1"/>
    <col min="1027" max="1280" width="9.140625" style="149"/>
    <col min="1281" max="1281" width="13.7109375" style="149" customWidth="1"/>
    <col min="1282" max="1282" width="12.28515625" style="149" bestFit="1" customWidth="1"/>
    <col min="1283" max="1536" width="9.140625" style="149"/>
    <col min="1537" max="1537" width="13.7109375" style="149" customWidth="1"/>
    <col min="1538" max="1538" width="12.28515625" style="149" bestFit="1" customWidth="1"/>
    <col min="1539" max="1792" width="9.140625" style="149"/>
    <col min="1793" max="1793" width="13.7109375" style="149" customWidth="1"/>
    <col min="1794" max="1794" width="12.28515625" style="149" bestFit="1" customWidth="1"/>
    <col min="1795" max="2048" width="9.140625" style="149"/>
    <col min="2049" max="2049" width="13.7109375" style="149" customWidth="1"/>
    <col min="2050" max="2050" width="12.28515625" style="149" bestFit="1" customWidth="1"/>
    <col min="2051" max="2304" width="9.140625" style="149"/>
    <col min="2305" max="2305" width="13.7109375" style="149" customWidth="1"/>
    <col min="2306" max="2306" width="12.28515625" style="149" bestFit="1" customWidth="1"/>
    <col min="2307" max="2560" width="9.140625" style="149"/>
    <col min="2561" max="2561" width="13.7109375" style="149" customWidth="1"/>
    <col min="2562" max="2562" width="12.28515625" style="149" bestFit="1" customWidth="1"/>
    <col min="2563" max="2816" width="9.140625" style="149"/>
    <col min="2817" max="2817" width="13.7109375" style="149" customWidth="1"/>
    <col min="2818" max="2818" width="12.28515625" style="149" bestFit="1" customWidth="1"/>
    <col min="2819" max="3072" width="9.140625" style="149"/>
    <col min="3073" max="3073" width="13.7109375" style="149" customWidth="1"/>
    <col min="3074" max="3074" width="12.28515625" style="149" bestFit="1" customWidth="1"/>
    <col min="3075" max="3328" width="9.140625" style="149"/>
    <col min="3329" max="3329" width="13.7109375" style="149" customWidth="1"/>
    <col min="3330" max="3330" width="12.28515625" style="149" bestFit="1" customWidth="1"/>
    <col min="3331" max="3584" width="9.140625" style="149"/>
    <col min="3585" max="3585" width="13.7109375" style="149" customWidth="1"/>
    <col min="3586" max="3586" width="12.28515625" style="149" bestFit="1" customWidth="1"/>
    <col min="3587" max="3840" width="9.140625" style="149"/>
    <col min="3841" max="3841" width="13.7109375" style="149" customWidth="1"/>
    <col min="3842" max="3842" width="12.28515625" style="149" bestFit="1" customWidth="1"/>
    <col min="3843" max="4096" width="9.140625" style="149"/>
    <col min="4097" max="4097" width="13.7109375" style="149" customWidth="1"/>
    <col min="4098" max="4098" width="12.28515625" style="149" bestFit="1" customWidth="1"/>
    <col min="4099" max="4352" width="9.140625" style="149"/>
    <col min="4353" max="4353" width="13.7109375" style="149" customWidth="1"/>
    <col min="4354" max="4354" width="12.28515625" style="149" bestFit="1" customWidth="1"/>
    <col min="4355" max="4608" width="9.140625" style="149"/>
    <col min="4609" max="4609" width="13.7109375" style="149" customWidth="1"/>
    <col min="4610" max="4610" width="12.28515625" style="149" bestFit="1" customWidth="1"/>
    <col min="4611" max="4864" width="9.140625" style="149"/>
    <col min="4865" max="4865" width="13.7109375" style="149" customWidth="1"/>
    <col min="4866" max="4866" width="12.28515625" style="149" bestFit="1" customWidth="1"/>
    <col min="4867" max="5120" width="9.140625" style="149"/>
    <col min="5121" max="5121" width="13.7109375" style="149" customWidth="1"/>
    <col min="5122" max="5122" width="12.28515625" style="149" bestFit="1" customWidth="1"/>
    <col min="5123" max="5376" width="9.140625" style="149"/>
    <col min="5377" max="5377" width="13.7109375" style="149" customWidth="1"/>
    <col min="5378" max="5378" width="12.28515625" style="149" bestFit="1" customWidth="1"/>
    <col min="5379" max="5632" width="9.140625" style="149"/>
    <col min="5633" max="5633" width="13.7109375" style="149" customWidth="1"/>
    <col min="5634" max="5634" width="12.28515625" style="149" bestFit="1" customWidth="1"/>
    <col min="5635" max="5888" width="9.140625" style="149"/>
    <col min="5889" max="5889" width="13.7109375" style="149" customWidth="1"/>
    <col min="5890" max="5890" width="12.28515625" style="149" bestFit="1" customWidth="1"/>
    <col min="5891" max="6144" width="9.140625" style="149"/>
    <col min="6145" max="6145" width="13.7109375" style="149" customWidth="1"/>
    <col min="6146" max="6146" width="12.28515625" style="149" bestFit="1" customWidth="1"/>
    <col min="6147" max="6400" width="9.140625" style="149"/>
    <col min="6401" max="6401" width="13.7109375" style="149" customWidth="1"/>
    <col min="6402" max="6402" width="12.28515625" style="149" bestFit="1" customWidth="1"/>
    <col min="6403" max="6656" width="9.140625" style="149"/>
    <col min="6657" max="6657" width="13.7109375" style="149" customWidth="1"/>
    <col min="6658" max="6658" width="12.28515625" style="149" bestFit="1" customWidth="1"/>
    <col min="6659" max="6912" width="9.140625" style="149"/>
    <col min="6913" max="6913" width="13.7109375" style="149" customWidth="1"/>
    <col min="6914" max="6914" width="12.28515625" style="149" bestFit="1" customWidth="1"/>
    <col min="6915" max="7168" width="9.140625" style="149"/>
    <col min="7169" max="7169" width="13.7109375" style="149" customWidth="1"/>
    <col min="7170" max="7170" width="12.28515625" style="149" bestFit="1" customWidth="1"/>
    <col min="7171" max="7424" width="9.140625" style="149"/>
    <col min="7425" max="7425" width="13.7109375" style="149" customWidth="1"/>
    <col min="7426" max="7426" width="12.28515625" style="149" bestFit="1" customWidth="1"/>
    <col min="7427" max="7680" width="9.140625" style="149"/>
    <col min="7681" max="7681" width="13.7109375" style="149" customWidth="1"/>
    <col min="7682" max="7682" width="12.28515625" style="149" bestFit="1" customWidth="1"/>
    <col min="7683" max="7936" width="9.140625" style="149"/>
    <col min="7937" max="7937" width="13.7109375" style="149" customWidth="1"/>
    <col min="7938" max="7938" width="12.28515625" style="149" bestFit="1" customWidth="1"/>
    <col min="7939" max="8192" width="9.140625" style="149"/>
    <col min="8193" max="8193" width="13.7109375" style="149" customWidth="1"/>
    <col min="8194" max="8194" width="12.28515625" style="149" bestFit="1" customWidth="1"/>
    <col min="8195" max="8448" width="9.140625" style="149"/>
    <col min="8449" max="8449" width="13.7109375" style="149" customWidth="1"/>
    <col min="8450" max="8450" width="12.28515625" style="149" bestFit="1" customWidth="1"/>
    <col min="8451" max="8704" width="9.140625" style="149"/>
    <col min="8705" max="8705" width="13.7109375" style="149" customWidth="1"/>
    <col min="8706" max="8706" width="12.28515625" style="149" bestFit="1" customWidth="1"/>
    <col min="8707" max="8960" width="9.140625" style="149"/>
    <col min="8961" max="8961" width="13.7109375" style="149" customWidth="1"/>
    <col min="8962" max="8962" width="12.28515625" style="149" bestFit="1" customWidth="1"/>
    <col min="8963" max="9216" width="9.140625" style="149"/>
    <col min="9217" max="9217" width="13.7109375" style="149" customWidth="1"/>
    <col min="9218" max="9218" width="12.28515625" style="149" bestFit="1" customWidth="1"/>
    <col min="9219" max="9472" width="9.140625" style="149"/>
    <col min="9473" max="9473" width="13.7109375" style="149" customWidth="1"/>
    <col min="9474" max="9474" width="12.28515625" style="149" bestFit="1" customWidth="1"/>
    <col min="9475" max="9728" width="9.140625" style="149"/>
    <col min="9729" max="9729" width="13.7109375" style="149" customWidth="1"/>
    <col min="9730" max="9730" width="12.28515625" style="149" bestFit="1" customWidth="1"/>
    <col min="9731" max="9984" width="9.140625" style="149"/>
    <col min="9985" max="9985" width="13.7109375" style="149" customWidth="1"/>
    <col min="9986" max="9986" width="12.28515625" style="149" bestFit="1" customWidth="1"/>
    <col min="9987" max="10240" width="9.140625" style="149"/>
    <col min="10241" max="10241" width="13.7109375" style="149" customWidth="1"/>
    <col min="10242" max="10242" width="12.28515625" style="149" bestFit="1" customWidth="1"/>
    <col min="10243" max="10496" width="9.140625" style="149"/>
    <col min="10497" max="10497" width="13.7109375" style="149" customWidth="1"/>
    <col min="10498" max="10498" width="12.28515625" style="149" bestFit="1" customWidth="1"/>
    <col min="10499" max="10752" width="9.140625" style="149"/>
    <col min="10753" max="10753" width="13.7109375" style="149" customWidth="1"/>
    <col min="10754" max="10754" width="12.28515625" style="149" bestFit="1" customWidth="1"/>
    <col min="10755" max="11008" width="9.140625" style="149"/>
    <col min="11009" max="11009" width="13.7109375" style="149" customWidth="1"/>
    <col min="11010" max="11010" width="12.28515625" style="149" bestFit="1" customWidth="1"/>
    <col min="11011" max="11264" width="9.140625" style="149"/>
    <col min="11265" max="11265" width="13.7109375" style="149" customWidth="1"/>
    <col min="11266" max="11266" width="12.28515625" style="149" bestFit="1" customWidth="1"/>
    <col min="11267" max="11520" width="9.140625" style="149"/>
    <col min="11521" max="11521" width="13.7109375" style="149" customWidth="1"/>
    <col min="11522" max="11522" width="12.28515625" style="149" bestFit="1" customWidth="1"/>
    <col min="11523" max="11776" width="9.140625" style="149"/>
    <col min="11777" max="11777" width="13.7109375" style="149" customWidth="1"/>
    <col min="11778" max="11778" width="12.28515625" style="149" bestFit="1" customWidth="1"/>
    <col min="11779" max="12032" width="9.140625" style="149"/>
    <col min="12033" max="12033" width="13.7109375" style="149" customWidth="1"/>
    <col min="12034" max="12034" width="12.28515625" style="149" bestFit="1" customWidth="1"/>
    <col min="12035" max="12288" width="9.140625" style="149"/>
    <col min="12289" max="12289" width="13.7109375" style="149" customWidth="1"/>
    <col min="12290" max="12290" width="12.28515625" style="149" bestFit="1" customWidth="1"/>
    <col min="12291" max="12544" width="9.140625" style="149"/>
    <col min="12545" max="12545" width="13.7109375" style="149" customWidth="1"/>
    <col min="12546" max="12546" width="12.28515625" style="149" bestFit="1" customWidth="1"/>
    <col min="12547" max="12800" width="9.140625" style="149"/>
    <col min="12801" max="12801" width="13.7109375" style="149" customWidth="1"/>
    <col min="12802" max="12802" width="12.28515625" style="149" bestFit="1" customWidth="1"/>
    <col min="12803" max="13056" width="9.140625" style="149"/>
    <col min="13057" max="13057" width="13.7109375" style="149" customWidth="1"/>
    <col min="13058" max="13058" width="12.28515625" style="149" bestFit="1" customWidth="1"/>
    <col min="13059" max="13312" width="9.140625" style="149"/>
    <col min="13313" max="13313" width="13.7109375" style="149" customWidth="1"/>
    <col min="13314" max="13314" width="12.28515625" style="149" bestFit="1" customWidth="1"/>
    <col min="13315" max="13568" width="9.140625" style="149"/>
    <col min="13569" max="13569" width="13.7109375" style="149" customWidth="1"/>
    <col min="13570" max="13570" width="12.28515625" style="149" bestFit="1" customWidth="1"/>
    <col min="13571" max="13824" width="9.140625" style="149"/>
    <col min="13825" max="13825" width="13.7109375" style="149" customWidth="1"/>
    <col min="13826" max="13826" width="12.28515625" style="149" bestFit="1" customWidth="1"/>
    <col min="13827" max="14080" width="9.140625" style="149"/>
    <col min="14081" max="14081" width="13.7109375" style="149" customWidth="1"/>
    <col min="14082" max="14082" width="12.28515625" style="149" bestFit="1" customWidth="1"/>
    <col min="14083" max="14336" width="9.140625" style="149"/>
    <col min="14337" max="14337" width="13.7109375" style="149" customWidth="1"/>
    <col min="14338" max="14338" width="12.28515625" style="149" bestFit="1" customWidth="1"/>
    <col min="14339" max="14592" width="9.140625" style="149"/>
    <col min="14593" max="14593" width="13.7109375" style="149" customWidth="1"/>
    <col min="14594" max="14594" width="12.28515625" style="149" bestFit="1" customWidth="1"/>
    <col min="14595" max="14848" width="9.140625" style="149"/>
    <col min="14849" max="14849" width="13.7109375" style="149" customWidth="1"/>
    <col min="14850" max="14850" width="12.28515625" style="149" bestFit="1" customWidth="1"/>
    <col min="14851" max="15104" width="9.140625" style="149"/>
    <col min="15105" max="15105" width="13.7109375" style="149" customWidth="1"/>
    <col min="15106" max="15106" width="12.28515625" style="149" bestFit="1" customWidth="1"/>
    <col min="15107" max="15360" width="9.140625" style="149"/>
    <col min="15361" max="15361" width="13.7109375" style="149" customWidth="1"/>
    <col min="15362" max="15362" width="12.28515625" style="149" bestFit="1" customWidth="1"/>
    <col min="15363" max="15616" width="9.140625" style="149"/>
    <col min="15617" max="15617" width="13.7109375" style="149" customWidth="1"/>
    <col min="15618" max="15618" width="12.28515625" style="149" bestFit="1" customWidth="1"/>
    <col min="15619" max="15872" width="9.140625" style="149"/>
    <col min="15873" max="15873" width="13.7109375" style="149" customWidth="1"/>
    <col min="15874" max="15874" width="12.28515625" style="149" bestFit="1" customWidth="1"/>
    <col min="15875" max="16128" width="9.140625" style="149"/>
    <col min="16129" max="16129" width="13.7109375" style="149" customWidth="1"/>
    <col min="16130" max="16130" width="12.28515625" style="149" bestFit="1" customWidth="1"/>
    <col min="16131" max="16384" width="9.140625" style="149"/>
  </cols>
  <sheetData>
    <row r="1" spans="1:3" x14ac:dyDescent="0.25">
      <c r="A1" s="150" t="s">
        <v>0</v>
      </c>
      <c r="B1" s="151" t="s">
        <v>243</v>
      </c>
      <c r="C1" s="152" t="s">
        <v>75</v>
      </c>
    </row>
    <row r="2" spans="1:3" x14ac:dyDescent="0.25">
      <c r="A2" s="240" t="s">
        <v>2220</v>
      </c>
      <c r="B2" s="367" t="s">
        <v>332</v>
      </c>
      <c r="C2" s="232" t="s">
        <v>2211</v>
      </c>
    </row>
    <row r="3" spans="1:3" x14ac:dyDescent="0.25">
      <c r="A3" s="233" t="s">
        <v>2218</v>
      </c>
      <c r="B3" s="367" t="s">
        <v>332</v>
      </c>
      <c r="C3" s="217" t="s">
        <v>117</v>
      </c>
    </row>
    <row r="4" spans="1:3" x14ac:dyDescent="0.25">
      <c r="A4" s="233" t="s">
        <v>2212</v>
      </c>
      <c r="B4" s="367" t="s">
        <v>332</v>
      </c>
      <c r="C4" s="217" t="s">
        <v>117</v>
      </c>
    </row>
    <row r="5" spans="1:3" x14ac:dyDescent="0.25">
      <c r="A5" s="233" t="s">
        <v>1025</v>
      </c>
      <c r="B5" s="367" t="s">
        <v>332</v>
      </c>
      <c r="C5" s="217" t="s">
        <v>117</v>
      </c>
    </row>
    <row r="6" spans="1:3" x14ac:dyDescent="0.25">
      <c r="A6" s="233" t="s">
        <v>2210</v>
      </c>
      <c r="B6" s="367" t="s">
        <v>332</v>
      </c>
      <c r="C6" s="217" t="s">
        <v>117</v>
      </c>
    </row>
    <row r="7" spans="1:3" x14ac:dyDescent="0.25">
      <c r="A7" s="233" t="s">
        <v>2208</v>
      </c>
      <c r="B7" s="367" t="s">
        <v>332</v>
      </c>
      <c r="C7" s="232" t="s">
        <v>2211</v>
      </c>
    </row>
    <row r="8" spans="1:3" x14ac:dyDescent="0.25">
      <c r="A8" s="149" t="s">
        <v>331</v>
      </c>
      <c r="B8" s="238" t="s">
        <v>332</v>
      </c>
      <c r="C8" s="149" t="s">
        <v>117</v>
      </c>
    </row>
    <row r="9" spans="1:3" x14ac:dyDescent="0.25">
      <c r="A9" s="149" t="s">
        <v>333</v>
      </c>
      <c r="B9" s="238" t="s">
        <v>332</v>
      </c>
      <c r="C9" s="149" t="s">
        <v>117</v>
      </c>
    </row>
    <row r="10" spans="1:3" x14ac:dyDescent="0.25">
      <c r="A10" s="149" t="s">
        <v>334</v>
      </c>
      <c r="B10" s="238" t="s">
        <v>332</v>
      </c>
      <c r="C10" s="149" t="s">
        <v>117</v>
      </c>
    </row>
    <row r="11" spans="1:3" x14ac:dyDescent="0.25">
      <c r="A11" s="149" t="s">
        <v>335</v>
      </c>
      <c r="B11" s="238" t="s">
        <v>332</v>
      </c>
      <c r="C11" s="149" t="s">
        <v>117</v>
      </c>
    </row>
    <row r="12" spans="1:3" x14ac:dyDescent="0.25">
      <c r="A12" s="149" t="s">
        <v>336</v>
      </c>
      <c r="B12" s="238" t="s">
        <v>332</v>
      </c>
      <c r="C12" s="149" t="s">
        <v>117</v>
      </c>
    </row>
    <row r="13" spans="1:3" x14ac:dyDescent="0.25">
      <c r="A13" s="149" t="s">
        <v>337</v>
      </c>
      <c r="B13" s="238" t="s">
        <v>332</v>
      </c>
      <c r="C13" s="149" t="s">
        <v>117</v>
      </c>
    </row>
    <row r="14" spans="1:3" x14ac:dyDescent="0.25">
      <c r="A14" s="149" t="s">
        <v>338</v>
      </c>
      <c r="B14" s="238" t="s">
        <v>332</v>
      </c>
      <c r="C14" s="149" t="s">
        <v>117</v>
      </c>
    </row>
    <row r="15" spans="1:3" x14ac:dyDescent="0.25">
      <c r="A15" s="149" t="s">
        <v>339</v>
      </c>
      <c r="B15" s="238" t="s">
        <v>332</v>
      </c>
      <c r="C15" s="149" t="s">
        <v>117</v>
      </c>
    </row>
    <row r="16" spans="1:3" x14ac:dyDescent="0.25">
      <c r="A16" s="149" t="s">
        <v>340</v>
      </c>
      <c r="B16" s="238" t="s">
        <v>332</v>
      </c>
      <c r="C16" s="149" t="s">
        <v>117</v>
      </c>
    </row>
    <row r="17" spans="1:3" x14ac:dyDescent="0.25">
      <c r="A17" s="149" t="s">
        <v>341</v>
      </c>
      <c r="B17" s="238" t="s">
        <v>332</v>
      </c>
      <c r="C17" s="149" t="s">
        <v>117</v>
      </c>
    </row>
    <row r="18" spans="1:3" x14ac:dyDescent="0.25">
      <c r="A18" s="149" t="s">
        <v>342</v>
      </c>
      <c r="B18" s="238" t="s">
        <v>332</v>
      </c>
      <c r="C18" s="149" t="s">
        <v>117</v>
      </c>
    </row>
    <row r="19" spans="1:3" x14ac:dyDescent="0.25">
      <c r="A19" s="149" t="s">
        <v>343</v>
      </c>
      <c r="B19" s="238" t="s">
        <v>332</v>
      </c>
      <c r="C19" s="149" t="s">
        <v>117</v>
      </c>
    </row>
    <row r="20" spans="1:3" x14ac:dyDescent="0.25">
      <c r="A20" s="149" t="s">
        <v>344</v>
      </c>
      <c r="B20" s="238" t="s">
        <v>332</v>
      </c>
      <c r="C20" s="149" t="s">
        <v>117</v>
      </c>
    </row>
    <row r="21" spans="1:3" x14ac:dyDescent="0.25">
      <c r="A21" s="149" t="s">
        <v>345</v>
      </c>
      <c r="B21" s="238" t="s">
        <v>332</v>
      </c>
      <c r="C21" s="149" t="s">
        <v>117</v>
      </c>
    </row>
    <row r="22" spans="1:3" x14ac:dyDescent="0.25">
      <c r="A22" s="149" t="s">
        <v>346</v>
      </c>
      <c r="B22" s="238" t="s">
        <v>332</v>
      </c>
      <c r="C22" s="149" t="s">
        <v>117</v>
      </c>
    </row>
    <row r="23" spans="1:3" x14ac:dyDescent="0.25">
      <c r="A23" s="149" t="s">
        <v>347</v>
      </c>
      <c r="B23" s="238" t="s">
        <v>332</v>
      </c>
      <c r="C23" s="149" t="s">
        <v>117</v>
      </c>
    </row>
    <row r="24" spans="1:3" x14ac:dyDescent="0.25">
      <c r="A24" s="149" t="s">
        <v>348</v>
      </c>
      <c r="B24" s="238" t="s">
        <v>332</v>
      </c>
      <c r="C24" s="149" t="s">
        <v>117</v>
      </c>
    </row>
    <row r="25" spans="1:3" x14ac:dyDescent="0.25">
      <c r="A25" s="149" t="s">
        <v>349</v>
      </c>
      <c r="B25" s="238" t="s">
        <v>332</v>
      </c>
      <c r="C25" s="149" t="s">
        <v>117</v>
      </c>
    </row>
    <row r="26" spans="1:3" x14ac:dyDescent="0.25">
      <c r="A26" s="149" t="s">
        <v>350</v>
      </c>
      <c r="B26" s="238" t="s">
        <v>332</v>
      </c>
      <c r="C26" s="149" t="s">
        <v>117</v>
      </c>
    </row>
    <row r="27" spans="1:3" x14ac:dyDescent="0.25">
      <c r="A27" s="149" t="s">
        <v>351</v>
      </c>
      <c r="B27" s="238" t="s">
        <v>332</v>
      </c>
      <c r="C27" s="149" t="s">
        <v>117</v>
      </c>
    </row>
    <row r="28" spans="1:3" x14ac:dyDescent="0.25">
      <c r="A28" s="149" t="s">
        <v>352</v>
      </c>
      <c r="B28" s="238" t="s">
        <v>332</v>
      </c>
      <c r="C28" s="149" t="s">
        <v>117</v>
      </c>
    </row>
    <row r="29" spans="1:3" x14ac:dyDescent="0.25">
      <c r="A29" s="149" t="s">
        <v>353</v>
      </c>
      <c r="B29" s="238" t="s">
        <v>332</v>
      </c>
      <c r="C29" s="149" t="s">
        <v>117</v>
      </c>
    </row>
    <row r="30" spans="1:3" x14ac:dyDescent="0.25">
      <c r="A30" s="149" t="s">
        <v>354</v>
      </c>
      <c r="B30" s="238" t="s">
        <v>332</v>
      </c>
      <c r="C30" s="149" t="s">
        <v>117</v>
      </c>
    </row>
    <row r="31" spans="1:3" x14ac:dyDescent="0.25">
      <c r="A31" s="149" t="s">
        <v>355</v>
      </c>
      <c r="B31" s="238" t="s">
        <v>332</v>
      </c>
      <c r="C31" s="149" t="s">
        <v>117</v>
      </c>
    </row>
    <row r="32" spans="1:3" x14ac:dyDescent="0.25">
      <c r="A32" s="149" t="s">
        <v>356</v>
      </c>
      <c r="B32" s="238" t="s">
        <v>332</v>
      </c>
      <c r="C32" s="149" t="s">
        <v>117</v>
      </c>
    </row>
    <row r="33" spans="1:3" x14ac:dyDescent="0.25">
      <c r="A33" s="149" t="s">
        <v>357</v>
      </c>
      <c r="B33" s="238" t="s">
        <v>332</v>
      </c>
      <c r="C33" s="149" t="s">
        <v>117</v>
      </c>
    </row>
    <row r="34" spans="1:3" x14ac:dyDescent="0.25">
      <c r="A34" s="149" t="s">
        <v>358</v>
      </c>
      <c r="B34" s="238" t="s">
        <v>332</v>
      </c>
      <c r="C34" s="149" t="s">
        <v>117</v>
      </c>
    </row>
    <row r="35" spans="1:3" x14ac:dyDescent="0.25">
      <c r="A35" s="149" t="s">
        <v>359</v>
      </c>
      <c r="B35" s="238" t="s">
        <v>332</v>
      </c>
      <c r="C35" s="149" t="s">
        <v>117</v>
      </c>
    </row>
    <row r="36" spans="1:3" x14ac:dyDescent="0.25">
      <c r="A36" s="149" t="s">
        <v>360</v>
      </c>
      <c r="B36" s="238" t="s">
        <v>332</v>
      </c>
      <c r="C36" s="149" t="s">
        <v>117</v>
      </c>
    </row>
    <row r="37" spans="1:3" x14ac:dyDescent="0.25">
      <c r="A37" s="149" t="s">
        <v>361</v>
      </c>
      <c r="B37" s="238" t="s">
        <v>332</v>
      </c>
      <c r="C37" s="149" t="s">
        <v>117</v>
      </c>
    </row>
    <row r="38" spans="1:3" x14ac:dyDescent="0.25">
      <c r="A38" s="149" t="s">
        <v>362</v>
      </c>
      <c r="B38" s="238" t="s">
        <v>332</v>
      </c>
      <c r="C38" s="149" t="s">
        <v>117</v>
      </c>
    </row>
    <row r="39" spans="1:3" x14ac:dyDescent="0.25">
      <c r="A39" s="149" t="s">
        <v>363</v>
      </c>
      <c r="B39" s="238" t="s">
        <v>332</v>
      </c>
      <c r="C39" s="149" t="s">
        <v>117</v>
      </c>
    </row>
    <row r="40" spans="1:3" x14ac:dyDescent="0.25">
      <c r="A40" s="149" t="s">
        <v>364</v>
      </c>
      <c r="B40" s="238" t="s">
        <v>332</v>
      </c>
      <c r="C40" s="149" t="s">
        <v>117</v>
      </c>
    </row>
    <row r="41" spans="1:3" x14ac:dyDescent="0.25">
      <c r="A41" s="149" t="s">
        <v>365</v>
      </c>
      <c r="B41" s="238" t="s">
        <v>332</v>
      </c>
      <c r="C41" s="149" t="s">
        <v>117</v>
      </c>
    </row>
    <row r="42" spans="1:3" x14ac:dyDescent="0.25">
      <c r="A42" s="149" t="s">
        <v>366</v>
      </c>
      <c r="B42" s="238" t="s">
        <v>332</v>
      </c>
      <c r="C42" s="149" t="s">
        <v>117</v>
      </c>
    </row>
    <row r="43" spans="1:3" x14ac:dyDescent="0.25">
      <c r="A43" s="149" t="s">
        <v>367</v>
      </c>
      <c r="B43" s="238" t="s">
        <v>332</v>
      </c>
      <c r="C43" s="149" t="s">
        <v>117</v>
      </c>
    </row>
    <row r="44" spans="1:3" x14ac:dyDescent="0.25">
      <c r="A44" s="149" t="s">
        <v>368</v>
      </c>
      <c r="B44" s="238" t="s">
        <v>332</v>
      </c>
      <c r="C44" s="149" t="s">
        <v>117</v>
      </c>
    </row>
    <row r="45" spans="1:3" x14ac:dyDescent="0.25">
      <c r="A45" s="149" t="s">
        <v>369</v>
      </c>
      <c r="B45" s="238" t="s">
        <v>332</v>
      </c>
      <c r="C45" s="149" t="s">
        <v>117</v>
      </c>
    </row>
    <row r="46" spans="1:3" x14ac:dyDescent="0.25">
      <c r="A46" s="149" t="s">
        <v>370</v>
      </c>
      <c r="B46" s="238" t="s">
        <v>332</v>
      </c>
      <c r="C46" s="149" t="s">
        <v>117</v>
      </c>
    </row>
    <row r="47" spans="1:3" x14ac:dyDescent="0.25">
      <c r="A47" s="149" t="s">
        <v>371</v>
      </c>
      <c r="B47" s="238" t="s">
        <v>332</v>
      </c>
      <c r="C47" s="149" t="s">
        <v>117</v>
      </c>
    </row>
    <row r="48" spans="1:3" x14ac:dyDescent="0.25">
      <c r="A48" s="149" t="s">
        <v>372</v>
      </c>
      <c r="B48" s="238" t="s">
        <v>332</v>
      </c>
      <c r="C48" s="149" t="s">
        <v>117</v>
      </c>
    </row>
    <row r="49" spans="1:3" x14ac:dyDescent="0.25">
      <c r="A49" s="149" t="s">
        <v>373</v>
      </c>
      <c r="B49" s="238" t="s">
        <v>332</v>
      </c>
      <c r="C49" s="149" t="s">
        <v>117</v>
      </c>
    </row>
    <row r="50" spans="1:3" x14ac:dyDescent="0.25">
      <c r="A50" s="149" t="s">
        <v>374</v>
      </c>
      <c r="B50" s="238" t="s">
        <v>332</v>
      </c>
      <c r="C50" s="149" t="s">
        <v>117</v>
      </c>
    </row>
    <row r="51" spans="1:3" x14ac:dyDescent="0.25">
      <c r="A51" s="149" t="s">
        <v>375</v>
      </c>
      <c r="B51" s="238" t="s">
        <v>332</v>
      </c>
      <c r="C51" s="149" t="s">
        <v>117</v>
      </c>
    </row>
    <row r="52" spans="1:3" x14ac:dyDescent="0.25">
      <c r="A52" s="149" t="s">
        <v>376</v>
      </c>
      <c r="B52" s="238" t="s">
        <v>332</v>
      </c>
      <c r="C52" s="149" t="s">
        <v>117</v>
      </c>
    </row>
    <row r="53" spans="1:3" x14ac:dyDescent="0.25">
      <c r="A53" s="149" t="s">
        <v>377</v>
      </c>
      <c r="B53" s="238" t="s">
        <v>332</v>
      </c>
      <c r="C53" s="149" t="s">
        <v>117</v>
      </c>
    </row>
    <row r="54" spans="1:3" x14ac:dyDescent="0.25">
      <c r="A54" s="149" t="s">
        <v>378</v>
      </c>
      <c r="B54" s="238" t="s">
        <v>332</v>
      </c>
      <c r="C54" s="149" t="s">
        <v>117</v>
      </c>
    </row>
    <row r="55" spans="1:3" x14ac:dyDescent="0.25">
      <c r="A55" s="149" t="s">
        <v>379</v>
      </c>
      <c r="B55" s="238" t="s">
        <v>332</v>
      </c>
      <c r="C55" s="149" t="s">
        <v>117</v>
      </c>
    </row>
    <row r="56" spans="1:3" x14ac:dyDescent="0.25">
      <c r="A56" s="149" t="s">
        <v>380</v>
      </c>
      <c r="B56" s="238" t="s">
        <v>332</v>
      </c>
      <c r="C56" s="149" t="s">
        <v>117</v>
      </c>
    </row>
    <row r="57" spans="1:3" x14ac:dyDescent="0.25">
      <c r="A57" s="149" t="s">
        <v>381</v>
      </c>
      <c r="B57" s="238" t="s">
        <v>332</v>
      </c>
      <c r="C57" s="149" t="s">
        <v>117</v>
      </c>
    </row>
    <row r="58" spans="1:3" x14ac:dyDescent="0.25">
      <c r="A58" s="149" t="s">
        <v>382</v>
      </c>
      <c r="B58" s="238" t="s">
        <v>332</v>
      </c>
      <c r="C58" s="149" t="s">
        <v>117</v>
      </c>
    </row>
    <row r="59" spans="1:3" x14ac:dyDescent="0.25">
      <c r="A59" s="149" t="s">
        <v>383</v>
      </c>
      <c r="B59" s="238" t="s">
        <v>332</v>
      </c>
      <c r="C59" s="149" t="s">
        <v>117</v>
      </c>
    </row>
    <row r="60" spans="1:3" x14ac:dyDescent="0.25">
      <c r="A60" s="149" t="s">
        <v>384</v>
      </c>
      <c r="B60" s="238" t="s">
        <v>332</v>
      </c>
      <c r="C60" s="149" t="s">
        <v>117</v>
      </c>
    </row>
    <row r="61" spans="1:3" x14ac:dyDescent="0.25">
      <c r="A61" s="149" t="s">
        <v>385</v>
      </c>
      <c r="B61" s="238" t="s">
        <v>332</v>
      </c>
      <c r="C61" s="149" t="s">
        <v>117</v>
      </c>
    </row>
    <row r="62" spans="1:3" x14ac:dyDescent="0.25">
      <c r="A62" s="149" t="s">
        <v>386</v>
      </c>
      <c r="B62" s="238" t="s">
        <v>332</v>
      </c>
      <c r="C62" s="149" t="s">
        <v>117</v>
      </c>
    </row>
    <row r="63" spans="1:3" x14ac:dyDescent="0.25">
      <c r="A63" s="149" t="s">
        <v>387</v>
      </c>
      <c r="B63" s="238" t="s">
        <v>332</v>
      </c>
      <c r="C63" s="149" t="s">
        <v>117</v>
      </c>
    </row>
    <row r="64" spans="1:3" x14ac:dyDescent="0.25">
      <c r="A64" s="149" t="s">
        <v>388</v>
      </c>
      <c r="B64" s="238" t="s">
        <v>332</v>
      </c>
      <c r="C64" s="149" t="s">
        <v>117</v>
      </c>
    </row>
    <row r="65" spans="1:3" x14ac:dyDescent="0.25">
      <c r="A65" s="149" t="s">
        <v>389</v>
      </c>
      <c r="B65" s="238" t="s">
        <v>332</v>
      </c>
      <c r="C65" s="149" t="s">
        <v>117</v>
      </c>
    </row>
    <row r="66" spans="1:3" x14ac:dyDescent="0.25">
      <c r="A66" s="149" t="s">
        <v>390</v>
      </c>
      <c r="B66" s="238" t="s">
        <v>332</v>
      </c>
      <c r="C66" s="149" t="s">
        <v>117</v>
      </c>
    </row>
    <row r="67" spans="1:3" x14ac:dyDescent="0.25">
      <c r="A67" s="149" t="s">
        <v>391</v>
      </c>
      <c r="B67" s="238" t="s">
        <v>332</v>
      </c>
      <c r="C67" s="149" t="s">
        <v>117</v>
      </c>
    </row>
    <row r="68" spans="1:3" x14ac:dyDescent="0.25">
      <c r="A68" s="149" t="s">
        <v>392</v>
      </c>
      <c r="B68" s="238" t="s">
        <v>332</v>
      </c>
      <c r="C68" s="149" t="s">
        <v>117</v>
      </c>
    </row>
    <row r="69" spans="1:3" x14ac:dyDescent="0.25">
      <c r="A69" s="149" t="s">
        <v>393</v>
      </c>
      <c r="B69" s="238" t="s">
        <v>332</v>
      </c>
      <c r="C69" s="149" t="s">
        <v>117</v>
      </c>
    </row>
    <row r="70" spans="1:3" x14ac:dyDescent="0.25">
      <c r="A70" s="149" t="s">
        <v>394</v>
      </c>
      <c r="B70" s="238" t="s">
        <v>332</v>
      </c>
      <c r="C70" s="149" t="s">
        <v>117</v>
      </c>
    </row>
    <row r="71" spans="1:3" x14ac:dyDescent="0.25">
      <c r="A71" s="149" t="s">
        <v>395</v>
      </c>
      <c r="B71" s="238" t="s">
        <v>332</v>
      </c>
      <c r="C71" s="149" t="s">
        <v>117</v>
      </c>
    </row>
    <row r="72" spans="1:3" x14ac:dyDescent="0.25">
      <c r="A72" s="149" t="s">
        <v>396</v>
      </c>
      <c r="B72" s="238" t="s">
        <v>332</v>
      </c>
      <c r="C72" s="149" t="s">
        <v>117</v>
      </c>
    </row>
    <row r="73" spans="1:3" x14ac:dyDescent="0.25">
      <c r="A73" s="149" t="s">
        <v>397</v>
      </c>
      <c r="B73" s="238" t="s">
        <v>332</v>
      </c>
      <c r="C73" s="149" t="s">
        <v>117</v>
      </c>
    </row>
    <row r="74" spans="1:3" x14ac:dyDescent="0.25">
      <c r="A74" s="149" t="s">
        <v>398</v>
      </c>
      <c r="B74" s="238" t="s">
        <v>332</v>
      </c>
      <c r="C74" s="149" t="s">
        <v>117</v>
      </c>
    </row>
    <row r="75" spans="1:3" x14ac:dyDescent="0.25">
      <c r="A75" s="149" t="s">
        <v>399</v>
      </c>
      <c r="B75" s="238" t="s">
        <v>332</v>
      </c>
      <c r="C75" s="149" t="s">
        <v>117</v>
      </c>
    </row>
    <row r="76" spans="1:3" x14ac:dyDescent="0.25">
      <c r="A76" s="149" t="s">
        <v>400</v>
      </c>
      <c r="B76" s="238" t="s">
        <v>332</v>
      </c>
      <c r="C76" s="149" t="s">
        <v>117</v>
      </c>
    </row>
    <row r="77" spans="1:3" x14ac:dyDescent="0.25">
      <c r="A77" s="149" t="s">
        <v>401</v>
      </c>
      <c r="B77" s="238" t="s">
        <v>332</v>
      </c>
      <c r="C77" s="149" t="s">
        <v>117</v>
      </c>
    </row>
    <row r="78" spans="1:3" x14ac:dyDescent="0.25">
      <c r="A78" s="149" t="s">
        <v>402</v>
      </c>
      <c r="B78" s="238" t="s">
        <v>332</v>
      </c>
      <c r="C78" s="149" t="s">
        <v>117</v>
      </c>
    </row>
    <row r="79" spans="1:3" x14ac:dyDescent="0.25">
      <c r="A79" s="149" t="s">
        <v>403</v>
      </c>
      <c r="B79" s="238" t="s">
        <v>332</v>
      </c>
      <c r="C79" s="149" t="s">
        <v>117</v>
      </c>
    </row>
    <row r="80" spans="1:3" x14ac:dyDescent="0.25">
      <c r="A80" s="149" t="s">
        <v>404</v>
      </c>
      <c r="B80" s="238" t="s">
        <v>332</v>
      </c>
      <c r="C80" s="149" t="s">
        <v>117</v>
      </c>
    </row>
    <row r="81" spans="1:3" x14ac:dyDescent="0.25">
      <c r="A81" s="149" t="s">
        <v>405</v>
      </c>
      <c r="B81" s="238" t="s">
        <v>332</v>
      </c>
      <c r="C81" s="149" t="s">
        <v>117</v>
      </c>
    </row>
    <row r="82" spans="1:3" x14ac:dyDescent="0.25">
      <c r="A82" s="149" t="s">
        <v>406</v>
      </c>
      <c r="B82" s="238" t="s">
        <v>332</v>
      </c>
      <c r="C82" s="149" t="s">
        <v>117</v>
      </c>
    </row>
    <row r="83" spans="1:3" x14ac:dyDescent="0.25">
      <c r="A83" s="149" t="s">
        <v>407</v>
      </c>
      <c r="B83" s="238" t="s">
        <v>332</v>
      </c>
      <c r="C83" s="149" t="s">
        <v>117</v>
      </c>
    </row>
    <row r="84" spans="1:3" x14ac:dyDescent="0.25">
      <c r="A84" s="149" t="s">
        <v>408</v>
      </c>
      <c r="B84" s="238" t="s">
        <v>332</v>
      </c>
      <c r="C84" s="149" t="s">
        <v>117</v>
      </c>
    </row>
    <row r="85" spans="1:3" x14ac:dyDescent="0.25">
      <c r="A85" s="149" t="s">
        <v>409</v>
      </c>
      <c r="B85" s="238" t="s">
        <v>332</v>
      </c>
      <c r="C85" s="149" t="s">
        <v>117</v>
      </c>
    </row>
    <row r="86" spans="1:3" x14ac:dyDescent="0.25">
      <c r="A86" s="149" t="s">
        <v>410</v>
      </c>
      <c r="B86" s="238" t="s">
        <v>332</v>
      </c>
      <c r="C86" s="149" t="s">
        <v>117</v>
      </c>
    </row>
    <row r="87" spans="1:3" x14ac:dyDescent="0.25">
      <c r="A87" s="149" t="s">
        <v>411</v>
      </c>
      <c r="B87" s="238" t="s">
        <v>332</v>
      </c>
      <c r="C87" s="149" t="s">
        <v>117</v>
      </c>
    </row>
    <row r="88" spans="1:3" x14ac:dyDescent="0.25">
      <c r="A88" s="149" t="s">
        <v>412</v>
      </c>
      <c r="B88" s="238" t="s">
        <v>332</v>
      </c>
      <c r="C88" s="149" t="s">
        <v>117</v>
      </c>
    </row>
    <row r="89" spans="1:3" x14ac:dyDescent="0.25">
      <c r="A89" s="149" t="s">
        <v>413</v>
      </c>
      <c r="B89" s="238" t="s">
        <v>332</v>
      </c>
      <c r="C89" s="149" t="s">
        <v>117</v>
      </c>
    </row>
    <row r="90" spans="1:3" x14ac:dyDescent="0.25">
      <c r="A90" s="149" t="s">
        <v>414</v>
      </c>
      <c r="B90" s="238" t="s">
        <v>332</v>
      </c>
      <c r="C90" s="149" t="s">
        <v>117</v>
      </c>
    </row>
    <row r="91" spans="1:3" x14ac:dyDescent="0.25">
      <c r="A91" s="149" t="s">
        <v>415</v>
      </c>
      <c r="B91" s="238" t="s">
        <v>332</v>
      </c>
      <c r="C91" s="149" t="s">
        <v>117</v>
      </c>
    </row>
    <row r="92" spans="1:3" x14ac:dyDescent="0.25">
      <c r="A92" s="149" t="s">
        <v>416</v>
      </c>
      <c r="B92" s="238" t="s">
        <v>332</v>
      </c>
      <c r="C92" s="149" t="s">
        <v>117</v>
      </c>
    </row>
    <row r="93" spans="1:3" x14ac:dyDescent="0.25">
      <c r="A93" s="149" t="s">
        <v>417</v>
      </c>
      <c r="B93" s="238" t="s">
        <v>332</v>
      </c>
      <c r="C93" s="149" t="s">
        <v>117</v>
      </c>
    </row>
    <row r="94" spans="1:3" x14ac:dyDescent="0.25">
      <c r="A94" s="149" t="s">
        <v>418</v>
      </c>
      <c r="B94" s="238" t="s">
        <v>332</v>
      </c>
      <c r="C94" s="149" t="s">
        <v>117</v>
      </c>
    </row>
    <row r="95" spans="1:3" x14ac:dyDescent="0.25">
      <c r="A95" s="149" t="s">
        <v>419</v>
      </c>
      <c r="B95" s="238" t="s">
        <v>332</v>
      </c>
      <c r="C95" s="149" t="s">
        <v>117</v>
      </c>
    </row>
    <row r="96" spans="1:3" x14ac:dyDescent="0.25">
      <c r="A96" s="149" t="s">
        <v>420</v>
      </c>
      <c r="B96" s="238" t="s">
        <v>332</v>
      </c>
      <c r="C96" s="149" t="s">
        <v>117</v>
      </c>
    </row>
    <row r="97" spans="1:3" x14ac:dyDescent="0.25">
      <c r="A97" s="149" t="s">
        <v>421</v>
      </c>
      <c r="B97" s="238" t="s">
        <v>332</v>
      </c>
      <c r="C97" s="149" t="s">
        <v>117</v>
      </c>
    </row>
    <row r="98" spans="1:3" x14ac:dyDescent="0.25">
      <c r="A98" s="149" t="s">
        <v>422</v>
      </c>
      <c r="B98" s="238" t="s">
        <v>332</v>
      </c>
      <c r="C98" s="149" t="s">
        <v>117</v>
      </c>
    </row>
    <row r="99" spans="1:3" x14ac:dyDescent="0.25">
      <c r="A99" s="149" t="s">
        <v>423</v>
      </c>
      <c r="B99" s="238" t="s">
        <v>332</v>
      </c>
      <c r="C99" s="149" t="s">
        <v>117</v>
      </c>
    </row>
    <row r="100" spans="1:3" x14ac:dyDescent="0.25">
      <c r="A100" s="149" t="s">
        <v>424</v>
      </c>
      <c r="B100" s="238" t="s">
        <v>332</v>
      </c>
      <c r="C100" s="149" t="s">
        <v>117</v>
      </c>
    </row>
    <row r="101" spans="1:3" x14ac:dyDescent="0.25">
      <c r="A101" s="149" t="s">
        <v>425</v>
      </c>
      <c r="B101" s="238" t="s">
        <v>332</v>
      </c>
      <c r="C101" s="149" t="s">
        <v>117</v>
      </c>
    </row>
    <row r="102" spans="1:3" x14ac:dyDescent="0.25">
      <c r="A102" s="149" t="s">
        <v>426</v>
      </c>
      <c r="B102" s="238" t="s">
        <v>332</v>
      </c>
      <c r="C102" s="149" t="s">
        <v>117</v>
      </c>
    </row>
    <row r="103" spans="1:3" x14ac:dyDescent="0.25">
      <c r="A103" s="149" t="s">
        <v>427</v>
      </c>
      <c r="B103" s="238" t="s">
        <v>332</v>
      </c>
      <c r="C103" s="149" t="s">
        <v>117</v>
      </c>
    </row>
    <row r="104" spans="1:3" x14ac:dyDescent="0.25">
      <c r="A104" s="149" t="s">
        <v>428</v>
      </c>
      <c r="B104" s="153" t="s">
        <v>332</v>
      </c>
      <c r="C104" s="149" t="s">
        <v>117</v>
      </c>
    </row>
    <row r="105" spans="1:3" x14ac:dyDescent="0.25">
      <c r="A105" s="149" t="s">
        <v>429</v>
      </c>
      <c r="B105" s="153" t="s">
        <v>332</v>
      </c>
      <c r="C105" s="149" t="s">
        <v>117</v>
      </c>
    </row>
    <row r="106" spans="1:3" x14ac:dyDescent="0.25">
      <c r="A106" s="149" t="s">
        <v>430</v>
      </c>
      <c r="B106" s="153" t="s">
        <v>332</v>
      </c>
      <c r="C106" s="149" t="s">
        <v>117</v>
      </c>
    </row>
    <row r="107" spans="1:3" x14ac:dyDescent="0.25">
      <c r="A107" s="149" t="s">
        <v>431</v>
      </c>
      <c r="B107" s="153" t="s">
        <v>332</v>
      </c>
      <c r="C107" s="149" t="s">
        <v>117</v>
      </c>
    </row>
    <row r="108" spans="1:3" x14ac:dyDescent="0.25">
      <c r="A108" s="149" t="s">
        <v>432</v>
      </c>
      <c r="B108" s="153" t="s">
        <v>332</v>
      </c>
      <c r="C108" s="149" t="s">
        <v>117</v>
      </c>
    </row>
    <row r="109" spans="1:3" x14ac:dyDescent="0.25">
      <c r="A109" s="149" t="s">
        <v>433</v>
      </c>
      <c r="B109" s="153" t="s">
        <v>332</v>
      </c>
      <c r="C109" s="149" t="s">
        <v>117</v>
      </c>
    </row>
    <row r="110" spans="1:3" x14ac:dyDescent="0.25">
      <c r="A110" s="149" t="s">
        <v>434</v>
      </c>
      <c r="B110" s="153" t="s">
        <v>332</v>
      </c>
      <c r="C110" s="149" t="s">
        <v>117</v>
      </c>
    </row>
    <row r="111" spans="1:3" x14ac:dyDescent="0.25">
      <c r="A111" s="149" t="s">
        <v>435</v>
      </c>
      <c r="B111" s="153" t="s">
        <v>332</v>
      </c>
      <c r="C111" s="149" t="s">
        <v>117</v>
      </c>
    </row>
    <row r="112" spans="1:3" x14ac:dyDescent="0.25">
      <c r="A112" s="149" t="s">
        <v>436</v>
      </c>
      <c r="B112" s="153" t="s">
        <v>332</v>
      </c>
      <c r="C112" s="149" t="s">
        <v>117</v>
      </c>
    </row>
    <row r="113" spans="1:3" x14ac:dyDescent="0.25">
      <c r="A113" s="149" t="s">
        <v>437</v>
      </c>
      <c r="B113" s="153" t="s">
        <v>332</v>
      </c>
      <c r="C113" s="149" t="s">
        <v>117</v>
      </c>
    </row>
    <row r="114" spans="1:3" x14ac:dyDescent="0.25">
      <c r="A114" s="149" t="s">
        <v>438</v>
      </c>
      <c r="B114" s="153" t="s">
        <v>332</v>
      </c>
      <c r="C114" s="149" t="s">
        <v>117</v>
      </c>
    </row>
    <row r="115" spans="1:3" x14ac:dyDescent="0.25">
      <c r="A115" s="149" t="s">
        <v>439</v>
      </c>
      <c r="B115" s="153" t="s">
        <v>332</v>
      </c>
      <c r="C115" s="149" t="s">
        <v>117</v>
      </c>
    </row>
    <row r="116" spans="1:3" x14ac:dyDescent="0.25">
      <c r="A116" s="149" t="s">
        <v>440</v>
      </c>
      <c r="B116" s="153" t="s">
        <v>332</v>
      </c>
      <c r="C116" s="149" t="s">
        <v>117</v>
      </c>
    </row>
    <row r="117" spans="1:3" x14ac:dyDescent="0.25">
      <c r="A117" s="149" t="s">
        <v>441</v>
      </c>
      <c r="B117" s="153" t="s">
        <v>332</v>
      </c>
      <c r="C117" s="149" t="s">
        <v>117</v>
      </c>
    </row>
    <row r="118" spans="1:3" x14ac:dyDescent="0.25">
      <c r="A118" s="149" t="s">
        <v>442</v>
      </c>
      <c r="B118" s="153" t="s">
        <v>332</v>
      </c>
      <c r="C118" s="149" t="s">
        <v>117</v>
      </c>
    </row>
    <row r="119" spans="1:3" x14ac:dyDescent="0.25">
      <c r="A119" s="149" t="s">
        <v>443</v>
      </c>
      <c r="B119" s="153" t="s">
        <v>332</v>
      </c>
      <c r="C119" s="149" t="s">
        <v>117</v>
      </c>
    </row>
    <row r="120" spans="1:3" x14ac:dyDescent="0.25">
      <c r="A120" s="149" t="s">
        <v>444</v>
      </c>
      <c r="B120" s="153" t="s">
        <v>332</v>
      </c>
      <c r="C120" s="149" t="s">
        <v>117</v>
      </c>
    </row>
    <row r="121" spans="1:3" x14ac:dyDescent="0.25">
      <c r="A121" s="149" t="s">
        <v>445</v>
      </c>
      <c r="B121" s="153" t="s">
        <v>332</v>
      </c>
      <c r="C121" s="149" t="s">
        <v>117</v>
      </c>
    </row>
    <row r="122" spans="1:3" x14ac:dyDescent="0.25">
      <c r="A122" s="149" t="s">
        <v>446</v>
      </c>
      <c r="B122" s="153" t="s">
        <v>332</v>
      </c>
      <c r="C122" s="149" t="s">
        <v>117</v>
      </c>
    </row>
    <row r="123" spans="1:3" x14ac:dyDescent="0.25">
      <c r="A123" s="149" t="s">
        <v>447</v>
      </c>
      <c r="B123" s="153" t="s">
        <v>332</v>
      </c>
      <c r="C123" s="149" t="s">
        <v>117</v>
      </c>
    </row>
    <row r="124" spans="1:3" x14ac:dyDescent="0.25">
      <c r="A124" s="149" t="s">
        <v>448</v>
      </c>
      <c r="B124" s="153" t="s">
        <v>332</v>
      </c>
      <c r="C124" s="149" t="s">
        <v>117</v>
      </c>
    </row>
    <row r="125" spans="1:3" x14ac:dyDescent="0.25">
      <c r="A125" s="149" t="s">
        <v>449</v>
      </c>
      <c r="B125" s="153" t="s">
        <v>332</v>
      </c>
      <c r="C125" s="149" t="s">
        <v>117</v>
      </c>
    </row>
    <row r="126" spans="1:3" x14ac:dyDescent="0.25">
      <c r="A126" s="149" t="s">
        <v>450</v>
      </c>
      <c r="B126" s="153" t="s">
        <v>332</v>
      </c>
      <c r="C126" s="149" t="s">
        <v>117</v>
      </c>
    </row>
    <row r="127" spans="1:3" x14ac:dyDescent="0.25">
      <c r="A127" s="149" t="s">
        <v>451</v>
      </c>
      <c r="B127" s="153" t="s">
        <v>332</v>
      </c>
      <c r="C127" s="149" t="s">
        <v>117</v>
      </c>
    </row>
    <row r="128" spans="1:3" x14ac:dyDescent="0.25">
      <c r="A128" s="149" t="s">
        <v>452</v>
      </c>
      <c r="B128" s="153" t="s">
        <v>332</v>
      </c>
      <c r="C128" s="149" t="s">
        <v>117</v>
      </c>
    </row>
    <row r="129" spans="1:3" x14ac:dyDescent="0.25">
      <c r="A129" s="149" t="s">
        <v>453</v>
      </c>
      <c r="B129" s="153" t="s">
        <v>332</v>
      </c>
      <c r="C129" s="149" t="s">
        <v>117</v>
      </c>
    </row>
    <row r="130" spans="1:3" x14ac:dyDescent="0.25">
      <c r="A130" s="149" t="s">
        <v>454</v>
      </c>
      <c r="B130" s="153" t="s">
        <v>332</v>
      </c>
      <c r="C130" s="149" t="s">
        <v>117</v>
      </c>
    </row>
    <row r="131" spans="1:3" x14ac:dyDescent="0.25">
      <c r="A131" s="149" t="s">
        <v>455</v>
      </c>
      <c r="B131" s="153" t="s">
        <v>332</v>
      </c>
      <c r="C131" s="149" t="s">
        <v>117</v>
      </c>
    </row>
    <row r="132" spans="1:3" x14ac:dyDescent="0.25">
      <c r="A132" s="149" t="s">
        <v>456</v>
      </c>
      <c r="B132" s="153" t="s">
        <v>332</v>
      </c>
      <c r="C132" s="149" t="s">
        <v>117</v>
      </c>
    </row>
    <row r="133" spans="1:3" x14ac:dyDescent="0.25">
      <c r="A133" s="149" t="s">
        <v>457</v>
      </c>
      <c r="B133" s="153" t="s">
        <v>332</v>
      </c>
      <c r="C133" s="149" t="s">
        <v>117</v>
      </c>
    </row>
    <row r="134" spans="1:3" x14ac:dyDescent="0.25">
      <c r="A134" s="149" t="s">
        <v>458</v>
      </c>
      <c r="B134" s="153" t="s">
        <v>332</v>
      </c>
      <c r="C134" s="149" t="s">
        <v>117</v>
      </c>
    </row>
    <row r="135" spans="1:3" x14ac:dyDescent="0.25">
      <c r="A135" s="149" t="s">
        <v>459</v>
      </c>
      <c r="B135" s="153" t="s">
        <v>332</v>
      </c>
      <c r="C135" s="149" t="s">
        <v>117</v>
      </c>
    </row>
    <row r="136" spans="1:3" x14ac:dyDescent="0.25">
      <c r="A136" s="149" t="s">
        <v>460</v>
      </c>
      <c r="B136" s="153" t="s">
        <v>332</v>
      </c>
      <c r="C136" s="149" t="s">
        <v>117</v>
      </c>
    </row>
    <row r="137" spans="1:3" x14ac:dyDescent="0.25">
      <c r="A137" s="149" t="s">
        <v>461</v>
      </c>
      <c r="B137" s="153" t="s">
        <v>332</v>
      </c>
      <c r="C137" s="149" t="s">
        <v>117</v>
      </c>
    </row>
    <row r="138" spans="1:3" x14ac:dyDescent="0.25">
      <c r="A138" s="149" t="s">
        <v>462</v>
      </c>
      <c r="B138" s="153" t="s">
        <v>332</v>
      </c>
      <c r="C138" s="149" t="s">
        <v>117</v>
      </c>
    </row>
    <row r="139" spans="1:3" x14ac:dyDescent="0.25">
      <c r="A139" s="149" t="s">
        <v>463</v>
      </c>
      <c r="B139" s="153" t="s">
        <v>332</v>
      </c>
      <c r="C139" s="149" t="s">
        <v>117</v>
      </c>
    </row>
    <row r="140" spans="1:3" x14ac:dyDescent="0.25">
      <c r="A140" s="149" t="s">
        <v>464</v>
      </c>
      <c r="B140" s="153" t="s">
        <v>332</v>
      </c>
      <c r="C140" s="149" t="s">
        <v>117</v>
      </c>
    </row>
    <row r="141" spans="1:3" x14ac:dyDescent="0.25">
      <c r="A141" s="149" t="s">
        <v>465</v>
      </c>
      <c r="B141" s="153" t="s">
        <v>332</v>
      </c>
      <c r="C141" s="149" t="s">
        <v>117</v>
      </c>
    </row>
    <row r="142" spans="1:3" x14ac:dyDescent="0.25">
      <c r="A142" s="149" t="s">
        <v>466</v>
      </c>
      <c r="B142" s="153" t="s">
        <v>332</v>
      </c>
      <c r="C142" s="149" t="s">
        <v>117</v>
      </c>
    </row>
    <row r="143" spans="1:3" x14ac:dyDescent="0.25">
      <c r="A143" s="149" t="s">
        <v>467</v>
      </c>
      <c r="B143" s="153" t="s">
        <v>332</v>
      </c>
      <c r="C143" s="149" t="s">
        <v>117</v>
      </c>
    </row>
    <row r="144" spans="1:3" x14ac:dyDescent="0.25">
      <c r="A144" s="149" t="s">
        <v>468</v>
      </c>
      <c r="B144" s="153" t="s">
        <v>332</v>
      </c>
      <c r="C144" s="149" t="s">
        <v>117</v>
      </c>
    </row>
    <row r="145" spans="1:3" x14ac:dyDescent="0.25">
      <c r="A145" s="149" t="s">
        <v>469</v>
      </c>
      <c r="B145" s="153" t="s">
        <v>332</v>
      </c>
      <c r="C145" s="149" t="s">
        <v>117</v>
      </c>
    </row>
    <row r="146" spans="1:3" x14ac:dyDescent="0.25">
      <c r="A146" s="149" t="s">
        <v>470</v>
      </c>
      <c r="B146" s="153" t="s">
        <v>332</v>
      </c>
      <c r="C146" s="149" t="s">
        <v>117</v>
      </c>
    </row>
    <row r="147" spans="1:3" x14ac:dyDescent="0.25">
      <c r="A147" s="149" t="s">
        <v>471</v>
      </c>
      <c r="B147" s="153" t="s">
        <v>332</v>
      </c>
      <c r="C147" s="149" t="s">
        <v>117</v>
      </c>
    </row>
    <row r="148" spans="1:3" x14ac:dyDescent="0.25">
      <c r="A148" s="149" t="s">
        <v>472</v>
      </c>
      <c r="B148" s="153" t="s">
        <v>332</v>
      </c>
      <c r="C148" s="149" t="s">
        <v>117</v>
      </c>
    </row>
    <row r="149" spans="1:3" x14ac:dyDescent="0.25">
      <c r="A149" s="149" t="s">
        <v>473</v>
      </c>
      <c r="B149" s="153" t="s">
        <v>332</v>
      </c>
      <c r="C149" s="149" t="s">
        <v>117</v>
      </c>
    </row>
    <row r="150" spans="1:3" x14ac:dyDescent="0.25">
      <c r="A150" s="149" t="s">
        <v>474</v>
      </c>
      <c r="B150" s="153" t="s">
        <v>332</v>
      </c>
      <c r="C150" s="149" t="s">
        <v>117</v>
      </c>
    </row>
    <row r="151" spans="1:3" x14ac:dyDescent="0.25">
      <c r="A151" s="149" t="s">
        <v>475</v>
      </c>
      <c r="B151" s="153" t="s">
        <v>332</v>
      </c>
      <c r="C151" s="149" t="s">
        <v>117</v>
      </c>
    </row>
    <row r="152" spans="1:3" x14ac:dyDescent="0.25">
      <c r="A152" s="149" t="s">
        <v>476</v>
      </c>
      <c r="B152" s="153" t="s">
        <v>332</v>
      </c>
      <c r="C152" s="149" t="s">
        <v>117</v>
      </c>
    </row>
    <row r="153" spans="1:3" x14ac:dyDescent="0.25">
      <c r="A153" s="149" t="s">
        <v>477</v>
      </c>
      <c r="B153" s="153" t="s">
        <v>332</v>
      </c>
      <c r="C153" s="149" t="s">
        <v>117</v>
      </c>
    </row>
    <row r="154" spans="1:3" x14ac:dyDescent="0.25">
      <c r="A154" s="149" t="s">
        <v>478</v>
      </c>
      <c r="B154" s="153" t="s">
        <v>332</v>
      </c>
      <c r="C154" s="149" t="s">
        <v>117</v>
      </c>
    </row>
    <row r="155" spans="1:3" x14ac:dyDescent="0.25">
      <c r="A155" s="149" t="s">
        <v>479</v>
      </c>
      <c r="B155" s="153" t="s">
        <v>332</v>
      </c>
      <c r="C155" s="149" t="s">
        <v>117</v>
      </c>
    </row>
    <row r="156" spans="1:3" x14ac:dyDescent="0.25">
      <c r="A156" s="149" t="s">
        <v>480</v>
      </c>
      <c r="B156" s="153" t="s">
        <v>332</v>
      </c>
      <c r="C156" s="149" t="s">
        <v>117</v>
      </c>
    </row>
    <row r="157" spans="1:3" x14ac:dyDescent="0.25">
      <c r="A157" s="149" t="s">
        <v>481</v>
      </c>
      <c r="B157" s="153" t="s">
        <v>332</v>
      </c>
      <c r="C157" s="149" t="s">
        <v>117</v>
      </c>
    </row>
    <row r="158" spans="1:3" x14ac:dyDescent="0.25">
      <c r="A158" s="149" t="s">
        <v>482</v>
      </c>
      <c r="B158" s="153" t="s">
        <v>332</v>
      </c>
      <c r="C158" s="149" t="s">
        <v>117</v>
      </c>
    </row>
    <row r="159" spans="1:3" x14ac:dyDescent="0.25">
      <c r="A159" s="149" t="s">
        <v>483</v>
      </c>
      <c r="B159" s="153" t="s">
        <v>332</v>
      </c>
      <c r="C159" s="149" t="s">
        <v>117</v>
      </c>
    </row>
    <row r="160" spans="1:3" x14ac:dyDescent="0.25">
      <c r="A160" s="149" t="s">
        <v>484</v>
      </c>
      <c r="B160" s="153" t="s">
        <v>332</v>
      </c>
      <c r="C160" s="149" t="s">
        <v>117</v>
      </c>
    </row>
    <row r="161" spans="1:3" x14ac:dyDescent="0.25">
      <c r="A161" s="149" t="s">
        <v>485</v>
      </c>
      <c r="B161" s="153" t="s">
        <v>332</v>
      </c>
      <c r="C161" s="149" t="s">
        <v>117</v>
      </c>
    </row>
    <row r="162" spans="1:3" x14ac:dyDescent="0.25">
      <c r="A162" s="149" t="s">
        <v>486</v>
      </c>
      <c r="B162" s="153" t="s">
        <v>332</v>
      </c>
      <c r="C162" s="149" t="s">
        <v>117</v>
      </c>
    </row>
    <row r="163" spans="1:3" x14ac:dyDescent="0.25">
      <c r="A163" s="149" t="s">
        <v>487</v>
      </c>
      <c r="B163" s="153" t="s">
        <v>332</v>
      </c>
      <c r="C163" s="149" t="s">
        <v>117</v>
      </c>
    </row>
    <row r="164" spans="1:3" x14ac:dyDescent="0.25">
      <c r="A164" s="149" t="s">
        <v>488</v>
      </c>
      <c r="B164" s="153" t="s">
        <v>332</v>
      </c>
      <c r="C164" s="149" t="s">
        <v>117</v>
      </c>
    </row>
    <row r="165" spans="1:3" x14ac:dyDescent="0.25">
      <c r="A165" s="149" t="s">
        <v>489</v>
      </c>
      <c r="B165" s="153" t="s">
        <v>332</v>
      </c>
      <c r="C165" s="149" t="s">
        <v>117</v>
      </c>
    </row>
    <row r="166" spans="1:3" x14ac:dyDescent="0.25">
      <c r="A166" s="149" t="s">
        <v>490</v>
      </c>
      <c r="B166" s="153" t="s">
        <v>332</v>
      </c>
      <c r="C166" s="149" t="s">
        <v>117</v>
      </c>
    </row>
    <row r="167" spans="1:3" x14ac:dyDescent="0.25">
      <c r="A167" s="149" t="s">
        <v>491</v>
      </c>
      <c r="B167" s="153" t="s">
        <v>332</v>
      </c>
      <c r="C167" s="149" t="s">
        <v>117</v>
      </c>
    </row>
    <row r="168" spans="1:3" x14ac:dyDescent="0.25">
      <c r="A168" s="149" t="s">
        <v>492</v>
      </c>
      <c r="B168" s="153" t="s">
        <v>332</v>
      </c>
      <c r="C168" s="149" t="s">
        <v>117</v>
      </c>
    </row>
    <row r="169" spans="1:3" x14ac:dyDescent="0.25">
      <c r="A169" s="149" t="s">
        <v>493</v>
      </c>
      <c r="B169" s="153" t="s">
        <v>332</v>
      </c>
      <c r="C169" s="149" t="s">
        <v>117</v>
      </c>
    </row>
    <row r="170" spans="1:3" x14ac:dyDescent="0.25">
      <c r="A170" s="149" t="s">
        <v>494</v>
      </c>
      <c r="B170" s="153" t="s">
        <v>332</v>
      </c>
      <c r="C170" s="149" t="s">
        <v>117</v>
      </c>
    </row>
    <row r="171" spans="1:3" x14ac:dyDescent="0.25">
      <c r="A171" s="149" t="s">
        <v>495</v>
      </c>
      <c r="B171" s="153" t="s">
        <v>332</v>
      </c>
      <c r="C171" s="149" t="s">
        <v>117</v>
      </c>
    </row>
    <row r="172" spans="1:3" x14ac:dyDescent="0.25">
      <c r="A172" s="149" t="s">
        <v>496</v>
      </c>
      <c r="B172" s="153" t="s">
        <v>332</v>
      </c>
      <c r="C172" s="149" t="s">
        <v>117</v>
      </c>
    </row>
    <row r="173" spans="1:3" x14ac:dyDescent="0.25">
      <c r="A173" s="149" t="s">
        <v>497</v>
      </c>
      <c r="B173" s="153" t="s">
        <v>332</v>
      </c>
      <c r="C173" s="149" t="s">
        <v>117</v>
      </c>
    </row>
    <row r="174" spans="1:3" x14ac:dyDescent="0.25">
      <c r="A174" s="149" t="s">
        <v>498</v>
      </c>
      <c r="B174" s="153" t="s">
        <v>332</v>
      </c>
      <c r="C174" s="149" t="s">
        <v>117</v>
      </c>
    </row>
    <row r="175" spans="1:3" x14ac:dyDescent="0.25">
      <c r="A175" s="149" t="s">
        <v>499</v>
      </c>
      <c r="B175" s="153" t="s">
        <v>332</v>
      </c>
      <c r="C175" s="149" t="s">
        <v>117</v>
      </c>
    </row>
    <row r="176" spans="1:3" x14ac:dyDescent="0.25">
      <c r="A176" s="149" t="s">
        <v>500</v>
      </c>
      <c r="B176" s="153" t="s">
        <v>332</v>
      </c>
      <c r="C176" s="149" t="s">
        <v>117</v>
      </c>
    </row>
    <row r="177" spans="1:3" x14ac:dyDescent="0.25">
      <c r="A177" s="149" t="s">
        <v>501</v>
      </c>
      <c r="B177" s="153" t="s">
        <v>332</v>
      </c>
      <c r="C177" s="149" t="s">
        <v>117</v>
      </c>
    </row>
    <row r="178" spans="1:3" x14ac:dyDescent="0.25">
      <c r="A178" s="149" t="s">
        <v>502</v>
      </c>
      <c r="B178" s="153" t="s">
        <v>332</v>
      </c>
      <c r="C178" s="149" t="s">
        <v>117</v>
      </c>
    </row>
    <row r="179" spans="1:3" x14ac:dyDescent="0.25">
      <c r="A179" s="149" t="s">
        <v>503</v>
      </c>
      <c r="B179" s="153" t="s">
        <v>332</v>
      </c>
      <c r="C179" s="149" t="s">
        <v>117</v>
      </c>
    </row>
    <row r="180" spans="1:3" x14ac:dyDescent="0.25">
      <c r="A180" s="149" t="s">
        <v>504</v>
      </c>
      <c r="B180" s="153" t="s">
        <v>332</v>
      </c>
      <c r="C180" s="149" t="s">
        <v>117</v>
      </c>
    </row>
    <row r="181" spans="1:3" x14ac:dyDescent="0.25">
      <c r="A181" s="149" t="s">
        <v>505</v>
      </c>
      <c r="B181" s="153" t="s">
        <v>332</v>
      </c>
      <c r="C181" s="149" t="s">
        <v>117</v>
      </c>
    </row>
    <row r="182" spans="1:3" x14ac:dyDescent="0.25">
      <c r="A182" s="149" t="s">
        <v>506</v>
      </c>
      <c r="B182" s="153" t="s">
        <v>332</v>
      </c>
      <c r="C182" s="149" t="s">
        <v>117</v>
      </c>
    </row>
    <row r="183" spans="1:3" x14ac:dyDescent="0.25">
      <c r="A183" s="149" t="s">
        <v>507</v>
      </c>
      <c r="B183" s="153" t="s">
        <v>332</v>
      </c>
      <c r="C183" s="149" t="s">
        <v>117</v>
      </c>
    </row>
    <row r="184" spans="1:3" x14ac:dyDescent="0.25">
      <c r="A184" s="149" t="s">
        <v>508</v>
      </c>
      <c r="B184" s="153" t="s">
        <v>332</v>
      </c>
      <c r="C184" s="149" t="s">
        <v>117</v>
      </c>
    </row>
    <row r="185" spans="1:3" x14ac:dyDescent="0.25">
      <c r="A185" s="149" t="s">
        <v>509</v>
      </c>
      <c r="B185" s="153" t="s">
        <v>332</v>
      </c>
      <c r="C185" s="149" t="s">
        <v>117</v>
      </c>
    </row>
    <row r="186" spans="1:3" x14ac:dyDescent="0.25">
      <c r="A186" s="149" t="s">
        <v>510</v>
      </c>
      <c r="B186" s="153" t="s">
        <v>332</v>
      </c>
      <c r="C186" s="149" t="s">
        <v>117</v>
      </c>
    </row>
    <row r="187" spans="1:3" x14ac:dyDescent="0.25">
      <c r="A187" s="149" t="s">
        <v>511</v>
      </c>
      <c r="B187" s="153" t="s">
        <v>332</v>
      </c>
      <c r="C187" s="149" t="s">
        <v>117</v>
      </c>
    </row>
    <row r="188" spans="1:3" x14ac:dyDescent="0.25">
      <c r="A188" s="149" t="s">
        <v>512</v>
      </c>
      <c r="B188" s="153" t="s">
        <v>332</v>
      </c>
      <c r="C188" s="149" t="s">
        <v>117</v>
      </c>
    </row>
    <row r="189" spans="1:3" x14ac:dyDescent="0.25">
      <c r="A189" s="149" t="s">
        <v>513</v>
      </c>
      <c r="B189" s="153" t="s">
        <v>332</v>
      </c>
      <c r="C189" s="149" t="s">
        <v>117</v>
      </c>
    </row>
    <row r="190" spans="1:3" x14ac:dyDescent="0.25">
      <c r="A190" s="149" t="s">
        <v>514</v>
      </c>
      <c r="B190" s="153" t="s">
        <v>332</v>
      </c>
      <c r="C190" s="149" t="s">
        <v>117</v>
      </c>
    </row>
    <row r="191" spans="1:3" x14ac:dyDescent="0.25">
      <c r="A191" s="149" t="s">
        <v>515</v>
      </c>
      <c r="B191" s="153" t="s">
        <v>332</v>
      </c>
      <c r="C191" s="149" t="s">
        <v>117</v>
      </c>
    </row>
    <row r="192" spans="1:3" x14ac:dyDescent="0.25">
      <c r="A192" s="149" t="s">
        <v>516</v>
      </c>
      <c r="B192" s="153" t="s">
        <v>332</v>
      </c>
      <c r="C192" s="149" t="s">
        <v>117</v>
      </c>
    </row>
    <row r="193" spans="1:3" x14ac:dyDescent="0.25">
      <c r="A193" s="149" t="s">
        <v>517</v>
      </c>
      <c r="B193" s="153" t="s">
        <v>332</v>
      </c>
      <c r="C193" s="149" t="s">
        <v>117</v>
      </c>
    </row>
    <row r="194" spans="1:3" x14ac:dyDescent="0.25">
      <c r="A194" s="149" t="s">
        <v>518</v>
      </c>
      <c r="B194" s="153" t="s">
        <v>332</v>
      </c>
      <c r="C194" s="149" t="s">
        <v>117</v>
      </c>
    </row>
    <row r="195" spans="1:3" x14ac:dyDescent="0.25">
      <c r="A195" s="149" t="s">
        <v>519</v>
      </c>
      <c r="B195" s="153" t="s">
        <v>332</v>
      </c>
      <c r="C195" s="149" t="s">
        <v>117</v>
      </c>
    </row>
    <row r="196" spans="1:3" x14ac:dyDescent="0.25">
      <c r="A196" s="149" t="s">
        <v>520</v>
      </c>
      <c r="B196" s="153" t="s">
        <v>332</v>
      </c>
      <c r="C196" s="149" t="s">
        <v>117</v>
      </c>
    </row>
    <row r="197" spans="1:3" x14ac:dyDescent="0.25">
      <c r="A197" s="149" t="s">
        <v>521</v>
      </c>
      <c r="B197" s="153" t="s">
        <v>332</v>
      </c>
      <c r="C197" s="149" t="s">
        <v>117</v>
      </c>
    </row>
    <row r="198" spans="1:3" x14ac:dyDescent="0.25">
      <c r="A198" s="149" t="s">
        <v>522</v>
      </c>
      <c r="B198" s="153" t="s">
        <v>332</v>
      </c>
      <c r="C198" s="149" t="s">
        <v>117</v>
      </c>
    </row>
    <row r="199" spans="1:3" x14ac:dyDescent="0.25">
      <c r="A199" s="149" t="s">
        <v>523</v>
      </c>
      <c r="B199" s="153" t="s">
        <v>332</v>
      </c>
      <c r="C199" s="149" t="s">
        <v>117</v>
      </c>
    </row>
    <row r="200" spans="1:3" x14ac:dyDescent="0.25">
      <c r="A200" s="149" t="s">
        <v>524</v>
      </c>
      <c r="B200" s="153" t="s">
        <v>332</v>
      </c>
      <c r="C200" s="149" t="s">
        <v>117</v>
      </c>
    </row>
    <row r="201" spans="1:3" x14ac:dyDescent="0.25">
      <c r="A201" s="149" t="s">
        <v>525</v>
      </c>
      <c r="B201" s="153" t="s">
        <v>332</v>
      </c>
      <c r="C201" s="149" t="s">
        <v>117</v>
      </c>
    </row>
    <row r="202" spans="1:3" x14ac:dyDescent="0.25">
      <c r="A202" s="149" t="s">
        <v>526</v>
      </c>
      <c r="B202" s="153" t="s">
        <v>332</v>
      </c>
      <c r="C202" s="149" t="s">
        <v>117</v>
      </c>
    </row>
    <row r="203" spans="1:3" x14ac:dyDescent="0.25">
      <c r="A203" s="149" t="s">
        <v>527</v>
      </c>
      <c r="B203" s="153" t="s">
        <v>332</v>
      </c>
      <c r="C203" s="149" t="s">
        <v>117</v>
      </c>
    </row>
    <row r="204" spans="1:3" x14ac:dyDescent="0.25">
      <c r="A204" s="149" t="s">
        <v>528</v>
      </c>
      <c r="B204" s="153" t="s">
        <v>332</v>
      </c>
      <c r="C204" s="149" t="s">
        <v>117</v>
      </c>
    </row>
    <row r="205" spans="1:3" x14ac:dyDescent="0.25">
      <c r="A205" s="149" t="s">
        <v>529</v>
      </c>
      <c r="B205" s="153" t="s">
        <v>332</v>
      </c>
      <c r="C205" s="149" t="s">
        <v>117</v>
      </c>
    </row>
    <row r="206" spans="1:3" x14ac:dyDescent="0.25">
      <c r="A206" s="149" t="s">
        <v>530</v>
      </c>
      <c r="B206" s="153" t="s">
        <v>332</v>
      </c>
      <c r="C206" s="149" t="s">
        <v>117</v>
      </c>
    </row>
    <row r="207" spans="1:3" x14ac:dyDescent="0.25">
      <c r="A207" s="149" t="s">
        <v>531</v>
      </c>
      <c r="B207" s="153" t="s">
        <v>332</v>
      </c>
      <c r="C207" s="149" t="s">
        <v>117</v>
      </c>
    </row>
    <row r="208" spans="1:3" x14ac:dyDescent="0.25">
      <c r="A208" s="149" t="s">
        <v>532</v>
      </c>
      <c r="B208" s="153" t="s">
        <v>332</v>
      </c>
      <c r="C208" s="149" t="s">
        <v>117</v>
      </c>
    </row>
    <row r="209" spans="1:3" x14ac:dyDescent="0.25">
      <c r="A209" s="149" t="s">
        <v>533</v>
      </c>
      <c r="B209" s="153" t="s">
        <v>332</v>
      </c>
      <c r="C209" s="149" t="s">
        <v>117</v>
      </c>
    </row>
    <row r="210" spans="1:3" x14ac:dyDescent="0.25">
      <c r="A210" s="149" t="s">
        <v>534</v>
      </c>
      <c r="B210" s="153" t="s">
        <v>332</v>
      </c>
      <c r="C210" s="149" t="s">
        <v>117</v>
      </c>
    </row>
    <row r="211" spans="1:3" x14ac:dyDescent="0.25">
      <c r="A211" s="149" t="s">
        <v>535</v>
      </c>
      <c r="B211" s="153" t="s">
        <v>332</v>
      </c>
      <c r="C211" s="149" t="s">
        <v>117</v>
      </c>
    </row>
    <row r="212" spans="1:3" x14ac:dyDescent="0.25">
      <c r="A212" s="149" t="s">
        <v>536</v>
      </c>
      <c r="B212" s="153" t="s">
        <v>332</v>
      </c>
      <c r="C212" s="149" t="s">
        <v>117</v>
      </c>
    </row>
    <row r="213" spans="1:3" x14ac:dyDescent="0.25">
      <c r="A213" s="149" t="s">
        <v>537</v>
      </c>
      <c r="B213" s="153" t="s">
        <v>332</v>
      </c>
      <c r="C213" s="149" t="s">
        <v>117</v>
      </c>
    </row>
    <row r="214" spans="1:3" x14ac:dyDescent="0.25">
      <c r="A214" s="149" t="s">
        <v>538</v>
      </c>
      <c r="B214" s="153" t="s">
        <v>332</v>
      </c>
      <c r="C214" s="149" t="s">
        <v>117</v>
      </c>
    </row>
    <row r="215" spans="1:3" x14ac:dyDescent="0.25">
      <c r="A215" s="149" t="s">
        <v>539</v>
      </c>
      <c r="B215" s="153" t="s">
        <v>332</v>
      </c>
      <c r="C215" s="149" t="s">
        <v>117</v>
      </c>
    </row>
    <row r="216" spans="1:3" x14ac:dyDescent="0.25">
      <c r="A216" s="149" t="s">
        <v>540</v>
      </c>
      <c r="B216" s="153" t="s">
        <v>332</v>
      </c>
      <c r="C216" s="149" t="s">
        <v>117</v>
      </c>
    </row>
    <row r="217" spans="1:3" x14ac:dyDescent="0.25">
      <c r="A217" s="149" t="s">
        <v>541</v>
      </c>
      <c r="B217" s="153" t="s">
        <v>332</v>
      </c>
      <c r="C217" s="149" t="s">
        <v>117</v>
      </c>
    </row>
    <row r="218" spans="1:3" x14ac:dyDescent="0.25">
      <c r="A218" s="149" t="s">
        <v>542</v>
      </c>
      <c r="B218" s="153" t="s">
        <v>332</v>
      </c>
      <c r="C218" s="149" t="s">
        <v>117</v>
      </c>
    </row>
    <row r="219" spans="1:3" x14ac:dyDescent="0.25">
      <c r="A219" s="149" t="s">
        <v>543</v>
      </c>
      <c r="B219" s="153" t="s">
        <v>332</v>
      </c>
      <c r="C219" s="149" t="s">
        <v>117</v>
      </c>
    </row>
    <row r="220" spans="1:3" x14ac:dyDescent="0.25">
      <c r="A220" s="149" t="s">
        <v>544</v>
      </c>
      <c r="B220" s="153" t="s">
        <v>332</v>
      </c>
      <c r="C220" s="149" t="s">
        <v>117</v>
      </c>
    </row>
    <row r="221" spans="1:3" x14ac:dyDescent="0.25">
      <c r="A221" s="149" t="s">
        <v>545</v>
      </c>
      <c r="B221" s="153" t="s">
        <v>332</v>
      </c>
      <c r="C221" s="149" t="s">
        <v>117</v>
      </c>
    </row>
    <row r="222" spans="1:3" x14ac:dyDescent="0.25">
      <c r="A222" s="149" t="s">
        <v>546</v>
      </c>
      <c r="B222" s="153" t="s">
        <v>332</v>
      </c>
      <c r="C222" s="149" t="s">
        <v>117</v>
      </c>
    </row>
    <row r="223" spans="1:3" x14ac:dyDescent="0.25">
      <c r="A223" s="149" t="s">
        <v>547</v>
      </c>
      <c r="B223" s="153" t="s">
        <v>332</v>
      </c>
      <c r="C223" s="149" t="s">
        <v>117</v>
      </c>
    </row>
    <row r="224" spans="1:3" x14ac:dyDescent="0.25">
      <c r="A224" s="149" t="s">
        <v>548</v>
      </c>
      <c r="B224" s="153" t="s">
        <v>332</v>
      </c>
      <c r="C224" s="149" t="s">
        <v>117</v>
      </c>
    </row>
    <row r="225" spans="1:3" x14ac:dyDescent="0.25">
      <c r="A225" s="149" t="s">
        <v>549</v>
      </c>
      <c r="B225" s="153" t="s">
        <v>332</v>
      </c>
      <c r="C225" s="149" t="s">
        <v>117</v>
      </c>
    </row>
    <row r="226" spans="1:3" x14ac:dyDescent="0.25">
      <c r="A226" s="149" t="s">
        <v>550</v>
      </c>
      <c r="B226" s="153" t="s">
        <v>332</v>
      </c>
      <c r="C226" s="149" t="s">
        <v>117</v>
      </c>
    </row>
    <row r="227" spans="1:3" x14ac:dyDescent="0.25">
      <c r="A227" s="149" t="s">
        <v>551</v>
      </c>
      <c r="B227" s="153" t="s">
        <v>332</v>
      </c>
      <c r="C227" s="149" t="s">
        <v>117</v>
      </c>
    </row>
    <row r="228" spans="1:3" x14ac:dyDescent="0.25">
      <c r="A228" s="149" t="s">
        <v>552</v>
      </c>
      <c r="B228" s="153" t="s">
        <v>332</v>
      </c>
      <c r="C228" s="149" t="s">
        <v>117</v>
      </c>
    </row>
    <row r="229" spans="1:3" x14ac:dyDescent="0.25">
      <c r="A229" s="149" t="s">
        <v>553</v>
      </c>
      <c r="B229" s="153" t="s">
        <v>332</v>
      </c>
      <c r="C229" s="149" t="s">
        <v>117</v>
      </c>
    </row>
    <row r="230" spans="1:3" x14ac:dyDescent="0.25">
      <c r="A230" s="149" t="s">
        <v>554</v>
      </c>
      <c r="B230" s="153" t="s">
        <v>332</v>
      </c>
      <c r="C230" s="149" t="s">
        <v>117</v>
      </c>
    </row>
    <row r="231" spans="1:3" x14ac:dyDescent="0.25">
      <c r="A231" s="149" t="s">
        <v>555</v>
      </c>
      <c r="B231" s="153" t="s">
        <v>332</v>
      </c>
      <c r="C231" s="149" t="s">
        <v>117</v>
      </c>
    </row>
    <row r="232" spans="1:3" x14ac:dyDescent="0.25">
      <c r="A232" s="149" t="s">
        <v>556</v>
      </c>
      <c r="B232" s="153" t="s">
        <v>332</v>
      </c>
      <c r="C232" s="149" t="s">
        <v>117</v>
      </c>
    </row>
    <row r="233" spans="1:3" x14ac:dyDescent="0.25">
      <c r="A233" s="149" t="s">
        <v>557</v>
      </c>
      <c r="B233" s="153" t="s">
        <v>332</v>
      </c>
      <c r="C233" s="149" t="s">
        <v>117</v>
      </c>
    </row>
    <row r="234" spans="1:3" x14ac:dyDescent="0.25">
      <c r="A234" s="149" t="s">
        <v>558</v>
      </c>
      <c r="B234" s="153" t="s">
        <v>332</v>
      </c>
      <c r="C234" s="149" t="s">
        <v>117</v>
      </c>
    </row>
    <row r="235" spans="1:3" x14ac:dyDescent="0.25">
      <c r="A235" s="149" t="s">
        <v>559</v>
      </c>
      <c r="B235" s="153" t="s">
        <v>332</v>
      </c>
      <c r="C235" s="149" t="s">
        <v>117</v>
      </c>
    </row>
    <row r="236" spans="1:3" x14ac:dyDescent="0.25">
      <c r="A236" s="149" t="s">
        <v>560</v>
      </c>
      <c r="B236" s="153" t="s">
        <v>332</v>
      </c>
      <c r="C236" s="149" t="s">
        <v>117</v>
      </c>
    </row>
    <row r="237" spans="1:3" x14ac:dyDescent="0.25">
      <c r="A237" s="149" t="s">
        <v>561</v>
      </c>
      <c r="B237" s="153" t="s">
        <v>332</v>
      </c>
      <c r="C237" s="149" t="s">
        <v>117</v>
      </c>
    </row>
    <row r="238" spans="1:3" x14ac:dyDescent="0.25">
      <c r="A238" s="149" t="s">
        <v>562</v>
      </c>
      <c r="B238" s="153" t="s">
        <v>332</v>
      </c>
      <c r="C238" s="149" t="s">
        <v>117</v>
      </c>
    </row>
    <row r="239" spans="1:3" x14ac:dyDescent="0.25">
      <c r="A239" s="149" t="s">
        <v>563</v>
      </c>
      <c r="B239" s="153" t="s">
        <v>332</v>
      </c>
      <c r="C239" s="149" t="s">
        <v>117</v>
      </c>
    </row>
    <row r="240" spans="1:3" x14ac:dyDescent="0.25">
      <c r="A240" s="149" t="s">
        <v>564</v>
      </c>
      <c r="B240" s="153" t="s">
        <v>332</v>
      </c>
      <c r="C240" s="149" t="s">
        <v>117</v>
      </c>
    </row>
    <row r="241" spans="1:3" x14ac:dyDescent="0.25">
      <c r="A241" s="149" t="s">
        <v>565</v>
      </c>
      <c r="B241" s="153" t="s">
        <v>332</v>
      </c>
      <c r="C241" s="149" t="s">
        <v>117</v>
      </c>
    </row>
    <row r="242" spans="1:3" x14ac:dyDescent="0.25">
      <c r="A242" s="149" t="s">
        <v>566</v>
      </c>
      <c r="B242" s="153" t="s">
        <v>332</v>
      </c>
      <c r="C242" s="149" t="s">
        <v>117</v>
      </c>
    </row>
    <row r="243" spans="1:3" x14ac:dyDescent="0.25">
      <c r="A243" s="149" t="s">
        <v>567</v>
      </c>
      <c r="B243" s="153" t="s">
        <v>332</v>
      </c>
      <c r="C243" s="149" t="s">
        <v>117</v>
      </c>
    </row>
    <row r="244" spans="1:3" x14ac:dyDescent="0.25">
      <c r="A244" s="149" t="s">
        <v>568</v>
      </c>
      <c r="B244" s="153" t="s">
        <v>332</v>
      </c>
      <c r="C244" s="149" t="s">
        <v>117</v>
      </c>
    </row>
    <row r="245" spans="1:3" x14ac:dyDescent="0.25">
      <c r="A245" s="149" t="s">
        <v>569</v>
      </c>
      <c r="B245" s="153" t="s">
        <v>332</v>
      </c>
      <c r="C245" s="149" t="s">
        <v>117</v>
      </c>
    </row>
    <row r="246" spans="1:3" x14ac:dyDescent="0.25">
      <c r="A246" s="149" t="s">
        <v>570</v>
      </c>
      <c r="B246" s="153" t="s">
        <v>332</v>
      </c>
      <c r="C246" s="149" t="s">
        <v>117</v>
      </c>
    </row>
    <row r="247" spans="1:3" x14ac:dyDescent="0.25">
      <c r="A247" s="149" t="s">
        <v>571</v>
      </c>
      <c r="B247" s="153" t="s">
        <v>332</v>
      </c>
      <c r="C247" s="149" t="s">
        <v>117</v>
      </c>
    </row>
    <row r="248" spans="1:3" x14ac:dyDescent="0.25">
      <c r="A248" s="149" t="s">
        <v>572</v>
      </c>
      <c r="B248" s="153" t="s">
        <v>332</v>
      </c>
      <c r="C248" s="149" t="s">
        <v>117</v>
      </c>
    </row>
    <row r="249" spans="1:3" x14ac:dyDescent="0.25">
      <c r="A249" s="149" t="s">
        <v>573</v>
      </c>
      <c r="B249" s="153" t="s">
        <v>332</v>
      </c>
      <c r="C249" s="149" t="s">
        <v>117</v>
      </c>
    </row>
    <row r="250" spans="1:3" x14ac:dyDescent="0.25">
      <c r="A250" s="149" t="s">
        <v>574</v>
      </c>
      <c r="B250" s="153" t="s">
        <v>332</v>
      </c>
      <c r="C250" s="149" t="s">
        <v>117</v>
      </c>
    </row>
    <row r="251" spans="1:3" x14ac:dyDescent="0.25">
      <c r="A251" s="149" t="s">
        <v>575</v>
      </c>
      <c r="B251" s="153" t="s">
        <v>332</v>
      </c>
      <c r="C251" s="149" t="s">
        <v>117</v>
      </c>
    </row>
    <row r="252" spans="1:3" x14ac:dyDescent="0.25">
      <c r="A252" s="149" t="s">
        <v>576</v>
      </c>
      <c r="B252" s="153" t="s">
        <v>332</v>
      </c>
      <c r="C252" s="149" t="s">
        <v>117</v>
      </c>
    </row>
    <row r="253" spans="1:3" x14ac:dyDescent="0.25">
      <c r="A253" s="149" t="s">
        <v>577</v>
      </c>
      <c r="B253" s="153" t="s">
        <v>332</v>
      </c>
      <c r="C253" s="149" t="s">
        <v>117</v>
      </c>
    </row>
    <row r="254" spans="1:3" x14ac:dyDescent="0.25">
      <c r="A254" s="149" t="s">
        <v>578</v>
      </c>
      <c r="B254" s="153" t="s">
        <v>332</v>
      </c>
      <c r="C254" s="149" t="s">
        <v>117</v>
      </c>
    </row>
    <row r="255" spans="1:3" x14ac:dyDescent="0.25">
      <c r="A255" s="149" t="s">
        <v>579</v>
      </c>
      <c r="B255" s="153" t="s">
        <v>332</v>
      </c>
      <c r="C255" s="149" t="s">
        <v>117</v>
      </c>
    </row>
    <row r="256" spans="1:3" x14ac:dyDescent="0.25">
      <c r="A256" s="149" t="s">
        <v>580</v>
      </c>
      <c r="B256" s="153" t="s">
        <v>332</v>
      </c>
      <c r="C256" s="149" t="s">
        <v>117</v>
      </c>
    </row>
    <row r="257" spans="1:3" x14ac:dyDescent="0.25">
      <c r="A257" s="149" t="s">
        <v>581</v>
      </c>
      <c r="B257" s="153" t="s">
        <v>332</v>
      </c>
      <c r="C257" s="149" t="s">
        <v>117</v>
      </c>
    </row>
    <row r="258" spans="1:3" x14ac:dyDescent="0.25">
      <c r="A258" s="149" t="s">
        <v>582</v>
      </c>
      <c r="B258" s="153" t="s">
        <v>332</v>
      </c>
      <c r="C258" s="149" t="s">
        <v>117</v>
      </c>
    </row>
    <row r="259" spans="1:3" x14ac:dyDescent="0.25">
      <c r="A259" s="149" t="s">
        <v>583</v>
      </c>
      <c r="B259" s="153" t="s">
        <v>332</v>
      </c>
      <c r="C259" s="149" t="s">
        <v>117</v>
      </c>
    </row>
    <row r="260" spans="1:3" x14ac:dyDescent="0.25">
      <c r="A260" s="149" t="s">
        <v>584</v>
      </c>
      <c r="B260" s="153" t="s">
        <v>332</v>
      </c>
      <c r="C260" s="149" t="s">
        <v>117</v>
      </c>
    </row>
    <row r="261" spans="1:3" x14ac:dyDescent="0.25">
      <c r="A261" s="149" t="s">
        <v>585</v>
      </c>
      <c r="B261" s="153" t="s">
        <v>332</v>
      </c>
      <c r="C261" s="149" t="s">
        <v>117</v>
      </c>
    </row>
    <row r="262" spans="1:3" x14ac:dyDescent="0.25">
      <c r="A262" s="149" t="s">
        <v>586</v>
      </c>
      <c r="B262" s="153" t="s">
        <v>332</v>
      </c>
      <c r="C262" s="149" t="s">
        <v>117</v>
      </c>
    </row>
    <row r="263" spans="1:3" x14ac:dyDescent="0.25">
      <c r="A263" s="149" t="s">
        <v>587</v>
      </c>
      <c r="B263" s="153" t="s">
        <v>332</v>
      </c>
      <c r="C263" s="149" t="s">
        <v>117</v>
      </c>
    </row>
    <row r="264" spans="1:3" x14ac:dyDescent="0.25">
      <c r="A264" s="149" t="s">
        <v>588</v>
      </c>
      <c r="B264" s="153" t="s">
        <v>332</v>
      </c>
      <c r="C264" s="149" t="s">
        <v>117</v>
      </c>
    </row>
    <row r="265" spans="1:3" x14ac:dyDescent="0.25">
      <c r="A265" s="149" t="s">
        <v>589</v>
      </c>
      <c r="B265" s="153" t="s">
        <v>332</v>
      </c>
      <c r="C265" s="149" t="s">
        <v>117</v>
      </c>
    </row>
    <row r="266" spans="1:3" x14ac:dyDescent="0.25">
      <c r="A266" s="149" t="s">
        <v>590</v>
      </c>
      <c r="B266" s="153" t="s">
        <v>332</v>
      </c>
      <c r="C266" s="149" t="s">
        <v>117</v>
      </c>
    </row>
    <row r="267" spans="1:3" x14ac:dyDescent="0.25">
      <c r="A267" s="149" t="s">
        <v>591</v>
      </c>
      <c r="B267" s="153" t="s">
        <v>332</v>
      </c>
      <c r="C267" s="149" t="s">
        <v>117</v>
      </c>
    </row>
    <row r="268" spans="1:3" x14ac:dyDescent="0.25">
      <c r="A268" s="149" t="s">
        <v>592</v>
      </c>
      <c r="B268" s="153" t="s">
        <v>332</v>
      </c>
      <c r="C268" s="149" t="s">
        <v>117</v>
      </c>
    </row>
    <row r="269" spans="1:3" x14ac:dyDescent="0.25">
      <c r="A269" s="149" t="s">
        <v>593</v>
      </c>
      <c r="B269" s="153" t="s">
        <v>332</v>
      </c>
      <c r="C269" s="149" t="s">
        <v>117</v>
      </c>
    </row>
    <row r="270" spans="1:3" x14ac:dyDescent="0.25">
      <c r="A270" s="149" t="s">
        <v>594</v>
      </c>
      <c r="B270" s="153" t="s">
        <v>332</v>
      </c>
      <c r="C270" s="149" t="s">
        <v>117</v>
      </c>
    </row>
    <row r="271" spans="1:3" x14ac:dyDescent="0.25">
      <c r="A271" s="149" t="s">
        <v>595</v>
      </c>
      <c r="B271" s="153" t="s">
        <v>332</v>
      </c>
      <c r="C271" s="149" t="s">
        <v>117</v>
      </c>
    </row>
    <row r="272" spans="1:3" x14ac:dyDescent="0.25">
      <c r="A272" s="149" t="s">
        <v>596</v>
      </c>
      <c r="B272" s="153" t="s">
        <v>332</v>
      </c>
      <c r="C272" s="149" t="s">
        <v>117</v>
      </c>
    </row>
    <row r="273" spans="1:3" x14ac:dyDescent="0.25">
      <c r="A273" s="149" t="s">
        <v>597</v>
      </c>
      <c r="B273" s="153" t="s">
        <v>332</v>
      </c>
      <c r="C273" s="149" t="s">
        <v>117</v>
      </c>
    </row>
    <row r="274" spans="1:3" x14ac:dyDescent="0.25">
      <c r="A274" s="149" t="s">
        <v>598</v>
      </c>
      <c r="B274" s="153" t="s">
        <v>332</v>
      </c>
      <c r="C274" s="149" t="s">
        <v>117</v>
      </c>
    </row>
    <row r="275" spans="1:3" x14ac:dyDescent="0.25">
      <c r="A275" s="149" t="s">
        <v>599</v>
      </c>
      <c r="B275" s="153" t="s">
        <v>332</v>
      </c>
      <c r="C275" s="149" t="s">
        <v>117</v>
      </c>
    </row>
    <row r="276" spans="1:3" x14ac:dyDescent="0.25">
      <c r="A276" s="149" t="s">
        <v>600</v>
      </c>
      <c r="B276" s="153" t="s">
        <v>332</v>
      </c>
      <c r="C276" s="149" t="s">
        <v>117</v>
      </c>
    </row>
    <row r="277" spans="1:3" x14ac:dyDescent="0.25">
      <c r="A277" s="149" t="s">
        <v>601</v>
      </c>
      <c r="B277" s="153" t="s">
        <v>332</v>
      </c>
      <c r="C277" s="149" t="s">
        <v>117</v>
      </c>
    </row>
    <row r="278" spans="1:3" x14ac:dyDescent="0.25">
      <c r="A278" s="149" t="s">
        <v>602</v>
      </c>
      <c r="B278" s="153" t="s">
        <v>332</v>
      </c>
      <c r="C278" s="149" t="s">
        <v>117</v>
      </c>
    </row>
    <row r="279" spans="1:3" x14ac:dyDescent="0.25">
      <c r="A279" s="149" t="s">
        <v>603</v>
      </c>
      <c r="B279" s="153" t="s">
        <v>332</v>
      </c>
      <c r="C279" s="149" t="s">
        <v>117</v>
      </c>
    </row>
    <row r="280" spans="1:3" x14ac:dyDescent="0.25">
      <c r="A280" s="149" t="s">
        <v>604</v>
      </c>
      <c r="B280" s="153" t="s">
        <v>332</v>
      </c>
      <c r="C280" s="149" t="s">
        <v>117</v>
      </c>
    </row>
    <row r="281" spans="1:3" x14ac:dyDescent="0.25">
      <c r="A281" s="149" t="s">
        <v>605</v>
      </c>
      <c r="B281" s="153" t="s">
        <v>332</v>
      </c>
      <c r="C281" s="149" t="s">
        <v>117</v>
      </c>
    </row>
    <row r="282" spans="1:3" x14ac:dyDescent="0.25">
      <c r="A282" s="149" t="s">
        <v>606</v>
      </c>
      <c r="B282" s="153" t="s">
        <v>332</v>
      </c>
      <c r="C282" s="149" t="s">
        <v>117</v>
      </c>
    </row>
    <row r="283" spans="1:3" x14ac:dyDescent="0.25">
      <c r="A283" s="149" t="s">
        <v>607</v>
      </c>
      <c r="B283" s="153" t="s">
        <v>332</v>
      </c>
      <c r="C283" s="149" t="s">
        <v>117</v>
      </c>
    </row>
    <row r="284" spans="1:3" x14ac:dyDescent="0.25">
      <c r="A284" s="149" t="s">
        <v>608</v>
      </c>
      <c r="B284" s="153" t="s">
        <v>332</v>
      </c>
      <c r="C284" s="149" t="s">
        <v>117</v>
      </c>
    </row>
    <row r="285" spans="1:3" x14ac:dyDescent="0.25">
      <c r="A285" s="149" t="s">
        <v>609</v>
      </c>
      <c r="B285" s="153" t="s">
        <v>332</v>
      </c>
      <c r="C285" s="149" t="s">
        <v>117</v>
      </c>
    </row>
    <row r="286" spans="1:3" x14ac:dyDescent="0.25">
      <c r="A286" s="149" t="s">
        <v>610</v>
      </c>
      <c r="B286" s="153" t="s">
        <v>332</v>
      </c>
      <c r="C286" s="149" t="s">
        <v>117</v>
      </c>
    </row>
    <row r="287" spans="1:3" x14ac:dyDescent="0.25">
      <c r="A287" s="149" t="s">
        <v>611</v>
      </c>
      <c r="B287" s="153" t="s">
        <v>332</v>
      </c>
      <c r="C287" s="149" t="s">
        <v>117</v>
      </c>
    </row>
    <row r="288" spans="1:3" x14ac:dyDescent="0.25">
      <c r="A288" s="149" t="s">
        <v>612</v>
      </c>
      <c r="B288" s="153" t="s">
        <v>332</v>
      </c>
      <c r="C288" s="149" t="s">
        <v>117</v>
      </c>
    </row>
    <row r="289" spans="1:3" x14ac:dyDescent="0.25">
      <c r="A289" s="149" t="s">
        <v>613</v>
      </c>
      <c r="B289" s="153" t="s">
        <v>332</v>
      </c>
      <c r="C289" s="149" t="s">
        <v>117</v>
      </c>
    </row>
    <row r="290" spans="1:3" x14ac:dyDescent="0.25">
      <c r="A290" s="149" t="s">
        <v>614</v>
      </c>
      <c r="B290" s="153" t="s">
        <v>332</v>
      </c>
      <c r="C290" s="149" t="s">
        <v>117</v>
      </c>
    </row>
    <row r="291" spans="1:3" x14ac:dyDescent="0.25">
      <c r="A291" s="149" t="s">
        <v>615</v>
      </c>
      <c r="B291" s="153" t="s">
        <v>332</v>
      </c>
      <c r="C291" s="149" t="s">
        <v>117</v>
      </c>
    </row>
    <row r="292" spans="1:3" x14ac:dyDescent="0.25">
      <c r="A292" s="149" t="s">
        <v>616</v>
      </c>
      <c r="B292" s="153" t="s">
        <v>332</v>
      </c>
      <c r="C292" s="149" t="s">
        <v>117</v>
      </c>
    </row>
    <row r="293" spans="1:3" x14ac:dyDescent="0.25">
      <c r="A293" s="149" t="s">
        <v>617</v>
      </c>
      <c r="B293" s="153" t="s">
        <v>332</v>
      </c>
      <c r="C293" s="149" t="s">
        <v>117</v>
      </c>
    </row>
    <row r="294" spans="1:3" x14ac:dyDescent="0.25">
      <c r="A294" s="149" t="s">
        <v>618</v>
      </c>
      <c r="B294" s="153" t="s">
        <v>332</v>
      </c>
      <c r="C294" s="149" t="s">
        <v>117</v>
      </c>
    </row>
    <row r="295" spans="1:3" x14ac:dyDescent="0.25">
      <c r="A295" s="149" t="s">
        <v>619</v>
      </c>
      <c r="B295" s="153" t="s">
        <v>332</v>
      </c>
      <c r="C295" s="149" t="s">
        <v>117</v>
      </c>
    </row>
    <row r="296" spans="1:3" x14ac:dyDescent="0.25">
      <c r="A296" s="149" t="s">
        <v>620</v>
      </c>
      <c r="B296" s="153" t="s">
        <v>332</v>
      </c>
      <c r="C296" s="149" t="s">
        <v>117</v>
      </c>
    </row>
    <row r="297" spans="1:3" x14ac:dyDescent="0.25">
      <c r="A297" s="149" t="s">
        <v>621</v>
      </c>
      <c r="B297" s="153" t="s">
        <v>332</v>
      </c>
      <c r="C297" s="149" t="s">
        <v>117</v>
      </c>
    </row>
    <row r="298" spans="1:3" x14ac:dyDescent="0.25">
      <c r="A298" s="149" t="s">
        <v>622</v>
      </c>
      <c r="B298" s="153" t="s">
        <v>332</v>
      </c>
      <c r="C298" s="149" t="s">
        <v>117</v>
      </c>
    </row>
    <row r="299" spans="1:3" x14ac:dyDescent="0.25">
      <c r="A299" s="149" t="s">
        <v>623</v>
      </c>
      <c r="B299" s="153" t="s">
        <v>332</v>
      </c>
      <c r="C299" s="149" t="s">
        <v>117</v>
      </c>
    </row>
    <row r="300" spans="1:3" x14ac:dyDescent="0.25">
      <c r="A300" s="149" t="s">
        <v>624</v>
      </c>
      <c r="B300" s="153" t="s">
        <v>332</v>
      </c>
      <c r="C300" s="149" t="s">
        <v>117</v>
      </c>
    </row>
    <row r="301" spans="1:3" x14ac:dyDescent="0.25">
      <c r="A301" s="149" t="s">
        <v>625</v>
      </c>
      <c r="B301" s="153" t="s">
        <v>332</v>
      </c>
      <c r="C301" s="149" t="s">
        <v>117</v>
      </c>
    </row>
    <row r="302" spans="1:3" x14ac:dyDescent="0.25">
      <c r="A302" s="149" t="s">
        <v>626</v>
      </c>
      <c r="B302" s="153" t="s">
        <v>332</v>
      </c>
      <c r="C302" s="149" t="s">
        <v>117</v>
      </c>
    </row>
    <row r="303" spans="1:3" x14ac:dyDescent="0.25">
      <c r="A303" s="149" t="s">
        <v>627</v>
      </c>
      <c r="B303" s="153" t="s">
        <v>332</v>
      </c>
      <c r="C303" s="149" t="s">
        <v>117</v>
      </c>
    </row>
    <row r="304" spans="1:3" x14ac:dyDescent="0.25">
      <c r="A304" s="149" t="s">
        <v>628</v>
      </c>
      <c r="B304" s="153" t="s">
        <v>332</v>
      </c>
      <c r="C304" s="149" t="s">
        <v>117</v>
      </c>
    </row>
    <row r="305" spans="1:3" x14ac:dyDescent="0.25">
      <c r="A305" s="149" t="s">
        <v>629</v>
      </c>
      <c r="B305" s="153" t="s">
        <v>332</v>
      </c>
      <c r="C305" s="149" t="s">
        <v>117</v>
      </c>
    </row>
    <row r="306" spans="1:3" x14ac:dyDescent="0.25">
      <c r="A306" s="149" t="s">
        <v>630</v>
      </c>
      <c r="B306" s="153" t="s">
        <v>332</v>
      </c>
      <c r="C306" s="149" t="s">
        <v>117</v>
      </c>
    </row>
    <row r="307" spans="1:3" x14ac:dyDescent="0.25">
      <c r="A307" s="149" t="s">
        <v>631</v>
      </c>
      <c r="B307" s="153" t="s">
        <v>332</v>
      </c>
      <c r="C307" s="149" t="s">
        <v>117</v>
      </c>
    </row>
    <row r="308" spans="1:3" x14ac:dyDescent="0.25">
      <c r="A308" s="149" t="s">
        <v>632</v>
      </c>
      <c r="B308" s="153" t="s">
        <v>332</v>
      </c>
      <c r="C308" s="149" t="s">
        <v>117</v>
      </c>
    </row>
    <row r="309" spans="1:3" x14ac:dyDescent="0.25">
      <c r="A309" s="149" t="s">
        <v>633</v>
      </c>
      <c r="B309" s="153" t="s">
        <v>332</v>
      </c>
      <c r="C309" s="149" t="s">
        <v>117</v>
      </c>
    </row>
    <row r="310" spans="1:3" x14ac:dyDescent="0.25">
      <c r="A310" s="149" t="s">
        <v>634</v>
      </c>
      <c r="B310" s="153" t="s">
        <v>332</v>
      </c>
      <c r="C310" s="149" t="s">
        <v>117</v>
      </c>
    </row>
    <row r="311" spans="1:3" x14ac:dyDescent="0.25">
      <c r="A311" s="149" t="s">
        <v>635</v>
      </c>
      <c r="B311" s="153" t="s">
        <v>332</v>
      </c>
      <c r="C311" s="149" t="s">
        <v>117</v>
      </c>
    </row>
    <row r="312" spans="1:3" x14ac:dyDescent="0.25">
      <c r="A312" s="149" t="s">
        <v>636</v>
      </c>
      <c r="B312" s="153" t="s">
        <v>332</v>
      </c>
      <c r="C312" s="149" t="s">
        <v>117</v>
      </c>
    </row>
    <row r="313" spans="1:3" x14ac:dyDescent="0.25">
      <c r="A313" s="149" t="s">
        <v>637</v>
      </c>
      <c r="B313" s="153" t="s">
        <v>332</v>
      </c>
      <c r="C313" s="149" t="s">
        <v>117</v>
      </c>
    </row>
    <row r="314" spans="1:3" x14ac:dyDescent="0.25">
      <c r="A314" s="149" t="s">
        <v>638</v>
      </c>
      <c r="B314" s="153" t="s">
        <v>332</v>
      </c>
      <c r="C314" s="149" t="s">
        <v>117</v>
      </c>
    </row>
    <row r="315" spans="1:3" x14ac:dyDescent="0.25">
      <c r="A315" s="149" t="s">
        <v>639</v>
      </c>
      <c r="B315" s="153" t="s">
        <v>332</v>
      </c>
      <c r="C315" s="149" t="s">
        <v>117</v>
      </c>
    </row>
    <row r="316" spans="1:3" x14ac:dyDescent="0.25">
      <c r="A316" s="149" t="s">
        <v>640</v>
      </c>
      <c r="B316" s="153" t="s">
        <v>332</v>
      </c>
      <c r="C316" s="149" t="s">
        <v>117</v>
      </c>
    </row>
    <row r="317" spans="1:3" x14ac:dyDescent="0.25">
      <c r="A317" s="149" t="s">
        <v>641</v>
      </c>
      <c r="B317" s="153" t="s">
        <v>332</v>
      </c>
      <c r="C317" s="149" t="s">
        <v>117</v>
      </c>
    </row>
    <row r="318" spans="1:3" x14ac:dyDescent="0.25">
      <c r="A318" s="149" t="s">
        <v>642</v>
      </c>
      <c r="B318" s="153" t="s">
        <v>332</v>
      </c>
      <c r="C318" s="149" t="s">
        <v>117</v>
      </c>
    </row>
    <row r="319" spans="1:3" x14ac:dyDescent="0.25">
      <c r="A319" s="149" t="s">
        <v>643</v>
      </c>
      <c r="B319" s="153" t="s">
        <v>332</v>
      </c>
      <c r="C319" s="149" t="s">
        <v>117</v>
      </c>
    </row>
    <row r="320" spans="1:3" x14ac:dyDescent="0.25">
      <c r="A320" s="149" t="s">
        <v>644</v>
      </c>
      <c r="B320" s="153" t="s">
        <v>332</v>
      </c>
      <c r="C320" s="149" t="s">
        <v>117</v>
      </c>
    </row>
    <row r="321" spans="1:3" x14ac:dyDescent="0.25">
      <c r="A321" s="149" t="s">
        <v>645</v>
      </c>
      <c r="B321" s="153" t="s">
        <v>332</v>
      </c>
      <c r="C321" s="149" t="s">
        <v>117</v>
      </c>
    </row>
    <row r="322" spans="1:3" x14ac:dyDescent="0.25">
      <c r="A322" s="149" t="s">
        <v>646</v>
      </c>
      <c r="B322" s="153" t="s">
        <v>332</v>
      </c>
      <c r="C322" s="149" t="s">
        <v>117</v>
      </c>
    </row>
    <row r="323" spans="1:3" x14ac:dyDescent="0.25">
      <c r="A323" s="149" t="s">
        <v>647</v>
      </c>
      <c r="B323" s="153" t="s">
        <v>332</v>
      </c>
      <c r="C323" s="149" t="s">
        <v>117</v>
      </c>
    </row>
    <row r="324" spans="1:3" x14ac:dyDescent="0.25">
      <c r="A324" s="149" t="s">
        <v>648</v>
      </c>
      <c r="B324" s="153" t="s">
        <v>332</v>
      </c>
      <c r="C324" s="149" t="s">
        <v>117</v>
      </c>
    </row>
    <row r="325" spans="1:3" x14ac:dyDescent="0.25">
      <c r="A325" s="149" t="s">
        <v>649</v>
      </c>
      <c r="B325" s="153" t="s">
        <v>332</v>
      </c>
      <c r="C325" s="149" t="s">
        <v>117</v>
      </c>
    </row>
    <row r="326" spans="1:3" x14ac:dyDescent="0.25">
      <c r="A326" s="149" t="s">
        <v>650</v>
      </c>
      <c r="B326" s="153" t="s">
        <v>332</v>
      </c>
      <c r="C326" s="149" t="s">
        <v>117</v>
      </c>
    </row>
    <row r="327" spans="1:3" x14ac:dyDescent="0.25">
      <c r="A327" s="149" t="s">
        <v>651</v>
      </c>
      <c r="B327" s="153" t="s">
        <v>332</v>
      </c>
      <c r="C327" s="149" t="s">
        <v>117</v>
      </c>
    </row>
    <row r="328" spans="1:3" x14ac:dyDescent="0.25">
      <c r="A328" s="149" t="s">
        <v>652</v>
      </c>
      <c r="B328" s="153" t="s">
        <v>332</v>
      </c>
      <c r="C328" s="149" t="s">
        <v>117</v>
      </c>
    </row>
    <row r="329" spans="1:3" x14ac:dyDescent="0.25">
      <c r="A329" s="149" t="s">
        <v>653</v>
      </c>
      <c r="B329" s="153" t="s">
        <v>332</v>
      </c>
      <c r="C329" s="149" t="s">
        <v>117</v>
      </c>
    </row>
    <row r="330" spans="1:3" x14ac:dyDescent="0.25">
      <c r="A330" s="149" t="s">
        <v>654</v>
      </c>
      <c r="B330" s="153" t="s">
        <v>332</v>
      </c>
      <c r="C330" s="149" t="s">
        <v>117</v>
      </c>
    </row>
    <row r="331" spans="1:3" x14ac:dyDescent="0.25">
      <c r="A331" s="149" t="s">
        <v>655</v>
      </c>
      <c r="B331" s="153" t="s">
        <v>332</v>
      </c>
      <c r="C331" s="149" t="s">
        <v>117</v>
      </c>
    </row>
    <row r="332" spans="1:3" x14ac:dyDescent="0.25">
      <c r="A332" s="149" t="s">
        <v>656</v>
      </c>
      <c r="B332" s="153" t="s">
        <v>332</v>
      </c>
      <c r="C332" s="149" t="s">
        <v>117</v>
      </c>
    </row>
    <row r="333" spans="1:3" x14ac:dyDescent="0.25">
      <c r="A333" s="149" t="s">
        <v>657</v>
      </c>
      <c r="B333" s="153" t="s">
        <v>332</v>
      </c>
      <c r="C333" s="149" t="s">
        <v>117</v>
      </c>
    </row>
    <row r="334" spans="1:3" x14ac:dyDescent="0.25">
      <c r="A334" s="149" t="s">
        <v>658</v>
      </c>
      <c r="B334" s="153" t="s">
        <v>332</v>
      </c>
      <c r="C334" s="149" t="s">
        <v>117</v>
      </c>
    </row>
    <row r="335" spans="1:3" x14ac:dyDescent="0.25">
      <c r="A335" s="149" t="s">
        <v>659</v>
      </c>
      <c r="B335" s="153" t="s">
        <v>332</v>
      </c>
      <c r="C335" s="149" t="s">
        <v>117</v>
      </c>
    </row>
    <row r="336" spans="1:3" x14ac:dyDescent="0.25">
      <c r="A336" s="149" t="s">
        <v>660</v>
      </c>
      <c r="B336" s="153" t="s">
        <v>332</v>
      </c>
      <c r="C336" s="149" t="s">
        <v>117</v>
      </c>
    </row>
    <row r="337" spans="1:3" x14ac:dyDescent="0.25">
      <c r="A337" s="149" t="s">
        <v>661</v>
      </c>
      <c r="B337" s="153" t="s">
        <v>332</v>
      </c>
      <c r="C337" s="149" t="s">
        <v>117</v>
      </c>
    </row>
    <row r="338" spans="1:3" x14ac:dyDescent="0.25">
      <c r="A338" s="149" t="s">
        <v>662</v>
      </c>
      <c r="B338" s="153" t="s">
        <v>332</v>
      </c>
      <c r="C338" s="149" t="s">
        <v>117</v>
      </c>
    </row>
    <row r="339" spans="1:3" x14ac:dyDescent="0.25">
      <c r="A339" s="149" t="s">
        <v>663</v>
      </c>
      <c r="B339" s="153" t="s">
        <v>332</v>
      </c>
      <c r="C339" s="149" t="s">
        <v>117</v>
      </c>
    </row>
    <row r="340" spans="1:3" x14ac:dyDescent="0.25">
      <c r="A340" s="149" t="s">
        <v>664</v>
      </c>
      <c r="B340" s="153" t="s">
        <v>332</v>
      </c>
      <c r="C340" s="149" t="s">
        <v>117</v>
      </c>
    </row>
    <row r="341" spans="1:3" x14ac:dyDescent="0.25">
      <c r="A341" s="149" t="s">
        <v>665</v>
      </c>
      <c r="B341" s="153" t="s">
        <v>332</v>
      </c>
      <c r="C341" s="149" t="s">
        <v>117</v>
      </c>
    </row>
    <row r="342" spans="1:3" x14ac:dyDescent="0.25">
      <c r="A342" s="149" t="s">
        <v>666</v>
      </c>
      <c r="B342" s="153" t="s">
        <v>332</v>
      </c>
      <c r="C342" s="149" t="s">
        <v>117</v>
      </c>
    </row>
    <row r="343" spans="1:3" x14ac:dyDescent="0.25">
      <c r="A343" s="149" t="s">
        <v>667</v>
      </c>
      <c r="B343" s="153" t="s">
        <v>332</v>
      </c>
      <c r="C343" s="149" t="s">
        <v>117</v>
      </c>
    </row>
    <row r="344" spans="1:3" x14ac:dyDescent="0.25">
      <c r="A344" s="149" t="s">
        <v>668</v>
      </c>
      <c r="B344" s="153" t="s">
        <v>332</v>
      </c>
      <c r="C344" s="149" t="s">
        <v>117</v>
      </c>
    </row>
    <row r="345" spans="1:3" x14ac:dyDescent="0.25">
      <c r="A345" s="149" t="s">
        <v>669</v>
      </c>
      <c r="B345" s="153" t="s">
        <v>332</v>
      </c>
      <c r="C345" s="149" t="s">
        <v>117</v>
      </c>
    </row>
    <row r="346" spans="1:3" x14ac:dyDescent="0.25">
      <c r="A346" s="149" t="s">
        <v>670</v>
      </c>
      <c r="B346" s="153" t="s">
        <v>332</v>
      </c>
      <c r="C346" s="149" t="s">
        <v>117</v>
      </c>
    </row>
    <row r="347" spans="1:3" x14ac:dyDescent="0.25">
      <c r="A347" s="149" t="s">
        <v>671</v>
      </c>
      <c r="B347" s="153" t="s">
        <v>332</v>
      </c>
      <c r="C347" s="149" t="s">
        <v>117</v>
      </c>
    </row>
    <row r="348" spans="1:3" x14ac:dyDescent="0.25">
      <c r="A348" s="149" t="s">
        <v>672</v>
      </c>
      <c r="B348" s="153" t="s">
        <v>332</v>
      </c>
      <c r="C348" s="149" t="s">
        <v>117</v>
      </c>
    </row>
    <row r="349" spans="1:3" x14ac:dyDescent="0.25">
      <c r="A349" s="149" t="s">
        <v>673</v>
      </c>
      <c r="B349" s="153" t="s">
        <v>332</v>
      </c>
      <c r="C349" s="149" t="s">
        <v>117</v>
      </c>
    </row>
    <row r="350" spans="1:3" x14ac:dyDescent="0.25">
      <c r="A350" s="149" t="s">
        <v>674</v>
      </c>
      <c r="B350" s="153" t="s">
        <v>332</v>
      </c>
      <c r="C350" s="149" t="s">
        <v>117</v>
      </c>
    </row>
    <row r="351" spans="1:3" x14ac:dyDescent="0.25">
      <c r="A351" s="149" t="s">
        <v>675</v>
      </c>
      <c r="B351" s="153" t="s">
        <v>332</v>
      </c>
      <c r="C351" s="149" t="s">
        <v>117</v>
      </c>
    </row>
    <row r="352" spans="1:3" x14ac:dyDescent="0.25">
      <c r="A352" s="149" t="s">
        <v>676</v>
      </c>
      <c r="B352" s="153" t="s">
        <v>332</v>
      </c>
      <c r="C352" s="149" t="s">
        <v>117</v>
      </c>
    </row>
    <row r="353" spans="1:3" x14ac:dyDescent="0.25">
      <c r="A353" s="149" t="s">
        <v>677</v>
      </c>
      <c r="B353" s="153" t="s">
        <v>332</v>
      </c>
      <c r="C353" s="149" t="s">
        <v>117</v>
      </c>
    </row>
    <row r="354" spans="1:3" x14ac:dyDescent="0.25">
      <c r="A354" s="149" t="s">
        <v>678</v>
      </c>
      <c r="B354" s="153" t="s">
        <v>332</v>
      </c>
      <c r="C354" s="149" t="s">
        <v>117</v>
      </c>
    </row>
    <row r="355" spans="1:3" x14ac:dyDescent="0.25">
      <c r="A355" s="149" t="s">
        <v>679</v>
      </c>
      <c r="B355" s="153" t="s">
        <v>332</v>
      </c>
      <c r="C355" s="149" t="s">
        <v>117</v>
      </c>
    </row>
    <row r="356" spans="1:3" x14ac:dyDescent="0.25">
      <c r="A356" s="149" t="s">
        <v>680</v>
      </c>
      <c r="B356" s="153" t="s">
        <v>332</v>
      </c>
      <c r="C356" s="149" t="s">
        <v>117</v>
      </c>
    </row>
    <row r="357" spans="1:3" x14ac:dyDescent="0.25">
      <c r="A357" s="149" t="s">
        <v>681</v>
      </c>
      <c r="B357" s="153" t="s">
        <v>332</v>
      </c>
      <c r="C357" s="149" t="s">
        <v>117</v>
      </c>
    </row>
    <row r="358" spans="1:3" x14ac:dyDescent="0.25">
      <c r="A358" s="149" t="s">
        <v>682</v>
      </c>
      <c r="B358" s="153" t="s">
        <v>332</v>
      </c>
      <c r="C358" s="149" t="s">
        <v>117</v>
      </c>
    </row>
    <row r="359" spans="1:3" x14ac:dyDescent="0.25">
      <c r="A359" s="149" t="s">
        <v>683</v>
      </c>
      <c r="B359" s="153" t="s">
        <v>332</v>
      </c>
      <c r="C359" s="149" t="s">
        <v>117</v>
      </c>
    </row>
    <row r="360" spans="1:3" x14ac:dyDescent="0.25">
      <c r="A360" s="149" t="s">
        <v>684</v>
      </c>
      <c r="B360" s="153" t="s">
        <v>332</v>
      </c>
      <c r="C360" s="149" t="s">
        <v>117</v>
      </c>
    </row>
    <row r="361" spans="1:3" x14ac:dyDescent="0.25">
      <c r="A361" s="149" t="s">
        <v>685</v>
      </c>
      <c r="B361" s="153" t="s">
        <v>332</v>
      </c>
      <c r="C361" s="149" t="s">
        <v>117</v>
      </c>
    </row>
    <row r="362" spans="1:3" x14ac:dyDescent="0.25">
      <c r="A362" s="149" t="s">
        <v>686</v>
      </c>
      <c r="B362" s="153" t="s">
        <v>332</v>
      </c>
      <c r="C362" s="149" t="s">
        <v>117</v>
      </c>
    </row>
    <row r="363" spans="1:3" x14ac:dyDescent="0.25">
      <c r="A363" s="149" t="s">
        <v>687</v>
      </c>
      <c r="B363" s="153" t="s">
        <v>332</v>
      </c>
      <c r="C363" s="149" t="s">
        <v>117</v>
      </c>
    </row>
    <row r="364" spans="1:3" x14ac:dyDescent="0.25">
      <c r="A364" s="149" t="s">
        <v>688</v>
      </c>
      <c r="B364" s="153" t="s">
        <v>332</v>
      </c>
      <c r="C364" s="149" t="s">
        <v>117</v>
      </c>
    </row>
    <row r="365" spans="1:3" x14ac:dyDescent="0.25">
      <c r="A365" s="149" t="s">
        <v>689</v>
      </c>
      <c r="B365" s="153" t="s">
        <v>332</v>
      </c>
      <c r="C365" s="149" t="s">
        <v>117</v>
      </c>
    </row>
    <row r="366" spans="1:3" x14ac:dyDescent="0.25">
      <c r="A366" s="149" t="s">
        <v>690</v>
      </c>
      <c r="B366" s="153" t="s">
        <v>332</v>
      </c>
      <c r="C366" s="149" t="s">
        <v>117</v>
      </c>
    </row>
    <row r="367" spans="1:3" x14ac:dyDescent="0.25">
      <c r="A367" s="149" t="s">
        <v>691</v>
      </c>
      <c r="B367" s="153" t="s">
        <v>332</v>
      </c>
      <c r="C367" s="149" t="s">
        <v>117</v>
      </c>
    </row>
    <row r="368" spans="1:3" x14ac:dyDescent="0.25">
      <c r="A368" s="149" t="s">
        <v>692</v>
      </c>
      <c r="B368" s="153" t="s">
        <v>332</v>
      </c>
      <c r="C368" s="149" t="s">
        <v>117</v>
      </c>
    </row>
    <row r="369" spans="1:3" x14ac:dyDescent="0.25">
      <c r="A369" s="149" t="s">
        <v>693</v>
      </c>
      <c r="B369" s="153" t="s">
        <v>332</v>
      </c>
      <c r="C369" s="149" t="s">
        <v>117</v>
      </c>
    </row>
    <row r="370" spans="1:3" x14ac:dyDescent="0.25">
      <c r="A370" s="149" t="s">
        <v>694</v>
      </c>
      <c r="B370" s="153" t="s">
        <v>332</v>
      </c>
      <c r="C370" s="149" t="s">
        <v>117</v>
      </c>
    </row>
    <row r="371" spans="1:3" x14ac:dyDescent="0.25">
      <c r="A371" s="149" t="s">
        <v>695</v>
      </c>
      <c r="B371" s="153" t="s">
        <v>332</v>
      </c>
      <c r="C371" s="149" t="s">
        <v>117</v>
      </c>
    </row>
    <row r="372" spans="1:3" x14ac:dyDescent="0.25">
      <c r="A372" s="149" t="s">
        <v>696</v>
      </c>
      <c r="B372" s="153" t="s">
        <v>332</v>
      </c>
      <c r="C372" s="149" t="s">
        <v>117</v>
      </c>
    </row>
    <row r="373" spans="1:3" x14ac:dyDescent="0.25">
      <c r="A373" s="149" t="s">
        <v>697</v>
      </c>
      <c r="B373" s="153" t="s">
        <v>332</v>
      </c>
      <c r="C373" s="149" t="s">
        <v>117</v>
      </c>
    </row>
    <row r="374" spans="1:3" x14ac:dyDescent="0.25">
      <c r="A374" s="149" t="s">
        <v>698</v>
      </c>
      <c r="B374" s="153" t="s">
        <v>332</v>
      </c>
      <c r="C374" s="149" t="s">
        <v>117</v>
      </c>
    </row>
    <row r="375" spans="1:3" x14ac:dyDescent="0.25">
      <c r="A375" s="149" t="s">
        <v>699</v>
      </c>
      <c r="B375" s="153" t="s">
        <v>332</v>
      </c>
      <c r="C375" s="149" t="s">
        <v>117</v>
      </c>
    </row>
    <row r="376" spans="1:3" x14ac:dyDescent="0.25">
      <c r="A376" s="149" t="s">
        <v>700</v>
      </c>
      <c r="B376" s="153" t="s">
        <v>332</v>
      </c>
      <c r="C376" s="149" t="s">
        <v>117</v>
      </c>
    </row>
    <row r="377" spans="1:3" x14ac:dyDescent="0.25">
      <c r="A377" s="149" t="s">
        <v>701</v>
      </c>
      <c r="B377" s="153" t="s">
        <v>332</v>
      </c>
      <c r="C377" s="149" t="s">
        <v>117</v>
      </c>
    </row>
    <row r="378" spans="1:3" x14ac:dyDescent="0.25">
      <c r="A378" s="149" t="s">
        <v>702</v>
      </c>
      <c r="B378" s="153" t="s">
        <v>332</v>
      </c>
      <c r="C378" s="149" t="s">
        <v>117</v>
      </c>
    </row>
    <row r="379" spans="1:3" x14ac:dyDescent="0.25">
      <c r="A379" s="149" t="s">
        <v>703</v>
      </c>
      <c r="B379" s="153" t="s">
        <v>332</v>
      </c>
      <c r="C379" s="149" t="s">
        <v>117</v>
      </c>
    </row>
    <row r="380" spans="1:3" x14ac:dyDescent="0.25">
      <c r="A380" s="149" t="s">
        <v>704</v>
      </c>
      <c r="B380" s="153" t="s">
        <v>332</v>
      </c>
      <c r="C380" s="149" t="s">
        <v>117</v>
      </c>
    </row>
    <row r="381" spans="1:3" x14ac:dyDescent="0.25">
      <c r="A381" s="149" t="s">
        <v>705</v>
      </c>
      <c r="B381" s="153" t="s">
        <v>332</v>
      </c>
      <c r="C381" s="149" t="s">
        <v>117</v>
      </c>
    </row>
    <row r="382" spans="1:3" x14ac:dyDescent="0.25">
      <c r="A382" s="149" t="s">
        <v>706</v>
      </c>
      <c r="B382" s="153" t="s">
        <v>332</v>
      </c>
      <c r="C382" s="149" t="s">
        <v>117</v>
      </c>
    </row>
    <row r="383" spans="1:3" x14ac:dyDescent="0.25">
      <c r="A383" s="149" t="s">
        <v>707</v>
      </c>
      <c r="B383" s="153" t="s">
        <v>332</v>
      </c>
      <c r="C383" s="149" t="s">
        <v>117</v>
      </c>
    </row>
    <row r="384" spans="1:3" x14ac:dyDescent="0.25">
      <c r="A384" s="149" t="s">
        <v>708</v>
      </c>
      <c r="B384" s="153" t="s">
        <v>332</v>
      </c>
      <c r="C384" s="149" t="s">
        <v>117</v>
      </c>
    </row>
    <row r="385" spans="1:3" x14ac:dyDescent="0.25">
      <c r="A385" s="149" t="s">
        <v>709</v>
      </c>
      <c r="B385" s="153" t="s">
        <v>332</v>
      </c>
      <c r="C385" s="149" t="s">
        <v>117</v>
      </c>
    </row>
    <row r="386" spans="1:3" x14ac:dyDescent="0.25">
      <c r="A386" s="149" t="s">
        <v>710</v>
      </c>
      <c r="B386" s="153" t="s">
        <v>332</v>
      </c>
      <c r="C386" s="149" t="s">
        <v>117</v>
      </c>
    </row>
    <row r="387" spans="1:3" x14ac:dyDescent="0.25">
      <c r="A387" s="149" t="s">
        <v>711</v>
      </c>
      <c r="B387" s="153" t="s">
        <v>332</v>
      </c>
      <c r="C387" s="149" t="s">
        <v>117</v>
      </c>
    </row>
    <row r="388" spans="1:3" x14ac:dyDescent="0.25">
      <c r="A388" s="149" t="s">
        <v>712</v>
      </c>
      <c r="B388" s="153" t="s">
        <v>332</v>
      </c>
      <c r="C388" s="149" t="s">
        <v>117</v>
      </c>
    </row>
    <row r="389" spans="1:3" x14ac:dyDescent="0.25">
      <c r="A389" s="149" t="s">
        <v>713</v>
      </c>
      <c r="B389" s="153" t="s">
        <v>332</v>
      </c>
      <c r="C389" s="149" t="s">
        <v>117</v>
      </c>
    </row>
    <row r="390" spans="1:3" x14ac:dyDescent="0.25">
      <c r="A390" s="149" t="s">
        <v>714</v>
      </c>
      <c r="B390" s="153" t="s">
        <v>332</v>
      </c>
      <c r="C390" s="149" t="s">
        <v>117</v>
      </c>
    </row>
    <row r="391" spans="1:3" x14ac:dyDescent="0.25">
      <c r="A391" s="149" t="s">
        <v>715</v>
      </c>
      <c r="B391" s="153" t="s">
        <v>332</v>
      </c>
      <c r="C391" s="149" t="s">
        <v>117</v>
      </c>
    </row>
    <row r="392" spans="1:3" x14ac:dyDescent="0.25">
      <c r="A392" s="149" t="s">
        <v>716</v>
      </c>
      <c r="B392" s="153" t="s">
        <v>332</v>
      </c>
      <c r="C392" s="149" t="s">
        <v>117</v>
      </c>
    </row>
    <row r="393" spans="1:3" x14ac:dyDescent="0.25">
      <c r="A393" s="149" t="s">
        <v>717</v>
      </c>
      <c r="B393" s="153" t="s">
        <v>332</v>
      </c>
      <c r="C393" s="149" t="s">
        <v>117</v>
      </c>
    </row>
    <row r="394" spans="1:3" x14ac:dyDescent="0.25">
      <c r="A394" s="149" t="s">
        <v>718</v>
      </c>
      <c r="B394" s="153" t="s">
        <v>332</v>
      </c>
      <c r="C394" s="149" t="s">
        <v>117</v>
      </c>
    </row>
    <row r="395" spans="1:3" x14ac:dyDescent="0.25">
      <c r="A395" s="149" t="s">
        <v>719</v>
      </c>
      <c r="B395" s="153" t="s">
        <v>332</v>
      </c>
      <c r="C395" s="149" t="s">
        <v>117</v>
      </c>
    </row>
    <row r="396" spans="1:3" x14ac:dyDescent="0.25">
      <c r="A396" s="149" t="s">
        <v>720</v>
      </c>
      <c r="B396" s="153" t="s">
        <v>332</v>
      </c>
      <c r="C396" s="149" t="s">
        <v>117</v>
      </c>
    </row>
    <row r="397" spans="1:3" x14ac:dyDescent="0.25">
      <c r="A397" s="149" t="s">
        <v>721</v>
      </c>
      <c r="B397" s="153" t="s">
        <v>332</v>
      </c>
      <c r="C397" s="149" t="s">
        <v>117</v>
      </c>
    </row>
    <row r="398" spans="1:3" x14ac:dyDescent="0.25">
      <c r="A398" s="149" t="s">
        <v>722</v>
      </c>
      <c r="B398" s="153" t="s">
        <v>332</v>
      </c>
      <c r="C398" s="149" t="s">
        <v>117</v>
      </c>
    </row>
    <row r="399" spans="1:3" x14ac:dyDescent="0.25">
      <c r="A399" s="149" t="s">
        <v>723</v>
      </c>
      <c r="B399" s="153" t="s">
        <v>332</v>
      </c>
      <c r="C399" s="149" t="s">
        <v>117</v>
      </c>
    </row>
    <row r="400" spans="1:3" x14ac:dyDescent="0.25">
      <c r="A400" s="149" t="s">
        <v>724</v>
      </c>
      <c r="B400" s="153" t="s">
        <v>332</v>
      </c>
      <c r="C400" s="149" t="s">
        <v>117</v>
      </c>
    </row>
    <row r="401" spans="1:3" x14ac:dyDescent="0.25">
      <c r="A401" s="149" t="s">
        <v>725</v>
      </c>
      <c r="B401" s="153" t="s">
        <v>332</v>
      </c>
      <c r="C401" s="149" t="s">
        <v>117</v>
      </c>
    </row>
    <row r="402" spans="1:3" x14ac:dyDescent="0.25">
      <c r="A402" s="149" t="s">
        <v>726</v>
      </c>
      <c r="B402" s="153" t="s">
        <v>332</v>
      </c>
      <c r="C402" s="149" t="s">
        <v>117</v>
      </c>
    </row>
    <row r="403" spans="1:3" x14ac:dyDescent="0.25">
      <c r="A403" s="149" t="s">
        <v>727</v>
      </c>
      <c r="B403" s="153" t="s">
        <v>332</v>
      </c>
      <c r="C403" s="149" t="s">
        <v>117</v>
      </c>
    </row>
    <row r="404" spans="1:3" x14ac:dyDescent="0.25">
      <c r="A404" s="149" t="s">
        <v>728</v>
      </c>
      <c r="B404" s="153" t="s">
        <v>332</v>
      </c>
      <c r="C404" s="149" t="s">
        <v>117</v>
      </c>
    </row>
    <row r="405" spans="1:3" x14ac:dyDescent="0.25">
      <c r="A405" s="149" t="s">
        <v>729</v>
      </c>
      <c r="B405" s="153" t="s">
        <v>332</v>
      </c>
      <c r="C405" s="149" t="s">
        <v>117</v>
      </c>
    </row>
    <row r="406" spans="1:3" x14ac:dyDescent="0.25">
      <c r="A406" s="149" t="s">
        <v>730</v>
      </c>
      <c r="B406" s="153" t="s">
        <v>332</v>
      </c>
      <c r="C406" s="149" t="s">
        <v>117</v>
      </c>
    </row>
    <row r="407" spans="1:3" x14ac:dyDescent="0.25">
      <c r="A407" s="149" t="s">
        <v>731</v>
      </c>
      <c r="B407" s="153" t="s">
        <v>332</v>
      </c>
      <c r="C407" s="149" t="s">
        <v>117</v>
      </c>
    </row>
    <row r="408" spans="1:3" x14ac:dyDescent="0.25">
      <c r="A408" s="149" t="s">
        <v>732</v>
      </c>
      <c r="B408" s="153" t="s">
        <v>332</v>
      </c>
      <c r="C408" s="149" t="s">
        <v>117</v>
      </c>
    </row>
    <row r="409" spans="1:3" x14ac:dyDescent="0.25">
      <c r="A409" s="149" t="s">
        <v>733</v>
      </c>
      <c r="B409" s="153" t="s">
        <v>332</v>
      </c>
      <c r="C409" s="149" t="s">
        <v>117</v>
      </c>
    </row>
    <row r="410" spans="1:3" x14ac:dyDescent="0.25">
      <c r="A410" s="149" t="s">
        <v>734</v>
      </c>
      <c r="B410" s="153" t="s">
        <v>332</v>
      </c>
      <c r="C410" s="149" t="s">
        <v>117</v>
      </c>
    </row>
    <row r="411" spans="1:3" x14ac:dyDescent="0.25">
      <c r="A411" s="149" t="s">
        <v>735</v>
      </c>
      <c r="B411" s="153" t="s">
        <v>332</v>
      </c>
      <c r="C411" s="149" t="s">
        <v>117</v>
      </c>
    </row>
    <row r="412" spans="1:3" x14ac:dyDescent="0.25">
      <c r="A412" s="149" t="s">
        <v>736</v>
      </c>
      <c r="B412" s="153" t="s">
        <v>332</v>
      </c>
      <c r="C412" s="149" t="s">
        <v>117</v>
      </c>
    </row>
    <row r="413" spans="1:3" x14ac:dyDescent="0.25">
      <c r="A413" s="149" t="s">
        <v>737</v>
      </c>
      <c r="B413" s="153" t="s">
        <v>332</v>
      </c>
      <c r="C413" s="149" t="s">
        <v>117</v>
      </c>
    </row>
    <row r="414" spans="1:3" x14ac:dyDescent="0.25">
      <c r="A414" s="149" t="s">
        <v>738</v>
      </c>
      <c r="B414" s="153" t="s">
        <v>332</v>
      </c>
      <c r="C414" s="149" t="s">
        <v>117</v>
      </c>
    </row>
    <row r="415" spans="1:3" x14ac:dyDescent="0.25">
      <c r="A415" s="149" t="s">
        <v>739</v>
      </c>
      <c r="B415" s="153" t="s">
        <v>332</v>
      </c>
      <c r="C415" s="149" t="s">
        <v>117</v>
      </c>
    </row>
    <row r="416" spans="1:3" x14ac:dyDescent="0.25">
      <c r="A416" s="149" t="s">
        <v>740</v>
      </c>
      <c r="B416" s="153" t="s">
        <v>332</v>
      </c>
      <c r="C416" s="149" t="s">
        <v>117</v>
      </c>
    </row>
    <row r="417" spans="1:3" x14ac:dyDescent="0.25">
      <c r="A417" s="149" t="s">
        <v>741</v>
      </c>
      <c r="B417" s="153" t="s">
        <v>332</v>
      </c>
      <c r="C417" s="149" t="s">
        <v>117</v>
      </c>
    </row>
    <row r="418" spans="1:3" x14ac:dyDescent="0.25">
      <c r="A418" s="149" t="s">
        <v>742</v>
      </c>
      <c r="B418" s="153" t="s">
        <v>332</v>
      </c>
      <c r="C418" s="149" t="s">
        <v>117</v>
      </c>
    </row>
    <row r="419" spans="1:3" x14ac:dyDescent="0.25">
      <c r="A419" s="149" t="s">
        <v>743</v>
      </c>
      <c r="B419" s="153" t="s">
        <v>332</v>
      </c>
      <c r="C419" s="149" t="s">
        <v>117</v>
      </c>
    </row>
    <row r="420" spans="1:3" x14ac:dyDescent="0.25">
      <c r="A420" s="149" t="s">
        <v>744</v>
      </c>
      <c r="B420" s="153" t="s">
        <v>332</v>
      </c>
      <c r="C420" s="149" t="s">
        <v>117</v>
      </c>
    </row>
    <row r="421" spans="1:3" x14ac:dyDescent="0.25">
      <c r="A421" s="149" t="s">
        <v>745</v>
      </c>
      <c r="B421" s="153" t="s">
        <v>332</v>
      </c>
      <c r="C421" s="149" t="s">
        <v>117</v>
      </c>
    </row>
    <row r="422" spans="1:3" x14ac:dyDescent="0.25">
      <c r="A422" s="149" t="s">
        <v>746</v>
      </c>
      <c r="B422" s="153" t="s">
        <v>332</v>
      </c>
      <c r="C422" s="149" t="s">
        <v>117</v>
      </c>
    </row>
    <row r="423" spans="1:3" x14ac:dyDescent="0.25">
      <c r="A423" s="149" t="s">
        <v>747</v>
      </c>
      <c r="B423" s="153" t="s">
        <v>332</v>
      </c>
      <c r="C423" s="149" t="s">
        <v>117</v>
      </c>
    </row>
    <row r="424" spans="1:3" x14ac:dyDescent="0.25">
      <c r="A424" s="149" t="s">
        <v>748</v>
      </c>
      <c r="B424" s="153" t="s">
        <v>332</v>
      </c>
      <c r="C424" s="149" t="s">
        <v>117</v>
      </c>
    </row>
    <row r="425" spans="1:3" x14ac:dyDescent="0.25">
      <c r="A425" s="149" t="s">
        <v>749</v>
      </c>
      <c r="B425" s="153" t="s">
        <v>332</v>
      </c>
      <c r="C425" s="149" t="s">
        <v>117</v>
      </c>
    </row>
    <row r="426" spans="1:3" x14ac:dyDescent="0.25">
      <c r="A426" s="149" t="s">
        <v>750</v>
      </c>
      <c r="B426" s="153" t="s">
        <v>332</v>
      </c>
      <c r="C426" s="149" t="s">
        <v>117</v>
      </c>
    </row>
    <row r="427" spans="1:3" x14ac:dyDescent="0.25">
      <c r="A427" s="149" t="s">
        <v>751</v>
      </c>
      <c r="B427" s="153" t="s">
        <v>332</v>
      </c>
      <c r="C427" s="149" t="s">
        <v>117</v>
      </c>
    </row>
    <row r="428" spans="1:3" x14ac:dyDescent="0.25">
      <c r="A428" s="149" t="s">
        <v>752</v>
      </c>
      <c r="B428" s="153" t="s">
        <v>332</v>
      </c>
      <c r="C428" s="149" t="s">
        <v>117</v>
      </c>
    </row>
    <row r="429" spans="1:3" x14ac:dyDescent="0.25">
      <c r="A429" s="149" t="s">
        <v>753</v>
      </c>
      <c r="B429" s="153" t="s">
        <v>332</v>
      </c>
      <c r="C429" s="149" t="s">
        <v>117</v>
      </c>
    </row>
    <row r="430" spans="1:3" x14ac:dyDescent="0.25">
      <c r="A430" s="149" t="s">
        <v>754</v>
      </c>
      <c r="B430" s="153" t="s">
        <v>332</v>
      </c>
      <c r="C430" s="149" t="s">
        <v>117</v>
      </c>
    </row>
    <row r="431" spans="1:3" x14ac:dyDescent="0.25">
      <c r="A431" s="149" t="s">
        <v>755</v>
      </c>
      <c r="B431" s="153" t="s">
        <v>332</v>
      </c>
      <c r="C431" s="149" t="s">
        <v>117</v>
      </c>
    </row>
    <row r="432" spans="1:3" x14ac:dyDescent="0.25">
      <c r="A432" s="149" t="s">
        <v>756</v>
      </c>
      <c r="B432" s="153" t="s">
        <v>332</v>
      </c>
      <c r="C432" s="149" t="s">
        <v>117</v>
      </c>
    </row>
    <row r="433" spans="1:3" x14ac:dyDescent="0.25">
      <c r="A433" s="149" t="s">
        <v>757</v>
      </c>
      <c r="B433" s="153" t="s">
        <v>332</v>
      </c>
      <c r="C433" s="149" t="s">
        <v>117</v>
      </c>
    </row>
    <row r="434" spans="1:3" x14ac:dyDescent="0.25">
      <c r="A434" s="149" t="s">
        <v>758</v>
      </c>
      <c r="B434" s="153" t="s">
        <v>332</v>
      </c>
      <c r="C434" s="149" t="s">
        <v>117</v>
      </c>
    </row>
    <row r="435" spans="1:3" x14ac:dyDescent="0.25">
      <c r="A435" s="149" t="s">
        <v>759</v>
      </c>
      <c r="B435" s="153" t="s">
        <v>332</v>
      </c>
      <c r="C435" s="149" t="s">
        <v>117</v>
      </c>
    </row>
    <row r="436" spans="1:3" x14ac:dyDescent="0.25">
      <c r="A436" s="149" t="s">
        <v>760</v>
      </c>
      <c r="B436" s="153" t="s">
        <v>332</v>
      </c>
      <c r="C436" s="149" t="s">
        <v>117</v>
      </c>
    </row>
    <row r="437" spans="1:3" x14ac:dyDescent="0.25">
      <c r="A437" s="149" t="s">
        <v>761</v>
      </c>
      <c r="B437" s="153" t="s">
        <v>332</v>
      </c>
      <c r="C437" s="149" t="s">
        <v>117</v>
      </c>
    </row>
    <row r="438" spans="1:3" x14ac:dyDescent="0.25">
      <c r="A438" s="149" t="s">
        <v>762</v>
      </c>
      <c r="B438" s="153" t="s">
        <v>332</v>
      </c>
      <c r="C438" s="149" t="s">
        <v>117</v>
      </c>
    </row>
    <row r="439" spans="1:3" x14ac:dyDescent="0.25">
      <c r="A439" s="149" t="s">
        <v>763</v>
      </c>
      <c r="B439" s="153" t="s">
        <v>332</v>
      </c>
      <c r="C439" s="149" t="s">
        <v>117</v>
      </c>
    </row>
    <row r="440" spans="1:3" x14ac:dyDescent="0.25">
      <c r="A440" s="149" t="s">
        <v>764</v>
      </c>
      <c r="B440" s="153" t="s">
        <v>332</v>
      </c>
      <c r="C440" s="149" t="s">
        <v>117</v>
      </c>
    </row>
    <row r="441" spans="1:3" x14ac:dyDescent="0.25">
      <c r="A441" s="149" t="s">
        <v>765</v>
      </c>
      <c r="B441" s="153" t="s">
        <v>332</v>
      </c>
      <c r="C441" s="149" t="s">
        <v>117</v>
      </c>
    </row>
    <row r="442" spans="1:3" x14ac:dyDescent="0.25">
      <c r="A442" s="149" t="s">
        <v>766</v>
      </c>
      <c r="B442" s="153" t="s">
        <v>332</v>
      </c>
      <c r="C442" s="149" t="s">
        <v>117</v>
      </c>
    </row>
    <row r="443" spans="1:3" x14ac:dyDescent="0.25">
      <c r="A443" s="149" t="s">
        <v>767</v>
      </c>
      <c r="B443" s="153" t="s">
        <v>332</v>
      </c>
      <c r="C443" s="149" t="s">
        <v>117</v>
      </c>
    </row>
    <row r="444" spans="1:3" x14ac:dyDescent="0.25">
      <c r="A444" s="149" t="s">
        <v>768</v>
      </c>
      <c r="B444" s="153" t="s">
        <v>332</v>
      </c>
      <c r="C444" s="149" t="s">
        <v>117</v>
      </c>
    </row>
    <row r="445" spans="1:3" x14ac:dyDescent="0.25">
      <c r="A445" s="149" t="s">
        <v>769</v>
      </c>
      <c r="B445" s="153" t="s">
        <v>332</v>
      </c>
      <c r="C445" s="149" t="s">
        <v>117</v>
      </c>
    </row>
    <row r="446" spans="1:3" x14ac:dyDescent="0.25">
      <c r="A446" s="149" t="s">
        <v>770</v>
      </c>
      <c r="B446" s="153" t="s">
        <v>332</v>
      </c>
      <c r="C446" s="149" t="s">
        <v>117</v>
      </c>
    </row>
    <row r="447" spans="1:3" x14ac:dyDescent="0.25">
      <c r="A447" s="149" t="s">
        <v>771</v>
      </c>
      <c r="B447" s="153" t="s">
        <v>332</v>
      </c>
      <c r="C447" s="149" t="s">
        <v>117</v>
      </c>
    </row>
    <row r="448" spans="1:3" x14ac:dyDescent="0.25">
      <c r="A448" s="149" t="s">
        <v>772</v>
      </c>
      <c r="B448" s="153" t="s">
        <v>332</v>
      </c>
      <c r="C448" s="149" t="s">
        <v>117</v>
      </c>
    </row>
    <row r="449" spans="1:3" x14ac:dyDescent="0.25">
      <c r="A449" s="149" t="s">
        <v>773</v>
      </c>
      <c r="B449" s="153" t="s">
        <v>332</v>
      </c>
      <c r="C449" s="149" t="s">
        <v>117</v>
      </c>
    </row>
    <row r="450" spans="1:3" x14ac:dyDescent="0.25">
      <c r="A450" s="149" t="s">
        <v>774</v>
      </c>
      <c r="B450" s="153" t="s">
        <v>332</v>
      </c>
      <c r="C450" s="149" t="s">
        <v>117</v>
      </c>
    </row>
    <row r="451" spans="1:3" x14ac:dyDescent="0.25">
      <c r="A451" s="149" t="s">
        <v>775</v>
      </c>
      <c r="B451" s="153" t="s">
        <v>332</v>
      </c>
      <c r="C451" s="149" t="s">
        <v>117</v>
      </c>
    </row>
    <row r="452" spans="1:3" x14ac:dyDescent="0.25">
      <c r="A452" s="149" t="s">
        <v>776</v>
      </c>
      <c r="B452" s="153" t="s">
        <v>332</v>
      </c>
      <c r="C452" s="149" t="s">
        <v>117</v>
      </c>
    </row>
    <row r="453" spans="1:3" x14ac:dyDescent="0.25">
      <c r="A453" s="149" t="s">
        <v>777</v>
      </c>
      <c r="B453" s="153" t="s">
        <v>332</v>
      </c>
      <c r="C453" s="149" t="s">
        <v>117</v>
      </c>
    </row>
    <row r="454" spans="1:3" x14ac:dyDescent="0.25">
      <c r="A454" s="149" t="s">
        <v>778</v>
      </c>
      <c r="B454" s="153" t="s">
        <v>332</v>
      </c>
      <c r="C454" s="149" t="s">
        <v>117</v>
      </c>
    </row>
    <row r="455" spans="1:3" x14ac:dyDescent="0.25">
      <c r="A455" s="149" t="s">
        <v>779</v>
      </c>
      <c r="B455" s="153" t="s">
        <v>332</v>
      </c>
      <c r="C455" s="149" t="s">
        <v>117</v>
      </c>
    </row>
    <row r="456" spans="1:3" x14ac:dyDescent="0.25">
      <c r="A456" s="149" t="s">
        <v>780</v>
      </c>
      <c r="B456" s="153" t="s">
        <v>332</v>
      </c>
      <c r="C456" s="149" t="s">
        <v>117</v>
      </c>
    </row>
    <row r="457" spans="1:3" x14ac:dyDescent="0.25">
      <c r="A457" s="149" t="s">
        <v>781</v>
      </c>
      <c r="B457" s="153" t="s">
        <v>332</v>
      </c>
      <c r="C457" s="149" t="s">
        <v>117</v>
      </c>
    </row>
    <row r="458" spans="1:3" x14ac:dyDescent="0.25">
      <c r="A458" s="149" t="s">
        <v>782</v>
      </c>
      <c r="B458" s="153" t="s">
        <v>332</v>
      </c>
      <c r="C458" s="149" t="s">
        <v>117</v>
      </c>
    </row>
    <row r="459" spans="1:3" x14ac:dyDescent="0.25">
      <c r="A459" s="149" t="s">
        <v>783</v>
      </c>
      <c r="B459" s="153" t="s">
        <v>332</v>
      </c>
      <c r="C459" s="149" t="s">
        <v>117</v>
      </c>
    </row>
    <row r="460" spans="1:3" x14ac:dyDescent="0.25">
      <c r="A460" s="149" t="s">
        <v>784</v>
      </c>
      <c r="B460" s="153" t="s">
        <v>332</v>
      </c>
      <c r="C460" s="149" t="s">
        <v>117</v>
      </c>
    </row>
    <row r="461" spans="1:3" x14ac:dyDescent="0.25">
      <c r="A461" s="149" t="s">
        <v>785</v>
      </c>
      <c r="B461" s="153" t="s">
        <v>332</v>
      </c>
      <c r="C461" s="149" t="s">
        <v>117</v>
      </c>
    </row>
    <row r="462" spans="1:3" x14ac:dyDescent="0.25">
      <c r="A462" s="149" t="s">
        <v>786</v>
      </c>
      <c r="B462" s="153" t="s">
        <v>332</v>
      </c>
      <c r="C462" s="149" t="s">
        <v>117</v>
      </c>
    </row>
    <row r="463" spans="1:3" x14ac:dyDescent="0.25">
      <c r="A463" s="149" t="s">
        <v>787</v>
      </c>
      <c r="B463" s="153" t="s">
        <v>332</v>
      </c>
      <c r="C463" s="149" t="s">
        <v>117</v>
      </c>
    </row>
    <row r="464" spans="1:3" x14ac:dyDescent="0.25">
      <c r="A464" s="149" t="s">
        <v>788</v>
      </c>
      <c r="B464" s="153" t="s">
        <v>332</v>
      </c>
      <c r="C464" s="149" t="s">
        <v>117</v>
      </c>
    </row>
    <row r="465" spans="1:3" x14ac:dyDescent="0.25">
      <c r="A465" s="149" t="s">
        <v>789</v>
      </c>
      <c r="B465" s="153" t="s">
        <v>332</v>
      </c>
      <c r="C465" s="149" t="s">
        <v>117</v>
      </c>
    </row>
    <row r="466" spans="1:3" x14ac:dyDescent="0.25">
      <c r="A466" s="149" t="s">
        <v>790</v>
      </c>
      <c r="B466" s="153" t="s">
        <v>332</v>
      </c>
      <c r="C466" s="149" t="s">
        <v>117</v>
      </c>
    </row>
    <row r="467" spans="1:3" x14ac:dyDescent="0.25">
      <c r="A467" s="149" t="s">
        <v>791</v>
      </c>
      <c r="B467" s="153" t="s">
        <v>332</v>
      </c>
      <c r="C467" s="149" t="s">
        <v>117</v>
      </c>
    </row>
    <row r="468" spans="1:3" x14ac:dyDescent="0.25">
      <c r="A468" s="149" t="s">
        <v>792</v>
      </c>
      <c r="B468" s="153" t="s">
        <v>332</v>
      </c>
      <c r="C468" s="149" t="s">
        <v>117</v>
      </c>
    </row>
    <row r="469" spans="1:3" x14ac:dyDescent="0.25">
      <c r="A469" s="149" t="s">
        <v>793</v>
      </c>
      <c r="B469" s="153" t="s">
        <v>332</v>
      </c>
      <c r="C469" s="149" t="s">
        <v>117</v>
      </c>
    </row>
    <row r="470" spans="1:3" x14ac:dyDescent="0.25">
      <c r="A470" s="149" t="s">
        <v>794</v>
      </c>
      <c r="B470" s="153" t="s">
        <v>332</v>
      </c>
      <c r="C470" s="149" t="s">
        <v>117</v>
      </c>
    </row>
    <row r="471" spans="1:3" x14ac:dyDescent="0.25">
      <c r="A471" s="149" t="s">
        <v>795</v>
      </c>
      <c r="B471" s="153" t="s">
        <v>332</v>
      </c>
      <c r="C471" s="149" t="s">
        <v>117</v>
      </c>
    </row>
    <row r="472" spans="1:3" x14ac:dyDescent="0.25">
      <c r="A472" s="149" t="s">
        <v>796</v>
      </c>
      <c r="B472" s="153" t="s">
        <v>332</v>
      </c>
      <c r="C472" s="149" t="s">
        <v>117</v>
      </c>
    </row>
    <row r="473" spans="1:3" x14ac:dyDescent="0.25">
      <c r="A473" s="149" t="s">
        <v>797</v>
      </c>
      <c r="B473" s="153" t="s">
        <v>332</v>
      </c>
      <c r="C473" s="149" t="s">
        <v>117</v>
      </c>
    </row>
    <row r="474" spans="1:3" x14ac:dyDescent="0.25">
      <c r="A474" s="149" t="s">
        <v>798</v>
      </c>
      <c r="B474" s="153" t="s">
        <v>332</v>
      </c>
      <c r="C474" s="149" t="s">
        <v>117</v>
      </c>
    </row>
    <row r="475" spans="1:3" x14ac:dyDescent="0.25">
      <c r="A475" s="149" t="s">
        <v>799</v>
      </c>
      <c r="B475" s="153" t="s">
        <v>332</v>
      </c>
      <c r="C475" s="149" t="s">
        <v>117</v>
      </c>
    </row>
    <row r="476" spans="1:3" x14ac:dyDescent="0.25">
      <c r="A476" s="149" t="s">
        <v>800</v>
      </c>
      <c r="B476" s="153" t="s">
        <v>332</v>
      </c>
      <c r="C476" s="149" t="s">
        <v>117</v>
      </c>
    </row>
    <row r="477" spans="1:3" x14ac:dyDescent="0.25">
      <c r="A477" s="149" t="s">
        <v>801</v>
      </c>
      <c r="B477" s="153" t="s">
        <v>332</v>
      </c>
      <c r="C477" s="149" t="s">
        <v>117</v>
      </c>
    </row>
    <row r="478" spans="1:3" x14ac:dyDescent="0.25">
      <c r="A478" s="149" t="s">
        <v>802</v>
      </c>
      <c r="B478" s="153" t="s">
        <v>332</v>
      </c>
      <c r="C478" s="149" t="s">
        <v>117</v>
      </c>
    </row>
    <row r="479" spans="1:3" x14ac:dyDescent="0.25">
      <c r="A479" s="149" t="s">
        <v>803</v>
      </c>
      <c r="B479" s="153" t="s">
        <v>332</v>
      </c>
      <c r="C479" s="149" t="s">
        <v>117</v>
      </c>
    </row>
    <row r="480" spans="1:3" x14ac:dyDescent="0.25">
      <c r="A480" s="149" t="s">
        <v>804</v>
      </c>
      <c r="B480" s="153" t="s">
        <v>332</v>
      </c>
      <c r="C480" s="149" t="s">
        <v>117</v>
      </c>
    </row>
    <row r="481" spans="1:3" x14ac:dyDescent="0.25">
      <c r="A481" s="149" t="s">
        <v>805</v>
      </c>
      <c r="B481" s="153" t="s">
        <v>332</v>
      </c>
      <c r="C481" s="149" t="s">
        <v>117</v>
      </c>
    </row>
    <row r="482" spans="1:3" x14ac:dyDescent="0.25">
      <c r="A482" s="149" t="s">
        <v>806</v>
      </c>
      <c r="B482" s="153" t="s">
        <v>332</v>
      </c>
      <c r="C482" s="149" t="s">
        <v>117</v>
      </c>
    </row>
    <row r="483" spans="1:3" x14ac:dyDescent="0.25">
      <c r="A483" s="149" t="s">
        <v>807</v>
      </c>
      <c r="B483" s="153" t="s">
        <v>332</v>
      </c>
      <c r="C483" s="149" t="s">
        <v>117</v>
      </c>
    </row>
    <row r="484" spans="1:3" x14ac:dyDescent="0.25">
      <c r="A484" s="149" t="s">
        <v>808</v>
      </c>
      <c r="B484" s="153" t="s">
        <v>332</v>
      </c>
      <c r="C484" s="149" t="s">
        <v>117</v>
      </c>
    </row>
    <row r="485" spans="1:3" x14ac:dyDescent="0.25">
      <c r="A485" s="149" t="s">
        <v>809</v>
      </c>
      <c r="B485" s="153" t="s">
        <v>332</v>
      </c>
      <c r="C485" s="149" t="s">
        <v>117</v>
      </c>
    </row>
    <row r="486" spans="1:3" x14ac:dyDescent="0.25">
      <c r="A486" s="149" t="s">
        <v>810</v>
      </c>
      <c r="B486" s="153" t="s">
        <v>332</v>
      </c>
      <c r="C486" s="149" t="s">
        <v>117</v>
      </c>
    </row>
    <row r="487" spans="1:3" x14ac:dyDescent="0.25">
      <c r="A487" s="149" t="s">
        <v>811</v>
      </c>
      <c r="B487" s="153" t="s">
        <v>332</v>
      </c>
      <c r="C487" s="149" t="s">
        <v>117</v>
      </c>
    </row>
    <row r="488" spans="1:3" x14ac:dyDescent="0.25">
      <c r="A488" s="149" t="s">
        <v>812</v>
      </c>
      <c r="B488" s="153" t="s">
        <v>332</v>
      </c>
      <c r="C488" s="149" t="s">
        <v>117</v>
      </c>
    </row>
    <row r="489" spans="1:3" x14ac:dyDescent="0.25">
      <c r="A489" s="149" t="s">
        <v>813</v>
      </c>
      <c r="B489" s="153" t="s">
        <v>332</v>
      </c>
      <c r="C489" s="149" t="s">
        <v>117</v>
      </c>
    </row>
    <row r="490" spans="1:3" x14ac:dyDescent="0.25">
      <c r="A490" s="149" t="s">
        <v>814</v>
      </c>
      <c r="B490" s="153" t="s">
        <v>332</v>
      </c>
      <c r="C490" s="149" t="s">
        <v>117</v>
      </c>
    </row>
    <row r="491" spans="1:3" x14ac:dyDescent="0.25">
      <c r="A491" s="149" t="s">
        <v>815</v>
      </c>
      <c r="B491" s="153" t="s">
        <v>332</v>
      </c>
      <c r="C491" s="149" t="s">
        <v>117</v>
      </c>
    </row>
    <row r="492" spans="1:3" x14ac:dyDescent="0.25">
      <c r="A492" s="149" t="s">
        <v>816</v>
      </c>
      <c r="B492" s="153" t="s">
        <v>332</v>
      </c>
      <c r="C492" s="149" t="s">
        <v>117</v>
      </c>
    </row>
    <row r="493" spans="1:3" x14ac:dyDescent="0.25">
      <c r="A493" s="149" t="s">
        <v>817</v>
      </c>
      <c r="B493" s="153" t="s">
        <v>332</v>
      </c>
      <c r="C493" s="149" t="s">
        <v>117</v>
      </c>
    </row>
    <row r="494" spans="1:3" x14ac:dyDescent="0.25">
      <c r="A494" s="149" t="s">
        <v>818</v>
      </c>
      <c r="B494" s="153" t="s">
        <v>332</v>
      </c>
      <c r="C494" s="149" t="s">
        <v>117</v>
      </c>
    </row>
    <row r="495" spans="1:3" x14ac:dyDescent="0.25">
      <c r="A495" s="149" t="s">
        <v>819</v>
      </c>
      <c r="B495" s="153" t="s">
        <v>332</v>
      </c>
      <c r="C495" s="149" t="s">
        <v>117</v>
      </c>
    </row>
    <row r="496" spans="1:3" x14ac:dyDescent="0.25">
      <c r="A496" s="149" t="s">
        <v>820</v>
      </c>
      <c r="B496" s="153" t="s">
        <v>332</v>
      </c>
      <c r="C496" s="149" t="s">
        <v>117</v>
      </c>
    </row>
    <row r="497" spans="1:3" x14ac:dyDescent="0.25">
      <c r="A497" s="149" t="s">
        <v>821</v>
      </c>
      <c r="B497" s="153" t="s">
        <v>332</v>
      </c>
      <c r="C497" s="149" t="s">
        <v>117</v>
      </c>
    </row>
    <row r="498" spans="1:3" x14ac:dyDescent="0.25">
      <c r="A498" s="149" t="s">
        <v>822</v>
      </c>
      <c r="B498" s="153" t="s">
        <v>332</v>
      </c>
      <c r="C498" s="149" t="s">
        <v>117</v>
      </c>
    </row>
    <row r="499" spans="1:3" x14ac:dyDescent="0.25">
      <c r="A499" s="149" t="s">
        <v>823</v>
      </c>
      <c r="B499" s="153" t="s">
        <v>332</v>
      </c>
      <c r="C499" s="149" t="s">
        <v>117</v>
      </c>
    </row>
    <row r="500" spans="1:3" x14ac:dyDescent="0.25">
      <c r="A500" s="149" t="s">
        <v>824</v>
      </c>
      <c r="B500" s="153" t="s">
        <v>332</v>
      </c>
      <c r="C500" s="149" t="s">
        <v>117</v>
      </c>
    </row>
    <row r="501" spans="1:3" x14ac:dyDescent="0.25">
      <c r="A501" s="149" t="s">
        <v>825</v>
      </c>
      <c r="B501" s="153" t="s">
        <v>332</v>
      </c>
      <c r="C501" s="149" t="s">
        <v>117</v>
      </c>
    </row>
    <row r="502" spans="1:3" x14ac:dyDescent="0.25">
      <c r="A502" s="149" t="s">
        <v>826</v>
      </c>
      <c r="B502" s="153" t="s">
        <v>332</v>
      </c>
      <c r="C502" s="149" t="s">
        <v>117</v>
      </c>
    </row>
    <row r="503" spans="1:3" x14ac:dyDescent="0.25">
      <c r="A503" s="149" t="s">
        <v>827</v>
      </c>
      <c r="B503" s="153" t="s">
        <v>332</v>
      </c>
      <c r="C503" s="149" t="s">
        <v>117</v>
      </c>
    </row>
    <row r="504" spans="1:3" x14ac:dyDescent="0.25">
      <c r="A504" s="149" t="s">
        <v>828</v>
      </c>
      <c r="B504" s="153" t="s">
        <v>332</v>
      </c>
      <c r="C504" s="149" t="s">
        <v>117</v>
      </c>
    </row>
    <row r="505" spans="1:3" x14ac:dyDescent="0.25">
      <c r="A505" s="149" t="s">
        <v>829</v>
      </c>
      <c r="B505" s="153" t="s">
        <v>332</v>
      </c>
      <c r="C505" s="149" t="s">
        <v>117</v>
      </c>
    </row>
    <row r="506" spans="1:3" x14ac:dyDescent="0.25">
      <c r="A506" s="149" t="s">
        <v>830</v>
      </c>
      <c r="B506" s="153" t="s">
        <v>332</v>
      </c>
      <c r="C506" s="149" t="s">
        <v>117</v>
      </c>
    </row>
    <row r="507" spans="1:3" x14ac:dyDescent="0.25">
      <c r="A507" s="149" t="s">
        <v>831</v>
      </c>
      <c r="B507" s="153" t="s">
        <v>332</v>
      </c>
      <c r="C507" s="149" t="s">
        <v>117</v>
      </c>
    </row>
    <row r="508" spans="1:3" x14ac:dyDescent="0.25">
      <c r="A508" s="149" t="s">
        <v>832</v>
      </c>
      <c r="B508" s="153" t="s">
        <v>332</v>
      </c>
      <c r="C508" s="149" t="s">
        <v>117</v>
      </c>
    </row>
    <row r="509" spans="1:3" x14ac:dyDescent="0.25">
      <c r="A509" s="149" t="s">
        <v>833</v>
      </c>
      <c r="B509" s="153" t="s">
        <v>332</v>
      </c>
      <c r="C509" s="149" t="s">
        <v>117</v>
      </c>
    </row>
    <row r="510" spans="1:3" x14ac:dyDescent="0.25">
      <c r="A510" s="149" t="s">
        <v>834</v>
      </c>
      <c r="B510" s="153" t="s">
        <v>332</v>
      </c>
      <c r="C510" s="149" t="s">
        <v>117</v>
      </c>
    </row>
    <row r="511" spans="1:3" x14ac:dyDescent="0.25">
      <c r="A511" s="149" t="s">
        <v>835</v>
      </c>
      <c r="B511" s="153" t="s">
        <v>332</v>
      </c>
      <c r="C511" s="149" t="s">
        <v>117</v>
      </c>
    </row>
    <row r="512" spans="1:3" x14ac:dyDescent="0.25">
      <c r="A512" s="149" t="s">
        <v>836</v>
      </c>
      <c r="B512" s="153" t="s">
        <v>332</v>
      </c>
      <c r="C512" s="149" t="s">
        <v>117</v>
      </c>
    </row>
    <row r="513" spans="1:3" x14ac:dyDescent="0.25">
      <c r="A513" s="149" t="s">
        <v>837</v>
      </c>
      <c r="B513" s="153" t="s">
        <v>332</v>
      </c>
      <c r="C513" s="149" t="s">
        <v>117</v>
      </c>
    </row>
    <row r="514" spans="1:3" x14ac:dyDescent="0.25">
      <c r="A514" s="149" t="s">
        <v>838</v>
      </c>
      <c r="B514" s="153" t="s">
        <v>332</v>
      </c>
      <c r="C514" s="149" t="s">
        <v>117</v>
      </c>
    </row>
    <row r="515" spans="1:3" x14ac:dyDescent="0.25">
      <c r="A515" s="149" t="s">
        <v>839</v>
      </c>
      <c r="B515" s="153" t="s">
        <v>332</v>
      </c>
      <c r="C515" s="149" t="s">
        <v>117</v>
      </c>
    </row>
    <row r="516" spans="1:3" x14ac:dyDescent="0.25">
      <c r="A516" s="149" t="s">
        <v>840</v>
      </c>
      <c r="B516" s="153" t="s">
        <v>332</v>
      </c>
      <c r="C516" s="149" t="s">
        <v>117</v>
      </c>
    </row>
    <row r="517" spans="1:3" x14ac:dyDescent="0.25">
      <c r="A517" s="149" t="s">
        <v>841</v>
      </c>
      <c r="B517" s="153" t="s">
        <v>332</v>
      </c>
      <c r="C517" s="149" t="s">
        <v>117</v>
      </c>
    </row>
    <row r="518" spans="1:3" x14ac:dyDescent="0.25">
      <c r="A518" s="149" t="s">
        <v>842</v>
      </c>
      <c r="B518" s="153" t="s">
        <v>332</v>
      </c>
      <c r="C518" s="149" t="s">
        <v>117</v>
      </c>
    </row>
    <row r="519" spans="1:3" x14ac:dyDescent="0.25">
      <c r="A519" s="149" t="s">
        <v>843</v>
      </c>
      <c r="B519" s="153" t="s">
        <v>332</v>
      </c>
      <c r="C519" s="149" t="s">
        <v>117</v>
      </c>
    </row>
    <row r="520" spans="1:3" x14ac:dyDescent="0.25">
      <c r="A520" s="149" t="s">
        <v>844</v>
      </c>
      <c r="B520" s="153" t="s">
        <v>332</v>
      </c>
      <c r="C520" s="149" t="s">
        <v>117</v>
      </c>
    </row>
    <row r="521" spans="1:3" x14ac:dyDescent="0.25">
      <c r="A521" s="149" t="s">
        <v>845</v>
      </c>
      <c r="B521" s="153" t="s">
        <v>332</v>
      </c>
      <c r="C521" s="149" t="s">
        <v>117</v>
      </c>
    </row>
    <row r="522" spans="1:3" x14ac:dyDescent="0.25">
      <c r="A522" s="149" t="s">
        <v>846</v>
      </c>
      <c r="B522" s="153" t="s">
        <v>332</v>
      </c>
      <c r="C522" s="149" t="s">
        <v>117</v>
      </c>
    </row>
    <row r="523" spans="1:3" x14ac:dyDescent="0.25">
      <c r="A523" s="149" t="s">
        <v>847</v>
      </c>
      <c r="B523" s="153" t="s">
        <v>332</v>
      </c>
      <c r="C523" s="149" t="s">
        <v>117</v>
      </c>
    </row>
    <row r="524" spans="1:3" x14ac:dyDescent="0.25">
      <c r="A524" s="149" t="s">
        <v>848</v>
      </c>
      <c r="B524" s="153" t="s">
        <v>332</v>
      </c>
      <c r="C524" s="149" t="s">
        <v>117</v>
      </c>
    </row>
    <row r="525" spans="1:3" x14ac:dyDescent="0.25">
      <c r="A525" s="149" t="s">
        <v>849</v>
      </c>
      <c r="B525" s="153" t="s">
        <v>332</v>
      </c>
      <c r="C525" s="149" t="s">
        <v>117</v>
      </c>
    </row>
    <row r="526" spans="1:3" x14ac:dyDescent="0.25">
      <c r="A526" s="149" t="s">
        <v>850</v>
      </c>
      <c r="B526" s="153" t="s">
        <v>332</v>
      </c>
      <c r="C526" s="149" t="s">
        <v>117</v>
      </c>
    </row>
    <row r="527" spans="1:3" x14ac:dyDescent="0.25">
      <c r="A527" s="149" t="s">
        <v>851</v>
      </c>
      <c r="B527" s="153" t="s">
        <v>332</v>
      </c>
      <c r="C527" s="149" t="s">
        <v>117</v>
      </c>
    </row>
    <row r="528" spans="1:3" x14ac:dyDescent="0.25">
      <c r="A528" s="149" t="s">
        <v>852</v>
      </c>
      <c r="B528" s="153" t="s">
        <v>332</v>
      </c>
      <c r="C528" s="149" t="s">
        <v>117</v>
      </c>
    </row>
    <row r="529" spans="1:3" x14ac:dyDescent="0.25">
      <c r="A529" s="149" t="s">
        <v>853</v>
      </c>
      <c r="B529" s="153" t="s">
        <v>332</v>
      </c>
      <c r="C529" s="149" t="s">
        <v>117</v>
      </c>
    </row>
    <row r="530" spans="1:3" x14ac:dyDescent="0.25">
      <c r="A530" s="149" t="s">
        <v>854</v>
      </c>
      <c r="B530" s="153" t="s">
        <v>332</v>
      </c>
      <c r="C530" s="149" t="s">
        <v>117</v>
      </c>
    </row>
    <row r="531" spans="1:3" x14ac:dyDescent="0.25">
      <c r="A531" s="149" t="s">
        <v>855</v>
      </c>
      <c r="B531" s="153" t="s">
        <v>332</v>
      </c>
      <c r="C531" s="149" t="s">
        <v>117</v>
      </c>
    </row>
    <row r="532" spans="1:3" x14ac:dyDescent="0.25">
      <c r="A532" s="149" t="s">
        <v>856</v>
      </c>
      <c r="B532" s="153" t="s">
        <v>332</v>
      </c>
      <c r="C532" s="149" t="s">
        <v>117</v>
      </c>
    </row>
    <row r="533" spans="1:3" x14ac:dyDescent="0.25">
      <c r="A533" s="149" t="s">
        <v>857</v>
      </c>
      <c r="B533" s="153" t="s">
        <v>332</v>
      </c>
      <c r="C533" s="149" t="s">
        <v>117</v>
      </c>
    </row>
    <row r="534" spans="1:3" x14ac:dyDescent="0.25">
      <c r="A534" s="149" t="s">
        <v>858</v>
      </c>
      <c r="B534" s="153" t="s">
        <v>332</v>
      </c>
      <c r="C534" s="149" t="s">
        <v>117</v>
      </c>
    </row>
    <row r="535" spans="1:3" x14ac:dyDescent="0.25">
      <c r="A535" s="149" t="s">
        <v>859</v>
      </c>
      <c r="B535" s="153" t="s">
        <v>332</v>
      </c>
      <c r="C535" s="149" t="s">
        <v>117</v>
      </c>
    </row>
    <row r="536" spans="1:3" x14ac:dyDescent="0.25">
      <c r="A536" s="149" t="s">
        <v>860</v>
      </c>
      <c r="B536" s="153" t="s">
        <v>332</v>
      </c>
      <c r="C536" s="149" t="s">
        <v>117</v>
      </c>
    </row>
    <row r="537" spans="1:3" x14ac:dyDescent="0.25">
      <c r="A537" s="149" t="s">
        <v>861</v>
      </c>
      <c r="B537" s="153" t="s">
        <v>332</v>
      </c>
      <c r="C537" s="149" t="s">
        <v>117</v>
      </c>
    </row>
    <row r="538" spans="1:3" x14ac:dyDescent="0.25">
      <c r="A538" s="149" t="s">
        <v>862</v>
      </c>
      <c r="B538" s="153" t="s">
        <v>332</v>
      </c>
      <c r="C538" s="149" t="s">
        <v>117</v>
      </c>
    </row>
    <row r="539" spans="1:3" x14ac:dyDescent="0.25">
      <c r="A539" s="149" t="s">
        <v>863</v>
      </c>
      <c r="B539" s="153" t="s">
        <v>332</v>
      </c>
      <c r="C539" s="149" t="s">
        <v>117</v>
      </c>
    </row>
    <row r="540" spans="1:3" x14ac:dyDescent="0.25">
      <c r="A540" s="149" t="s">
        <v>864</v>
      </c>
      <c r="B540" s="153" t="s">
        <v>332</v>
      </c>
      <c r="C540" s="149" t="s">
        <v>117</v>
      </c>
    </row>
    <row r="541" spans="1:3" x14ac:dyDescent="0.25">
      <c r="A541" s="149" t="s">
        <v>865</v>
      </c>
      <c r="B541" s="153" t="s">
        <v>332</v>
      </c>
      <c r="C541" s="149" t="s">
        <v>117</v>
      </c>
    </row>
    <row r="542" spans="1:3" x14ac:dyDescent="0.25">
      <c r="A542" s="149" t="s">
        <v>866</v>
      </c>
      <c r="B542" s="153" t="s">
        <v>332</v>
      </c>
      <c r="C542" s="149" t="s">
        <v>117</v>
      </c>
    </row>
    <row r="543" spans="1:3" x14ac:dyDescent="0.25">
      <c r="A543" s="149" t="s">
        <v>867</v>
      </c>
      <c r="B543" s="153" t="s">
        <v>332</v>
      </c>
      <c r="C543" s="149" t="s">
        <v>117</v>
      </c>
    </row>
    <row r="544" spans="1:3" x14ac:dyDescent="0.25">
      <c r="A544" s="149" t="s">
        <v>868</v>
      </c>
      <c r="B544" s="153" t="s">
        <v>332</v>
      </c>
      <c r="C544" s="149" t="s">
        <v>117</v>
      </c>
    </row>
    <row r="545" spans="1:3" x14ac:dyDescent="0.25">
      <c r="A545" s="149" t="s">
        <v>869</v>
      </c>
      <c r="B545" s="153" t="s">
        <v>332</v>
      </c>
      <c r="C545" s="149" t="s">
        <v>117</v>
      </c>
    </row>
    <row r="546" spans="1:3" x14ac:dyDescent="0.25">
      <c r="A546" s="149" t="s">
        <v>870</v>
      </c>
      <c r="B546" s="153" t="s">
        <v>332</v>
      </c>
      <c r="C546" s="149" t="s">
        <v>117</v>
      </c>
    </row>
    <row r="547" spans="1:3" x14ac:dyDescent="0.25">
      <c r="A547" s="149" t="s">
        <v>871</v>
      </c>
      <c r="B547" s="153" t="s">
        <v>332</v>
      </c>
      <c r="C547" s="149" t="s">
        <v>117</v>
      </c>
    </row>
    <row r="548" spans="1:3" x14ac:dyDescent="0.25">
      <c r="A548" s="149" t="s">
        <v>872</v>
      </c>
      <c r="B548" s="153" t="s">
        <v>332</v>
      </c>
      <c r="C548" s="149" t="s">
        <v>117</v>
      </c>
    </row>
    <row r="549" spans="1:3" x14ac:dyDescent="0.25">
      <c r="A549" s="149" t="s">
        <v>873</v>
      </c>
      <c r="B549" s="153" t="s">
        <v>332</v>
      </c>
      <c r="C549" s="149" t="s">
        <v>117</v>
      </c>
    </row>
    <row r="550" spans="1:3" x14ac:dyDescent="0.25">
      <c r="A550" s="149" t="s">
        <v>874</v>
      </c>
      <c r="B550" s="153" t="s">
        <v>332</v>
      </c>
      <c r="C550" s="149" t="s">
        <v>117</v>
      </c>
    </row>
    <row r="551" spans="1:3" x14ac:dyDescent="0.25">
      <c r="A551" s="149" t="s">
        <v>875</v>
      </c>
      <c r="B551" s="153" t="s">
        <v>332</v>
      </c>
      <c r="C551" s="149" t="s">
        <v>117</v>
      </c>
    </row>
    <row r="552" spans="1:3" x14ac:dyDescent="0.25">
      <c r="A552" s="149" t="s">
        <v>876</v>
      </c>
      <c r="B552" s="153" t="s">
        <v>332</v>
      </c>
      <c r="C552" s="149" t="s">
        <v>117</v>
      </c>
    </row>
    <row r="553" spans="1:3" x14ac:dyDescent="0.25">
      <c r="A553" s="149" t="s">
        <v>877</v>
      </c>
      <c r="B553" s="153" t="s">
        <v>332</v>
      </c>
      <c r="C553" s="149" t="s">
        <v>117</v>
      </c>
    </row>
    <row r="554" spans="1:3" x14ac:dyDescent="0.25">
      <c r="A554" s="149" t="s">
        <v>878</v>
      </c>
      <c r="B554" s="153" t="s">
        <v>332</v>
      </c>
      <c r="C554" s="149" t="s">
        <v>117</v>
      </c>
    </row>
    <row r="555" spans="1:3" x14ac:dyDescent="0.25">
      <c r="A555" s="149" t="s">
        <v>879</v>
      </c>
      <c r="B555" s="153" t="s">
        <v>332</v>
      </c>
      <c r="C555" s="149" t="s">
        <v>117</v>
      </c>
    </row>
    <row r="556" spans="1:3" x14ac:dyDescent="0.25">
      <c r="A556" s="149" t="s">
        <v>880</v>
      </c>
      <c r="B556" s="153" t="s">
        <v>332</v>
      </c>
      <c r="C556" s="149" t="s">
        <v>117</v>
      </c>
    </row>
    <row r="557" spans="1:3" x14ac:dyDescent="0.25">
      <c r="A557" s="149" t="s">
        <v>881</v>
      </c>
      <c r="B557" s="153" t="s">
        <v>332</v>
      </c>
      <c r="C557" s="149" t="s">
        <v>117</v>
      </c>
    </row>
    <row r="558" spans="1:3" x14ac:dyDescent="0.25">
      <c r="A558" s="149" t="s">
        <v>882</v>
      </c>
      <c r="B558" s="153" t="s">
        <v>332</v>
      </c>
      <c r="C558" s="149" t="s">
        <v>117</v>
      </c>
    </row>
    <row r="559" spans="1:3" x14ac:dyDescent="0.25">
      <c r="A559" s="149" t="s">
        <v>883</v>
      </c>
      <c r="B559" s="153" t="s">
        <v>332</v>
      </c>
      <c r="C559" s="149" t="s">
        <v>117</v>
      </c>
    </row>
    <row r="560" spans="1:3" x14ac:dyDescent="0.25">
      <c r="A560" s="149" t="s">
        <v>884</v>
      </c>
      <c r="B560" s="153" t="s">
        <v>332</v>
      </c>
      <c r="C560" s="149" t="s">
        <v>117</v>
      </c>
    </row>
    <row r="561" spans="1:3" x14ac:dyDescent="0.25">
      <c r="A561" s="149" t="s">
        <v>885</v>
      </c>
      <c r="B561" s="153" t="s">
        <v>332</v>
      </c>
      <c r="C561" s="149" t="s">
        <v>117</v>
      </c>
    </row>
    <row r="562" spans="1:3" x14ac:dyDescent="0.25">
      <c r="A562" s="149" t="s">
        <v>886</v>
      </c>
      <c r="B562" s="153" t="s">
        <v>332</v>
      </c>
      <c r="C562" s="149" t="s">
        <v>117</v>
      </c>
    </row>
    <row r="563" spans="1:3" x14ac:dyDescent="0.25">
      <c r="A563" s="149" t="s">
        <v>887</v>
      </c>
      <c r="B563" s="153" t="s">
        <v>332</v>
      </c>
      <c r="C563" s="149" t="s">
        <v>117</v>
      </c>
    </row>
    <row r="564" spans="1:3" x14ac:dyDescent="0.25">
      <c r="A564" s="149" t="s">
        <v>888</v>
      </c>
      <c r="B564" s="153" t="s">
        <v>332</v>
      </c>
      <c r="C564" s="149" t="s">
        <v>117</v>
      </c>
    </row>
    <row r="565" spans="1:3" x14ac:dyDescent="0.25">
      <c r="A565" s="149" t="s">
        <v>889</v>
      </c>
      <c r="B565" s="153" t="s">
        <v>332</v>
      </c>
      <c r="C565" s="149" t="s">
        <v>117</v>
      </c>
    </row>
    <row r="566" spans="1:3" x14ac:dyDescent="0.25">
      <c r="A566" s="149" t="s">
        <v>890</v>
      </c>
      <c r="B566" s="153" t="s">
        <v>332</v>
      </c>
      <c r="C566" s="149" t="s">
        <v>117</v>
      </c>
    </row>
    <row r="567" spans="1:3" x14ac:dyDescent="0.25">
      <c r="A567" s="149" t="s">
        <v>891</v>
      </c>
      <c r="B567" s="153" t="s">
        <v>332</v>
      </c>
      <c r="C567" s="149" t="s">
        <v>117</v>
      </c>
    </row>
    <row r="568" spans="1:3" x14ac:dyDescent="0.25">
      <c r="A568" s="149" t="s">
        <v>892</v>
      </c>
      <c r="B568" s="153" t="s">
        <v>332</v>
      </c>
      <c r="C568" s="149" t="s">
        <v>117</v>
      </c>
    </row>
    <row r="569" spans="1:3" x14ac:dyDescent="0.25">
      <c r="A569" s="149" t="s">
        <v>893</v>
      </c>
      <c r="B569" s="153" t="s">
        <v>332</v>
      </c>
      <c r="C569" s="149" t="s">
        <v>117</v>
      </c>
    </row>
    <row r="570" spans="1:3" x14ac:dyDescent="0.25">
      <c r="A570" s="149" t="s">
        <v>894</v>
      </c>
      <c r="B570" s="153" t="s">
        <v>332</v>
      </c>
      <c r="C570" s="149" t="s">
        <v>117</v>
      </c>
    </row>
    <row r="571" spans="1:3" x14ac:dyDescent="0.25">
      <c r="A571" s="149" t="s">
        <v>895</v>
      </c>
      <c r="B571" s="153" t="s">
        <v>332</v>
      </c>
      <c r="C571" s="149" t="s">
        <v>117</v>
      </c>
    </row>
    <row r="572" spans="1:3" x14ac:dyDescent="0.25">
      <c r="A572" s="149" t="s">
        <v>896</v>
      </c>
      <c r="B572" s="153" t="s">
        <v>332</v>
      </c>
      <c r="C572" s="149" t="s">
        <v>117</v>
      </c>
    </row>
    <row r="573" spans="1:3" x14ac:dyDescent="0.25">
      <c r="A573" s="149" t="s">
        <v>897</v>
      </c>
      <c r="B573" s="153" t="s">
        <v>332</v>
      </c>
      <c r="C573" s="149" t="s">
        <v>117</v>
      </c>
    </row>
    <row r="574" spans="1:3" x14ac:dyDescent="0.25">
      <c r="A574" s="149" t="s">
        <v>898</v>
      </c>
      <c r="B574" s="153" t="s">
        <v>332</v>
      </c>
      <c r="C574" s="149" t="s">
        <v>117</v>
      </c>
    </row>
    <row r="575" spans="1:3" x14ac:dyDescent="0.25">
      <c r="A575" s="149" t="s">
        <v>899</v>
      </c>
      <c r="B575" s="153" t="s">
        <v>332</v>
      </c>
      <c r="C575" s="149" t="s">
        <v>117</v>
      </c>
    </row>
    <row r="576" spans="1:3" x14ac:dyDescent="0.25">
      <c r="A576" s="149" t="s">
        <v>900</v>
      </c>
      <c r="B576" s="153" t="s">
        <v>332</v>
      </c>
      <c r="C576" s="149" t="s">
        <v>117</v>
      </c>
    </row>
    <row r="577" spans="1:3" x14ac:dyDescent="0.25">
      <c r="A577" s="149" t="s">
        <v>901</v>
      </c>
      <c r="B577" s="153" t="s">
        <v>332</v>
      </c>
      <c r="C577" s="149" t="s">
        <v>117</v>
      </c>
    </row>
    <row r="578" spans="1:3" x14ac:dyDescent="0.25">
      <c r="A578" s="234" t="s">
        <v>902</v>
      </c>
      <c r="B578" s="238" t="s">
        <v>332</v>
      </c>
      <c r="C578" s="149" t="s">
        <v>117</v>
      </c>
    </row>
    <row r="579" spans="1:3" x14ac:dyDescent="0.25">
      <c r="A579" s="239" t="s">
        <v>2216</v>
      </c>
      <c r="B579" s="238" t="s">
        <v>332</v>
      </c>
      <c r="C579" s="149" t="s">
        <v>117</v>
      </c>
    </row>
    <row r="580" spans="1:3" x14ac:dyDescent="0.25">
      <c r="A580" s="239" t="s">
        <v>2217</v>
      </c>
      <c r="B580" s="238" t="s">
        <v>332</v>
      </c>
      <c r="C580" s="149" t="s">
        <v>117</v>
      </c>
    </row>
    <row r="581" spans="1:3" x14ac:dyDescent="0.25">
      <c r="A581" s="233" t="s">
        <v>2210</v>
      </c>
      <c r="B581" s="280" t="s">
        <v>332</v>
      </c>
      <c r="C581" s="217" t="s">
        <v>117</v>
      </c>
    </row>
    <row r="582" spans="1:3" x14ac:dyDescent="0.25">
      <c r="A582" s="233" t="s">
        <v>2208</v>
      </c>
      <c r="B582" s="280" t="s">
        <v>332</v>
      </c>
      <c r="C582" s="217" t="s">
        <v>2209</v>
      </c>
    </row>
    <row r="583" spans="1:3" x14ac:dyDescent="0.25">
      <c r="A583" s="233" t="s">
        <v>2212</v>
      </c>
      <c r="B583" s="280" t="s">
        <v>332</v>
      </c>
      <c r="C583" s="217" t="s">
        <v>117</v>
      </c>
    </row>
    <row r="584" spans="1:3" x14ac:dyDescent="0.25">
      <c r="A584" s="233" t="s">
        <v>2213</v>
      </c>
      <c r="B584" s="280" t="s">
        <v>332</v>
      </c>
      <c r="C584" s="217" t="s">
        <v>2209</v>
      </c>
    </row>
    <row r="585" spans="1:3" x14ac:dyDescent="0.25">
      <c r="A585" s="233" t="s">
        <v>2218</v>
      </c>
      <c r="B585" s="280" t="s">
        <v>332</v>
      </c>
      <c r="C585" s="217" t="s">
        <v>2219</v>
      </c>
    </row>
    <row r="586" spans="1:3" x14ac:dyDescent="0.25">
      <c r="A586" s="233" t="s">
        <v>2220</v>
      </c>
      <c r="B586" s="280" t="s">
        <v>332</v>
      </c>
      <c r="C586" s="217" t="s">
        <v>2209</v>
      </c>
    </row>
    <row r="587" spans="1:3" x14ac:dyDescent="0.25">
      <c r="A587" s="217" t="s">
        <v>2221</v>
      </c>
      <c r="B587" s="280" t="s">
        <v>332</v>
      </c>
      <c r="C587" s="217" t="s">
        <v>2209</v>
      </c>
    </row>
    <row r="588" spans="1:3" x14ac:dyDescent="0.25">
      <c r="A588" s="217" t="s">
        <v>2222</v>
      </c>
      <c r="B588" s="280" t="s">
        <v>332</v>
      </c>
      <c r="C588" s="217" t="s">
        <v>2209</v>
      </c>
    </row>
    <row r="589" spans="1:3" x14ac:dyDescent="0.25">
      <c r="A589" s="217" t="s">
        <v>2223</v>
      </c>
      <c r="B589" s="280" t="s">
        <v>332</v>
      </c>
      <c r="C589" s="217" t="s">
        <v>2209</v>
      </c>
    </row>
    <row r="590" spans="1:3" x14ac:dyDescent="0.25">
      <c r="A590" s="217" t="s">
        <v>2224</v>
      </c>
      <c r="B590" s="280" t="s">
        <v>332</v>
      </c>
      <c r="C590" s="217" t="s">
        <v>2209</v>
      </c>
    </row>
    <row r="591" spans="1:3" x14ac:dyDescent="0.25">
      <c r="A591" s="217" t="s">
        <v>2225</v>
      </c>
      <c r="B591" s="280" t="s">
        <v>332</v>
      </c>
      <c r="C591" s="217" t="s">
        <v>2209</v>
      </c>
    </row>
    <row r="592" spans="1:3" x14ac:dyDescent="0.25">
      <c r="A592" s="217" t="s">
        <v>2226</v>
      </c>
      <c r="B592" s="280" t="s">
        <v>332</v>
      </c>
      <c r="C592" s="217" t="s">
        <v>2209</v>
      </c>
    </row>
    <row r="593" spans="1:3" x14ac:dyDescent="0.25">
      <c r="A593" s="217" t="s">
        <v>2227</v>
      </c>
      <c r="B593" s="280" t="s">
        <v>332</v>
      </c>
      <c r="C593" s="217" t="s">
        <v>2209</v>
      </c>
    </row>
    <row r="594" spans="1:3" x14ac:dyDescent="0.25">
      <c r="A594" s="217" t="s">
        <v>2229</v>
      </c>
      <c r="B594" s="280" t="s">
        <v>332</v>
      </c>
      <c r="C594" s="217" t="s">
        <v>2209</v>
      </c>
    </row>
    <row r="595" spans="1:3" x14ac:dyDescent="0.25">
      <c r="A595" s="366" t="s">
        <v>2775</v>
      </c>
      <c r="B595" s="280" t="s">
        <v>332</v>
      </c>
      <c r="C595" s="217" t="s">
        <v>2219</v>
      </c>
    </row>
    <row r="596" spans="1:3" x14ac:dyDescent="0.25">
      <c r="A596" s="366" t="s">
        <v>2766</v>
      </c>
      <c r="B596" s="280" t="s">
        <v>332</v>
      </c>
      <c r="C596" s="217" t="s">
        <v>2219</v>
      </c>
    </row>
    <row r="597" spans="1:3" x14ac:dyDescent="0.25">
      <c r="A597" s="366" t="s">
        <v>2767</v>
      </c>
      <c r="B597" s="280" t="s">
        <v>332</v>
      </c>
      <c r="C597" s="217" t="s">
        <v>2209</v>
      </c>
    </row>
    <row r="598" spans="1:3" x14ac:dyDescent="0.25">
      <c r="A598" s="366" t="s">
        <v>2768</v>
      </c>
      <c r="B598" s="280" t="s">
        <v>332</v>
      </c>
      <c r="C598" s="217" t="s">
        <v>2219</v>
      </c>
    </row>
    <row r="599" spans="1:3" x14ac:dyDescent="0.25">
      <c r="A599" s="366" t="s">
        <v>2769</v>
      </c>
      <c r="B599" s="280" t="s">
        <v>332</v>
      </c>
      <c r="C599" s="217" t="s">
        <v>2219</v>
      </c>
    </row>
    <row r="600" spans="1:3" x14ac:dyDescent="0.25">
      <c r="A600" s="366" t="s">
        <v>2770</v>
      </c>
      <c r="B600" s="280" t="s">
        <v>332</v>
      </c>
      <c r="C600" s="217" t="s">
        <v>2219</v>
      </c>
    </row>
    <row r="601" spans="1:3" x14ac:dyDescent="0.25">
      <c r="A601" s="366" t="s">
        <v>2210</v>
      </c>
      <c r="B601" s="280" t="s">
        <v>332</v>
      </c>
      <c r="C601" s="217" t="s">
        <v>2219</v>
      </c>
    </row>
    <row r="602" spans="1:3" x14ac:dyDescent="0.25">
      <c r="A602" s="366" t="s">
        <v>2771</v>
      </c>
      <c r="B602" s="280" t="s">
        <v>332</v>
      </c>
      <c r="C602" s="217" t="s">
        <v>2209</v>
      </c>
    </row>
    <row r="603" spans="1:3" x14ac:dyDescent="0.25">
      <c r="A603" s="366" t="s">
        <v>2772</v>
      </c>
      <c r="B603" s="280" t="s">
        <v>332</v>
      </c>
      <c r="C603" s="217" t="s">
        <v>2209</v>
      </c>
    </row>
    <row r="604" spans="1:3" x14ac:dyDescent="0.25">
      <c r="A604" s="233" t="s">
        <v>2773</v>
      </c>
      <c r="B604" s="280" t="s">
        <v>332</v>
      </c>
      <c r="C604" s="217" t="s">
        <v>2209</v>
      </c>
    </row>
    <row r="605" spans="1:3" x14ac:dyDescent="0.25">
      <c r="A605" s="217" t="s">
        <v>2774</v>
      </c>
      <c r="B605" s="280" t="s">
        <v>332</v>
      </c>
      <c r="C605" s="217" t="s">
        <v>2209</v>
      </c>
    </row>
    <row r="606" spans="1:3" x14ac:dyDescent="0.25">
      <c r="A606" s="217" t="s">
        <v>2776</v>
      </c>
      <c r="B606" s="280" t="s">
        <v>332</v>
      </c>
      <c r="C606" s="217" t="s">
        <v>2777</v>
      </c>
    </row>
    <row r="607" spans="1:3" x14ac:dyDescent="0.25">
      <c r="A607" s="217" t="s">
        <v>2778</v>
      </c>
      <c r="B607" s="280" t="s">
        <v>332</v>
      </c>
      <c r="C607" s="217" t="s">
        <v>2209</v>
      </c>
    </row>
    <row r="608" spans="1:3" x14ac:dyDescent="0.25">
      <c r="A608" s="217" t="s">
        <v>2779</v>
      </c>
      <c r="B608" s="280" t="s">
        <v>332</v>
      </c>
      <c r="C608" s="217" t="s">
        <v>2209</v>
      </c>
    </row>
    <row r="609" spans="2:2" x14ac:dyDescent="0.25">
      <c r="B609" s="153"/>
    </row>
    <row r="610" spans="2:2" x14ac:dyDescent="0.25">
      <c r="B610" s="153"/>
    </row>
    <row r="611" spans="2:2" x14ac:dyDescent="0.25">
      <c r="B611" s="153"/>
    </row>
    <row r="612" spans="2:2" x14ac:dyDescent="0.25">
      <c r="B612" s="153"/>
    </row>
    <row r="613" spans="2:2" x14ac:dyDescent="0.25">
      <c r="B613" s="153"/>
    </row>
    <row r="614" spans="2:2" x14ac:dyDescent="0.25">
      <c r="B614" s="153"/>
    </row>
    <row r="615" spans="2:2" x14ac:dyDescent="0.25">
      <c r="B615" s="153"/>
    </row>
    <row r="616" spans="2:2" x14ac:dyDescent="0.25">
      <c r="B616" s="153"/>
    </row>
    <row r="617" spans="2:2" x14ac:dyDescent="0.25">
      <c r="B617" s="153"/>
    </row>
    <row r="618" spans="2:2" x14ac:dyDescent="0.25">
      <c r="B618" s="153"/>
    </row>
    <row r="619" spans="2:2" x14ac:dyDescent="0.25">
      <c r="B619" s="153"/>
    </row>
    <row r="620" spans="2:2" x14ac:dyDescent="0.25">
      <c r="B620" s="153"/>
    </row>
    <row r="621" spans="2:2" x14ac:dyDescent="0.25">
      <c r="B621" s="153"/>
    </row>
    <row r="622" spans="2:2" x14ac:dyDescent="0.25">
      <c r="B622" s="153"/>
    </row>
    <row r="623" spans="2:2" x14ac:dyDescent="0.25">
      <c r="B623" s="153"/>
    </row>
    <row r="624" spans="2:2" x14ac:dyDescent="0.25">
      <c r="B624" s="153"/>
    </row>
    <row r="625" spans="2:2" x14ac:dyDescent="0.25">
      <c r="B625" s="153"/>
    </row>
    <row r="626" spans="2:2" x14ac:dyDescent="0.25">
      <c r="B626" s="153"/>
    </row>
    <row r="627" spans="2:2" x14ac:dyDescent="0.25">
      <c r="B627" s="153"/>
    </row>
    <row r="628" spans="2:2" x14ac:dyDescent="0.25">
      <c r="B628" s="153"/>
    </row>
    <row r="629" spans="2:2" x14ac:dyDescent="0.25">
      <c r="B629" s="153"/>
    </row>
    <row r="630" spans="2:2" x14ac:dyDescent="0.25">
      <c r="B630" s="153"/>
    </row>
    <row r="631" spans="2:2" x14ac:dyDescent="0.25">
      <c r="B631" s="153"/>
    </row>
    <row r="632" spans="2:2" x14ac:dyDescent="0.25">
      <c r="B632" s="153"/>
    </row>
    <row r="633" spans="2:2" x14ac:dyDescent="0.25">
      <c r="B633" s="153"/>
    </row>
    <row r="634" spans="2:2" x14ac:dyDescent="0.25">
      <c r="B634" s="153"/>
    </row>
    <row r="635" spans="2:2" x14ac:dyDescent="0.25">
      <c r="B635" s="153"/>
    </row>
    <row r="636" spans="2:2" x14ac:dyDescent="0.25">
      <c r="B636" s="153"/>
    </row>
    <row r="637" spans="2:2" x14ac:dyDescent="0.25">
      <c r="B637" s="153"/>
    </row>
    <row r="638" spans="2:2" x14ac:dyDescent="0.25">
      <c r="B638" s="153"/>
    </row>
    <row r="639" spans="2:2" x14ac:dyDescent="0.25">
      <c r="B639" s="153"/>
    </row>
    <row r="640" spans="2:2" x14ac:dyDescent="0.25">
      <c r="B640" s="153"/>
    </row>
    <row r="641" spans="2:2" x14ac:dyDescent="0.25">
      <c r="B641" s="153"/>
    </row>
    <row r="642" spans="2:2" x14ac:dyDescent="0.25">
      <c r="B642" s="153"/>
    </row>
    <row r="643" spans="2:2" x14ac:dyDescent="0.25">
      <c r="B643" s="153"/>
    </row>
    <row r="644" spans="2:2" x14ac:dyDescent="0.25">
      <c r="B644" s="153"/>
    </row>
    <row r="645" spans="2:2" x14ac:dyDescent="0.25">
      <c r="B645" s="153"/>
    </row>
    <row r="646" spans="2:2" x14ac:dyDescent="0.25">
      <c r="B646" s="153"/>
    </row>
    <row r="647" spans="2:2" x14ac:dyDescent="0.25">
      <c r="B647" s="153"/>
    </row>
    <row r="648" spans="2:2" x14ac:dyDescent="0.25">
      <c r="B648" s="153"/>
    </row>
    <row r="649" spans="2:2" x14ac:dyDescent="0.25">
      <c r="B649" s="153"/>
    </row>
    <row r="650" spans="2:2" x14ac:dyDescent="0.25">
      <c r="B650" s="153"/>
    </row>
    <row r="651" spans="2:2" x14ac:dyDescent="0.25">
      <c r="B651" s="153"/>
    </row>
    <row r="652" spans="2:2" x14ac:dyDescent="0.25">
      <c r="B652" s="153"/>
    </row>
    <row r="653" spans="2:2" x14ac:dyDescent="0.25">
      <c r="B653" s="153"/>
    </row>
    <row r="654" spans="2:2" x14ac:dyDescent="0.25">
      <c r="B654" s="153"/>
    </row>
    <row r="655" spans="2:2" x14ac:dyDescent="0.25">
      <c r="B655" s="153"/>
    </row>
    <row r="656" spans="2:2" x14ac:dyDescent="0.25">
      <c r="B656" s="153"/>
    </row>
    <row r="657" spans="2:2" x14ac:dyDescent="0.25">
      <c r="B657" s="153"/>
    </row>
    <row r="658" spans="2:2" x14ac:dyDescent="0.25">
      <c r="B658" s="153"/>
    </row>
    <row r="659" spans="2:2" x14ac:dyDescent="0.25">
      <c r="B659" s="153"/>
    </row>
    <row r="660" spans="2:2" x14ac:dyDescent="0.25">
      <c r="B660" s="153"/>
    </row>
    <row r="661" spans="2:2" x14ac:dyDescent="0.25">
      <c r="B661" s="153"/>
    </row>
    <row r="662" spans="2:2" x14ac:dyDescent="0.25">
      <c r="B662" s="153"/>
    </row>
    <row r="663" spans="2:2" x14ac:dyDescent="0.25">
      <c r="B663" s="153"/>
    </row>
    <row r="664" spans="2:2" x14ac:dyDescent="0.25">
      <c r="B664" s="153"/>
    </row>
    <row r="665" spans="2:2" x14ac:dyDescent="0.25">
      <c r="B665" s="153"/>
    </row>
    <row r="666" spans="2:2" x14ac:dyDescent="0.25">
      <c r="B666" s="153"/>
    </row>
    <row r="667" spans="2:2" x14ac:dyDescent="0.25">
      <c r="B667" s="153"/>
    </row>
    <row r="668" spans="2:2" x14ac:dyDescent="0.25">
      <c r="B668" s="153"/>
    </row>
    <row r="669" spans="2:2" x14ac:dyDescent="0.25">
      <c r="B669" s="153"/>
    </row>
    <row r="670" spans="2:2" x14ac:dyDescent="0.25">
      <c r="B670" s="153"/>
    </row>
    <row r="671" spans="2:2" x14ac:dyDescent="0.25">
      <c r="B671" s="153"/>
    </row>
    <row r="672" spans="2:2" x14ac:dyDescent="0.25">
      <c r="B672" s="153"/>
    </row>
    <row r="673" spans="2:2" x14ac:dyDescent="0.25">
      <c r="B673" s="153"/>
    </row>
    <row r="674" spans="2:2" x14ac:dyDescent="0.25">
      <c r="B674" s="153"/>
    </row>
    <row r="675" spans="2:2" x14ac:dyDescent="0.25">
      <c r="B675" s="153"/>
    </row>
    <row r="676" spans="2:2" x14ac:dyDescent="0.25">
      <c r="B676" s="153"/>
    </row>
    <row r="677" spans="2:2" x14ac:dyDescent="0.25">
      <c r="B677" s="153"/>
    </row>
    <row r="678" spans="2:2" x14ac:dyDescent="0.25">
      <c r="B678" s="153"/>
    </row>
    <row r="679" spans="2:2" x14ac:dyDescent="0.25">
      <c r="B679" s="153"/>
    </row>
    <row r="680" spans="2:2" x14ac:dyDescent="0.25">
      <c r="B680" s="153"/>
    </row>
    <row r="681" spans="2:2" x14ac:dyDescent="0.25">
      <c r="B681" s="153"/>
    </row>
    <row r="682" spans="2:2" x14ac:dyDescent="0.25">
      <c r="B682" s="153"/>
    </row>
    <row r="683" spans="2:2" x14ac:dyDescent="0.25">
      <c r="B683" s="153"/>
    </row>
    <row r="684" spans="2:2" x14ac:dyDescent="0.25">
      <c r="B684" s="153"/>
    </row>
    <row r="685" spans="2:2" x14ac:dyDescent="0.25">
      <c r="B685" s="153"/>
    </row>
    <row r="686" spans="2:2" x14ac:dyDescent="0.25">
      <c r="B686" s="153"/>
    </row>
    <row r="687" spans="2:2" x14ac:dyDescent="0.25">
      <c r="B687" s="153"/>
    </row>
    <row r="688" spans="2:2" x14ac:dyDescent="0.25">
      <c r="B688" s="153"/>
    </row>
    <row r="689" spans="2:2" x14ac:dyDescent="0.25">
      <c r="B689" s="153"/>
    </row>
    <row r="690" spans="2:2" x14ac:dyDescent="0.25">
      <c r="B690" s="153"/>
    </row>
    <row r="691" spans="2:2" x14ac:dyDescent="0.25">
      <c r="B691" s="153"/>
    </row>
    <row r="692" spans="2:2" x14ac:dyDescent="0.25">
      <c r="B692" s="153"/>
    </row>
    <row r="693" spans="2:2" x14ac:dyDescent="0.25">
      <c r="B693" s="153"/>
    </row>
    <row r="694" spans="2:2" x14ac:dyDescent="0.25">
      <c r="B694" s="153"/>
    </row>
    <row r="695" spans="2:2" x14ac:dyDescent="0.25">
      <c r="B695" s="153"/>
    </row>
    <row r="696" spans="2:2" x14ac:dyDescent="0.25">
      <c r="B696" s="153"/>
    </row>
    <row r="697" spans="2:2" x14ac:dyDescent="0.25">
      <c r="B697" s="153"/>
    </row>
    <row r="698" spans="2:2" x14ac:dyDescent="0.25">
      <c r="B698" s="153"/>
    </row>
    <row r="699" spans="2:2" x14ac:dyDescent="0.25">
      <c r="B699" s="153"/>
    </row>
    <row r="700" spans="2:2" x14ac:dyDescent="0.25">
      <c r="B700" s="153"/>
    </row>
    <row r="701" spans="2:2" x14ac:dyDescent="0.25">
      <c r="B701" s="153"/>
    </row>
    <row r="702" spans="2:2" x14ac:dyDescent="0.25">
      <c r="B702" s="153"/>
    </row>
    <row r="703" spans="2:2" x14ac:dyDescent="0.25">
      <c r="B703" s="153"/>
    </row>
    <row r="704" spans="2:2" x14ac:dyDescent="0.25">
      <c r="B704" s="153"/>
    </row>
    <row r="705" spans="2:2" x14ac:dyDescent="0.25">
      <c r="B705" s="153"/>
    </row>
    <row r="706" spans="2:2" x14ac:dyDescent="0.25">
      <c r="B706" s="153"/>
    </row>
    <row r="707" spans="2:2" x14ac:dyDescent="0.25">
      <c r="B707" s="238"/>
    </row>
    <row r="708" spans="2:2" x14ac:dyDescent="0.25">
      <c r="B708" s="238"/>
    </row>
    <row r="709" spans="2:2" x14ac:dyDescent="0.25">
      <c r="B709" s="238"/>
    </row>
    <row r="710" spans="2:2" x14ac:dyDescent="0.25">
      <c r="B710" s="238"/>
    </row>
    <row r="711" spans="2:2" x14ac:dyDescent="0.25">
      <c r="B711" s="238"/>
    </row>
    <row r="712" spans="2:2" x14ac:dyDescent="0.25">
      <c r="B712" s="238"/>
    </row>
    <row r="713" spans="2:2" x14ac:dyDescent="0.25">
      <c r="B713" s="238"/>
    </row>
    <row r="714" spans="2:2" x14ac:dyDescent="0.25">
      <c r="B714" s="238"/>
    </row>
    <row r="715" spans="2:2" x14ac:dyDescent="0.25">
      <c r="B715" s="238"/>
    </row>
    <row r="716" spans="2:2" x14ac:dyDescent="0.25">
      <c r="B716" s="238"/>
    </row>
    <row r="717" spans="2:2" x14ac:dyDescent="0.25">
      <c r="B717" s="238"/>
    </row>
    <row r="718" spans="2:2" x14ac:dyDescent="0.25">
      <c r="B718" s="238"/>
    </row>
    <row r="719" spans="2:2" x14ac:dyDescent="0.25">
      <c r="B719" s="238"/>
    </row>
    <row r="720" spans="2:2" x14ac:dyDescent="0.25">
      <c r="B720" s="238"/>
    </row>
    <row r="721" spans="2:2" x14ac:dyDescent="0.25">
      <c r="B721" s="238"/>
    </row>
    <row r="722" spans="2:2" x14ac:dyDescent="0.25">
      <c r="B722" s="238"/>
    </row>
    <row r="723" spans="2:2" x14ac:dyDescent="0.25">
      <c r="B723" s="238"/>
    </row>
    <row r="724" spans="2:2" x14ac:dyDescent="0.25">
      <c r="B724" s="238"/>
    </row>
    <row r="725" spans="2:2" x14ac:dyDescent="0.25">
      <c r="B725" s="238"/>
    </row>
    <row r="726" spans="2:2" x14ac:dyDescent="0.25">
      <c r="B726" s="238"/>
    </row>
    <row r="727" spans="2:2" x14ac:dyDescent="0.25">
      <c r="B727" s="238"/>
    </row>
    <row r="728" spans="2:2" x14ac:dyDescent="0.25">
      <c r="B728" s="238"/>
    </row>
    <row r="729" spans="2:2" x14ac:dyDescent="0.25">
      <c r="B729" s="238"/>
    </row>
    <row r="730" spans="2:2" x14ac:dyDescent="0.25">
      <c r="B730" s="238"/>
    </row>
    <row r="731" spans="2:2" x14ac:dyDescent="0.25">
      <c r="B731" s="238"/>
    </row>
    <row r="732" spans="2:2" x14ac:dyDescent="0.25">
      <c r="B732" s="238"/>
    </row>
    <row r="733" spans="2:2" x14ac:dyDescent="0.25">
      <c r="B733" s="238"/>
    </row>
    <row r="734" spans="2:2" x14ac:dyDescent="0.25">
      <c r="B734" s="238"/>
    </row>
    <row r="735" spans="2:2" x14ac:dyDescent="0.25">
      <c r="B735" s="238"/>
    </row>
    <row r="736" spans="2:2" x14ac:dyDescent="0.25">
      <c r="B736" s="238"/>
    </row>
    <row r="737" spans="2:2" x14ac:dyDescent="0.25">
      <c r="B737" s="238"/>
    </row>
    <row r="738" spans="2:2" x14ac:dyDescent="0.25">
      <c r="B738" s="238"/>
    </row>
    <row r="739" spans="2:2" x14ac:dyDescent="0.25">
      <c r="B739" s="238"/>
    </row>
    <row r="740" spans="2:2" x14ac:dyDescent="0.25">
      <c r="B740" s="238"/>
    </row>
    <row r="741" spans="2:2" x14ac:dyDescent="0.25">
      <c r="B741" s="238"/>
    </row>
    <row r="742" spans="2:2" x14ac:dyDescent="0.25">
      <c r="B742" s="238"/>
    </row>
    <row r="743" spans="2:2" x14ac:dyDescent="0.25">
      <c r="B743" s="238"/>
    </row>
    <row r="744" spans="2:2" x14ac:dyDescent="0.25">
      <c r="B744" s="238"/>
    </row>
    <row r="745" spans="2:2" x14ac:dyDescent="0.25">
      <c r="B745" s="238"/>
    </row>
    <row r="746" spans="2:2" x14ac:dyDescent="0.25">
      <c r="B746" s="238"/>
    </row>
    <row r="747" spans="2:2" x14ac:dyDescent="0.25">
      <c r="B747" s="238"/>
    </row>
    <row r="748" spans="2:2" x14ac:dyDescent="0.25">
      <c r="B748" s="238"/>
    </row>
    <row r="749" spans="2:2" x14ac:dyDescent="0.25">
      <c r="B749" s="238"/>
    </row>
    <row r="750" spans="2:2" x14ac:dyDescent="0.25">
      <c r="B750" s="238"/>
    </row>
    <row r="751" spans="2:2" x14ac:dyDescent="0.25">
      <c r="B751" s="238"/>
    </row>
    <row r="752" spans="2:2" x14ac:dyDescent="0.25">
      <c r="B752" s="238"/>
    </row>
    <row r="753" spans="2:2" x14ac:dyDescent="0.25">
      <c r="B753" s="238"/>
    </row>
    <row r="754" spans="2:2" x14ac:dyDescent="0.25">
      <c r="B754" s="238"/>
    </row>
    <row r="755" spans="2:2" x14ac:dyDescent="0.25">
      <c r="B755" s="238"/>
    </row>
    <row r="756" spans="2:2" x14ac:dyDescent="0.25">
      <c r="B756" s="238"/>
    </row>
    <row r="757" spans="2:2" x14ac:dyDescent="0.25">
      <c r="B757" s="238"/>
    </row>
    <row r="758" spans="2:2" x14ac:dyDescent="0.25">
      <c r="B758" s="238"/>
    </row>
    <row r="759" spans="2:2" x14ac:dyDescent="0.25">
      <c r="B759" s="238"/>
    </row>
    <row r="760" spans="2:2" x14ac:dyDescent="0.25">
      <c r="B760" s="238"/>
    </row>
    <row r="761" spans="2:2" x14ac:dyDescent="0.25">
      <c r="B761" s="238"/>
    </row>
    <row r="762" spans="2:2" x14ac:dyDescent="0.25">
      <c r="B762" s="23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>
      <selection activeCell="B20" sqref="B20"/>
    </sheetView>
  </sheetViews>
  <sheetFormatPr defaultRowHeight="15" x14ac:dyDescent="0.25"/>
  <cols>
    <col min="1" max="1" width="12.28515625" style="149" bestFit="1" customWidth="1"/>
    <col min="2" max="2" width="16.5703125" style="149" customWidth="1"/>
    <col min="3" max="3" width="32.140625" style="149" bestFit="1" customWidth="1"/>
    <col min="4" max="256" width="9.140625" style="149"/>
    <col min="257" max="257" width="12.5703125" style="149" customWidth="1"/>
    <col min="258" max="258" width="12.28515625" style="149" bestFit="1" customWidth="1"/>
    <col min="259" max="512" width="9.140625" style="149"/>
    <col min="513" max="513" width="12.5703125" style="149" customWidth="1"/>
    <col min="514" max="514" width="12.28515625" style="149" bestFit="1" customWidth="1"/>
    <col min="515" max="768" width="9.140625" style="149"/>
    <col min="769" max="769" width="12.5703125" style="149" customWidth="1"/>
    <col min="770" max="770" width="12.28515625" style="149" bestFit="1" customWidth="1"/>
    <col min="771" max="1024" width="9.140625" style="149"/>
    <col min="1025" max="1025" width="12.5703125" style="149" customWidth="1"/>
    <col min="1026" max="1026" width="12.28515625" style="149" bestFit="1" customWidth="1"/>
    <col min="1027" max="1280" width="9.140625" style="149"/>
    <col min="1281" max="1281" width="12.5703125" style="149" customWidth="1"/>
    <col min="1282" max="1282" width="12.28515625" style="149" bestFit="1" customWidth="1"/>
    <col min="1283" max="1536" width="9.140625" style="149"/>
    <col min="1537" max="1537" width="12.5703125" style="149" customWidth="1"/>
    <col min="1538" max="1538" width="12.28515625" style="149" bestFit="1" customWidth="1"/>
    <col min="1539" max="1792" width="9.140625" style="149"/>
    <col min="1793" max="1793" width="12.5703125" style="149" customWidth="1"/>
    <col min="1794" max="1794" width="12.28515625" style="149" bestFit="1" customWidth="1"/>
    <col min="1795" max="2048" width="9.140625" style="149"/>
    <col min="2049" max="2049" width="12.5703125" style="149" customWidth="1"/>
    <col min="2050" max="2050" width="12.28515625" style="149" bestFit="1" customWidth="1"/>
    <col min="2051" max="2304" width="9.140625" style="149"/>
    <col min="2305" max="2305" width="12.5703125" style="149" customWidth="1"/>
    <col min="2306" max="2306" width="12.28515625" style="149" bestFit="1" customWidth="1"/>
    <col min="2307" max="2560" width="9.140625" style="149"/>
    <col min="2561" max="2561" width="12.5703125" style="149" customWidth="1"/>
    <col min="2562" max="2562" width="12.28515625" style="149" bestFit="1" customWidth="1"/>
    <col min="2563" max="2816" width="9.140625" style="149"/>
    <col min="2817" max="2817" width="12.5703125" style="149" customWidth="1"/>
    <col min="2818" max="2818" width="12.28515625" style="149" bestFit="1" customWidth="1"/>
    <col min="2819" max="3072" width="9.140625" style="149"/>
    <col min="3073" max="3073" width="12.5703125" style="149" customWidth="1"/>
    <col min="3074" max="3074" width="12.28515625" style="149" bestFit="1" customWidth="1"/>
    <col min="3075" max="3328" width="9.140625" style="149"/>
    <col min="3329" max="3329" width="12.5703125" style="149" customWidth="1"/>
    <col min="3330" max="3330" width="12.28515625" style="149" bestFit="1" customWidth="1"/>
    <col min="3331" max="3584" width="9.140625" style="149"/>
    <col min="3585" max="3585" width="12.5703125" style="149" customWidth="1"/>
    <col min="3586" max="3586" width="12.28515625" style="149" bestFit="1" customWidth="1"/>
    <col min="3587" max="3840" width="9.140625" style="149"/>
    <col min="3841" max="3841" width="12.5703125" style="149" customWidth="1"/>
    <col min="3842" max="3842" width="12.28515625" style="149" bestFit="1" customWidth="1"/>
    <col min="3843" max="4096" width="9.140625" style="149"/>
    <col min="4097" max="4097" width="12.5703125" style="149" customWidth="1"/>
    <col min="4098" max="4098" width="12.28515625" style="149" bestFit="1" customWidth="1"/>
    <col min="4099" max="4352" width="9.140625" style="149"/>
    <col min="4353" max="4353" width="12.5703125" style="149" customWidth="1"/>
    <col min="4354" max="4354" width="12.28515625" style="149" bestFit="1" customWidth="1"/>
    <col min="4355" max="4608" width="9.140625" style="149"/>
    <col min="4609" max="4609" width="12.5703125" style="149" customWidth="1"/>
    <col min="4610" max="4610" width="12.28515625" style="149" bestFit="1" customWidth="1"/>
    <col min="4611" max="4864" width="9.140625" style="149"/>
    <col min="4865" max="4865" width="12.5703125" style="149" customWidth="1"/>
    <col min="4866" max="4866" width="12.28515625" style="149" bestFit="1" customWidth="1"/>
    <col min="4867" max="5120" width="9.140625" style="149"/>
    <col min="5121" max="5121" width="12.5703125" style="149" customWidth="1"/>
    <col min="5122" max="5122" width="12.28515625" style="149" bestFit="1" customWidth="1"/>
    <col min="5123" max="5376" width="9.140625" style="149"/>
    <col min="5377" max="5377" width="12.5703125" style="149" customWidth="1"/>
    <col min="5378" max="5378" width="12.28515625" style="149" bestFit="1" customWidth="1"/>
    <col min="5379" max="5632" width="9.140625" style="149"/>
    <col min="5633" max="5633" width="12.5703125" style="149" customWidth="1"/>
    <col min="5634" max="5634" width="12.28515625" style="149" bestFit="1" customWidth="1"/>
    <col min="5635" max="5888" width="9.140625" style="149"/>
    <col min="5889" max="5889" width="12.5703125" style="149" customWidth="1"/>
    <col min="5890" max="5890" width="12.28515625" style="149" bestFit="1" customWidth="1"/>
    <col min="5891" max="6144" width="9.140625" style="149"/>
    <col min="6145" max="6145" width="12.5703125" style="149" customWidth="1"/>
    <col min="6146" max="6146" width="12.28515625" style="149" bestFit="1" customWidth="1"/>
    <col min="6147" max="6400" width="9.140625" style="149"/>
    <col min="6401" max="6401" width="12.5703125" style="149" customWidth="1"/>
    <col min="6402" max="6402" width="12.28515625" style="149" bestFit="1" customWidth="1"/>
    <col min="6403" max="6656" width="9.140625" style="149"/>
    <col min="6657" max="6657" width="12.5703125" style="149" customWidth="1"/>
    <col min="6658" max="6658" width="12.28515625" style="149" bestFit="1" customWidth="1"/>
    <col min="6659" max="6912" width="9.140625" style="149"/>
    <col min="6913" max="6913" width="12.5703125" style="149" customWidth="1"/>
    <col min="6914" max="6914" width="12.28515625" style="149" bestFit="1" customWidth="1"/>
    <col min="6915" max="7168" width="9.140625" style="149"/>
    <col min="7169" max="7169" width="12.5703125" style="149" customWidth="1"/>
    <col min="7170" max="7170" width="12.28515625" style="149" bestFit="1" customWidth="1"/>
    <col min="7171" max="7424" width="9.140625" style="149"/>
    <col min="7425" max="7425" width="12.5703125" style="149" customWidth="1"/>
    <col min="7426" max="7426" width="12.28515625" style="149" bestFit="1" customWidth="1"/>
    <col min="7427" max="7680" width="9.140625" style="149"/>
    <col min="7681" max="7681" width="12.5703125" style="149" customWidth="1"/>
    <col min="7682" max="7682" width="12.28515625" style="149" bestFit="1" customWidth="1"/>
    <col min="7683" max="7936" width="9.140625" style="149"/>
    <col min="7937" max="7937" width="12.5703125" style="149" customWidth="1"/>
    <col min="7938" max="7938" width="12.28515625" style="149" bestFit="1" customWidth="1"/>
    <col min="7939" max="8192" width="9.140625" style="149"/>
    <col min="8193" max="8193" width="12.5703125" style="149" customWidth="1"/>
    <col min="8194" max="8194" width="12.28515625" style="149" bestFit="1" customWidth="1"/>
    <col min="8195" max="8448" width="9.140625" style="149"/>
    <col min="8449" max="8449" width="12.5703125" style="149" customWidth="1"/>
    <col min="8450" max="8450" width="12.28515625" style="149" bestFit="1" customWidth="1"/>
    <col min="8451" max="8704" width="9.140625" style="149"/>
    <col min="8705" max="8705" width="12.5703125" style="149" customWidth="1"/>
    <col min="8706" max="8706" width="12.28515625" style="149" bestFit="1" customWidth="1"/>
    <col min="8707" max="8960" width="9.140625" style="149"/>
    <col min="8961" max="8961" width="12.5703125" style="149" customWidth="1"/>
    <col min="8962" max="8962" width="12.28515625" style="149" bestFit="1" customWidth="1"/>
    <col min="8963" max="9216" width="9.140625" style="149"/>
    <col min="9217" max="9217" width="12.5703125" style="149" customWidth="1"/>
    <col min="9218" max="9218" width="12.28515625" style="149" bestFit="1" customWidth="1"/>
    <col min="9219" max="9472" width="9.140625" style="149"/>
    <col min="9473" max="9473" width="12.5703125" style="149" customWidth="1"/>
    <col min="9474" max="9474" width="12.28515625" style="149" bestFit="1" customWidth="1"/>
    <col min="9475" max="9728" width="9.140625" style="149"/>
    <col min="9729" max="9729" width="12.5703125" style="149" customWidth="1"/>
    <col min="9730" max="9730" width="12.28515625" style="149" bestFit="1" customWidth="1"/>
    <col min="9731" max="9984" width="9.140625" style="149"/>
    <col min="9985" max="9985" width="12.5703125" style="149" customWidth="1"/>
    <col min="9986" max="9986" width="12.28515625" style="149" bestFit="1" customWidth="1"/>
    <col min="9987" max="10240" width="9.140625" style="149"/>
    <col min="10241" max="10241" width="12.5703125" style="149" customWidth="1"/>
    <col min="10242" max="10242" width="12.28515625" style="149" bestFit="1" customWidth="1"/>
    <col min="10243" max="10496" width="9.140625" style="149"/>
    <col min="10497" max="10497" width="12.5703125" style="149" customWidth="1"/>
    <col min="10498" max="10498" width="12.28515625" style="149" bestFit="1" customWidth="1"/>
    <col min="10499" max="10752" width="9.140625" style="149"/>
    <col min="10753" max="10753" width="12.5703125" style="149" customWidth="1"/>
    <col min="10754" max="10754" width="12.28515625" style="149" bestFit="1" customWidth="1"/>
    <col min="10755" max="11008" width="9.140625" style="149"/>
    <col min="11009" max="11009" width="12.5703125" style="149" customWidth="1"/>
    <col min="11010" max="11010" width="12.28515625" style="149" bestFit="1" customWidth="1"/>
    <col min="11011" max="11264" width="9.140625" style="149"/>
    <col min="11265" max="11265" width="12.5703125" style="149" customWidth="1"/>
    <col min="11266" max="11266" width="12.28515625" style="149" bestFit="1" customWidth="1"/>
    <col min="11267" max="11520" width="9.140625" style="149"/>
    <col min="11521" max="11521" width="12.5703125" style="149" customWidth="1"/>
    <col min="11522" max="11522" width="12.28515625" style="149" bestFit="1" customWidth="1"/>
    <col min="11523" max="11776" width="9.140625" style="149"/>
    <col min="11777" max="11777" width="12.5703125" style="149" customWidth="1"/>
    <col min="11778" max="11778" width="12.28515625" style="149" bestFit="1" customWidth="1"/>
    <col min="11779" max="12032" width="9.140625" style="149"/>
    <col min="12033" max="12033" width="12.5703125" style="149" customWidth="1"/>
    <col min="12034" max="12034" width="12.28515625" style="149" bestFit="1" customWidth="1"/>
    <col min="12035" max="12288" width="9.140625" style="149"/>
    <col min="12289" max="12289" width="12.5703125" style="149" customWidth="1"/>
    <col min="12290" max="12290" width="12.28515625" style="149" bestFit="1" customWidth="1"/>
    <col min="12291" max="12544" width="9.140625" style="149"/>
    <col min="12545" max="12545" width="12.5703125" style="149" customWidth="1"/>
    <col min="12546" max="12546" width="12.28515625" style="149" bestFit="1" customWidth="1"/>
    <col min="12547" max="12800" width="9.140625" style="149"/>
    <col min="12801" max="12801" width="12.5703125" style="149" customWidth="1"/>
    <col min="12802" max="12802" width="12.28515625" style="149" bestFit="1" customWidth="1"/>
    <col min="12803" max="13056" width="9.140625" style="149"/>
    <col min="13057" max="13057" width="12.5703125" style="149" customWidth="1"/>
    <col min="13058" max="13058" width="12.28515625" style="149" bestFit="1" customWidth="1"/>
    <col min="13059" max="13312" width="9.140625" style="149"/>
    <col min="13313" max="13313" width="12.5703125" style="149" customWidth="1"/>
    <col min="13314" max="13314" width="12.28515625" style="149" bestFit="1" customWidth="1"/>
    <col min="13315" max="13568" width="9.140625" style="149"/>
    <col min="13569" max="13569" width="12.5703125" style="149" customWidth="1"/>
    <col min="13570" max="13570" width="12.28515625" style="149" bestFit="1" customWidth="1"/>
    <col min="13571" max="13824" width="9.140625" style="149"/>
    <col min="13825" max="13825" width="12.5703125" style="149" customWidth="1"/>
    <col min="13826" max="13826" width="12.28515625" style="149" bestFit="1" customWidth="1"/>
    <col min="13827" max="14080" width="9.140625" style="149"/>
    <col min="14081" max="14081" width="12.5703125" style="149" customWidth="1"/>
    <col min="14082" max="14082" width="12.28515625" style="149" bestFit="1" customWidth="1"/>
    <col min="14083" max="14336" width="9.140625" style="149"/>
    <col min="14337" max="14337" width="12.5703125" style="149" customWidth="1"/>
    <col min="14338" max="14338" width="12.28515625" style="149" bestFit="1" customWidth="1"/>
    <col min="14339" max="14592" width="9.140625" style="149"/>
    <col min="14593" max="14593" width="12.5703125" style="149" customWidth="1"/>
    <col min="14594" max="14594" width="12.28515625" style="149" bestFit="1" customWidth="1"/>
    <col min="14595" max="14848" width="9.140625" style="149"/>
    <col min="14849" max="14849" width="12.5703125" style="149" customWidth="1"/>
    <col min="14850" max="14850" width="12.28515625" style="149" bestFit="1" customWidth="1"/>
    <col min="14851" max="15104" width="9.140625" style="149"/>
    <col min="15105" max="15105" width="12.5703125" style="149" customWidth="1"/>
    <col min="15106" max="15106" width="12.28515625" style="149" bestFit="1" customWidth="1"/>
    <col min="15107" max="15360" width="9.140625" style="149"/>
    <col min="15361" max="15361" width="12.5703125" style="149" customWidth="1"/>
    <col min="15362" max="15362" width="12.28515625" style="149" bestFit="1" customWidth="1"/>
    <col min="15363" max="15616" width="9.140625" style="149"/>
    <col min="15617" max="15617" width="12.5703125" style="149" customWidth="1"/>
    <col min="15618" max="15618" width="12.28515625" style="149" bestFit="1" customWidth="1"/>
    <col min="15619" max="15872" width="9.140625" style="149"/>
    <col min="15873" max="15873" width="12.5703125" style="149" customWidth="1"/>
    <col min="15874" max="15874" width="12.28515625" style="149" bestFit="1" customWidth="1"/>
    <col min="15875" max="16128" width="9.140625" style="149"/>
    <col min="16129" max="16129" width="12.5703125" style="149" customWidth="1"/>
    <col min="16130" max="16130" width="12.28515625" style="149" bestFit="1" customWidth="1"/>
    <col min="16131" max="16384" width="9.140625" style="149"/>
  </cols>
  <sheetData>
    <row r="1" spans="1:3" x14ac:dyDescent="0.25">
      <c r="A1" s="69" t="s">
        <v>0</v>
      </c>
      <c r="B1" s="70" t="s">
        <v>243</v>
      </c>
      <c r="C1" s="71" t="s">
        <v>75</v>
      </c>
    </row>
    <row r="2" spans="1:3" x14ac:dyDescent="0.25">
      <c r="A2" s="235" t="s">
        <v>1025</v>
      </c>
      <c r="B2" s="235" t="s">
        <v>332</v>
      </c>
      <c r="C2" s="236" t="s">
        <v>2207</v>
      </c>
    </row>
    <row r="3" spans="1:3" x14ac:dyDescent="0.25">
      <c r="A3" s="235" t="s">
        <v>903</v>
      </c>
      <c r="B3" s="235" t="s">
        <v>332</v>
      </c>
      <c r="C3" s="236" t="s">
        <v>926</v>
      </c>
    </row>
    <row r="4" spans="1:3" x14ac:dyDescent="0.25">
      <c r="A4" s="235" t="s">
        <v>904</v>
      </c>
      <c r="B4" s="235" t="s">
        <v>332</v>
      </c>
      <c r="C4" s="236" t="s">
        <v>927</v>
      </c>
    </row>
    <row r="5" spans="1:3" x14ac:dyDescent="0.25">
      <c r="A5" s="235" t="s">
        <v>905</v>
      </c>
      <c r="B5" s="235" t="s">
        <v>332</v>
      </c>
      <c r="C5" s="236" t="s">
        <v>928</v>
      </c>
    </row>
    <row r="6" spans="1:3" x14ac:dyDescent="0.25">
      <c r="A6" s="235" t="s">
        <v>906</v>
      </c>
      <c r="B6" s="235" t="s">
        <v>332</v>
      </c>
      <c r="C6" s="236" t="s">
        <v>929</v>
      </c>
    </row>
    <row r="7" spans="1:3" x14ac:dyDescent="0.25">
      <c r="A7" s="235" t="s">
        <v>907</v>
      </c>
      <c r="B7" s="235" t="s">
        <v>332</v>
      </c>
      <c r="C7" s="236" t="s">
        <v>930</v>
      </c>
    </row>
    <row r="8" spans="1:3" x14ac:dyDescent="0.25">
      <c r="A8" s="235" t="s">
        <v>908</v>
      </c>
      <c r="B8" s="235" t="s">
        <v>332</v>
      </c>
      <c r="C8" s="236" t="s">
        <v>931</v>
      </c>
    </row>
    <row r="9" spans="1:3" x14ac:dyDescent="0.25">
      <c r="A9" s="235" t="s">
        <v>909</v>
      </c>
      <c r="B9" s="235" t="s">
        <v>332</v>
      </c>
      <c r="C9" s="236" t="s">
        <v>932</v>
      </c>
    </row>
    <row r="10" spans="1:3" x14ac:dyDescent="0.25">
      <c r="A10" s="235" t="s">
        <v>910</v>
      </c>
      <c r="B10" s="235" t="s">
        <v>332</v>
      </c>
      <c r="C10" s="236" t="s">
        <v>933</v>
      </c>
    </row>
    <row r="11" spans="1:3" x14ac:dyDescent="0.25">
      <c r="A11" s="235" t="s">
        <v>911</v>
      </c>
      <c r="B11" s="235" t="s">
        <v>332</v>
      </c>
      <c r="C11" s="236" t="s">
        <v>934</v>
      </c>
    </row>
    <row r="12" spans="1:3" x14ac:dyDescent="0.25">
      <c r="A12" s="235" t="s">
        <v>912</v>
      </c>
      <c r="B12" s="235" t="s">
        <v>332</v>
      </c>
      <c r="C12" s="236" t="s">
        <v>935</v>
      </c>
    </row>
    <row r="13" spans="1:3" x14ac:dyDescent="0.25">
      <c r="A13" s="235" t="s">
        <v>913</v>
      </c>
      <c r="B13" s="235" t="s">
        <v>332</v>
      </c>
      <c r="C13" s="236" t="s">
        <v>936</v>
      </c>
    </row>
    <row r="14" spans="1:3" x14ac:dyDescent="0.25">
      <c r="A14" s="235" t="s">
        <v>914</v>
      </c>
      <c r="B14" s="235" t="s">
        <v>332</v>
      </c>
      <c r="C14" s="236" t="s">
        <v>937</v>
      </c>
    </row>
    <row r="15" spans="1:3" x14ac:dyDescent="0.25">
      <c r="A15" s="235" t="s">
        <v>915</v>
      </c>
      <c r="B15" s="235" t="s">
        <v>332</v>
      </c>
      <c r="C15" s="236" t="s">
        <v>938</v>
      </c>
    </row>
    <row r="16" spans="1:3" x14ac:dyDescent="0.25">
      <c r="A16" s="235" t="s">
        <v>916</v>
      </c>
      <c r="B16" s="235" t="s">
        <v>332</v>
      </c>
      <c r="C16" s="236" t="s">
        <v>939</v>
      </c>
    </row>
    <row r="17" spans="1:3" x14ac:dyDescent="0.25">
      <c r="A17" s="235" t="s">
        <v>917</v>
      </c>
      <c r="B17" s="235" t="s">
        <v>332</v>
      </c>
      <c r="C17" s="236" t="s">
        <v>940</v>
      </c>
    </row>
    <row r="18" spans="1:3" x14ac:dyDescent="0.25">
      <c r="A18" s="235" t="s">
        <v>918</v>
      </c>
      <c r="B18" s="235" t="s">
        <v>332</v>
      </c>
      <c r="C18" s="236" t="s">
        <v>941</v>
      </c>
    </row>
    <row r="19" spans="1:3" x14ac:dyDescent="0.25">
      <c r="A19" s="235" t="s">
        <v>919</v>
      </c>
      <c r="B19" s="235" t="s">
        <v>332</v>
      </c>
      <c r="C19" s="236" t="s">
        <v>942</v>
      </c>
    </row>
    <row r="20" spans="1:3" x14ac:dyDescent="0.25">
      <c r="A20" s="235" t="s">
        <v>920</v>
      </c>
      <c r="B20" s="235" t="s">
        <v>332</v>
      </c>
      <c r="C20" s="236" t="s">
        <v>943</v>
      </c>
    </row>
    <row r="21" spans="1:3" x14ac:dyDescent="0.25">
      <c r="A21" s="235" t="s">
        <v>921</v>
      </c>
      <c r="B21" s="235" t="s">
        <v>332</v>
      </c>
      <c r="C21" s="236" t="s">
        <v>944</v>
      </c>
    </row>
    <row r="22" spans="1:3" x14ac:dyDescent="0.25">
      <c r="A22" s="235" t="s">
        <v>922</v>
      </c>
      <c r="B22" s="235" t="s">
        <v>332</v>
      </c>
      <c r="C22" s="236" t="s">
        <v>945</v>
      </c>
    </row>
    <row r="23" spans="1:3" x14ac:dyDescent="0.25">
      <c r="A23" s="235" t="s">
        <v>923</v>
      </c>
      <c r="B23" s="235" t="s">
        <v>332</v>
      </c>
      <c r="C23" s="236" t="s">
        <v>946</v>
      </c>
    </row>
    <row r="24" spans="1:3" x14ac:dyDescent="0.25">
      <c r="A24" s="235" t="s">
        <v>924</v>
      </c>
      <c r="B24" s="235" t="s">
        <v>332</v>
      </c>
      <c r="C24" s="236" t="s">
        <v>947</v>
      </c>
    </row>
    <row r="25" spans="1:3" x14ac:dyDescent="0.25">
      <c r="A25" s="235" t="s">
        <v>925</v>
      </c>
      <c r="B25" s="235" t="s">
        <v>332</v>
      </c>
      <c r="C25" s="236" t="s">
        <v>948</v>
      </c>
    </row>
    <row r="26" spans="1:3" x14ac:dyDescent="0.25">
      <c r="A26" s="54" t="s">
        <v>2214</v>
      </c>
      <c r="B26" s="235" t="s">
        <v>332</v>
      </c>
      <c r="C26" s="236" t="s">
        <v>2215</v>
      </c>
    </row>
    <row r="27" spans="1:3" x14ac:dyDescent="0.25">
      <c r="A27" s="277" t="s">
        <v>1025</v>
      </c>
      <c r="B27" s="278" t="s">
        <v>332</v>
      </c>
      <c r="C27" s="279" t="s">
        <v>2363</v>
      </c>
    </row>
    <row r="28" spans="1:3" x14ac:dyDescent="0.25">
      <c r="A28" s="235"/>
      <c r="B28" s="235"/>
      <c r="C28" s="236"/>
    </row>
    <row r="29" spans="1:3" x14ac:dyDescent="0.25">
      <c r="A29" s="235"/>
      <c r="B29" s="235"/>
      <c r="C29" s="236"/>
    </row>
    <row r="30" spans="1:3" x14ac:dyDescent="0.25">
      <c r="A30" s="235"/>
      <c r="B30" s="235"/>
      <c r="C30" s="236"/>
    </row>
    <row r="31" spans="1:3" x14ac:dyDescent="0.25">
      <c r="A31" s="235"/>
      <c r="B31" s="235"/>
      <c r="C31" s="236"/>
    </row>
    <row r="32" spans="1:3" x14ac:dyDescent="0.25">
      <c r="A32" s="235"/>
      <c r="B32" s="235"/>
      <c r="C32" s="236"/>
    </row>
    <row r="33" spans="1:3" x14ac:dyDescent="0.25">
      <c r="A33" s="235"/>
      <c r="B33" s="235"/>
      <c r="C33" s="236"/>
    </row>
    <row r="34" spans="1:3" x14ac:dyDescent="0.25">
      <c r="A34" s="235"/>
      <c r="B34" s="235"/>
      <c r="C34" s="236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Oct 27, 2017</vt:lpstr>
      <vt:lpstr>Historical Recap</vt:lpstr>
      <vt:lpstr>Obsoleted</vt:lpstr>
      <vt:lpstr>Superceded</vt:lpstr>
      <vt:lpstr>'Historical Recap'!Print_Area</vt:lpstr>
      <vt:lpstr>'Oct 27, 2017'!Print_Area</vt:lpstr>
      <vt:lpstr>'Historical Recap'!Print_Titles</vt:lpstr>
      <vt:lpstr>'Oct 27, 2017'!Print_Titles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2016-09-12T17:46:09Z</cp:lastPrinted>
  <dcterms:created xsi:type="dcterms:W3CDTF">2011-05-02T14:58:46Z</dcterms:created>
  <dcterms:modified xsi:type="dcterms:W3CDTF">2017-10-27T15:31:29Z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